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 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CC Admin - Data Load Trackin" sheetId="1" r:id="rId1"/>
    <sheet name="Parameters" sheetId="2" r:id="rId2"/>
  </sheets>
  <definedNames>
    <definedName name="_xlnm._FilterDatabase" localSheetId="0" hidden="1">'ECC Admin - Data Load Trackin'!$A$1:$AK$1</definedName>
  </definedNames>
  <calcPr calcId="122211"/>
</workbook>
</file>

<file path=xl/calcChain.xml><?xml version="1.0" encoding="UTF-8" standalone="true"?><calcChain xmlns="http://schemas.openxmlformats.org/spreadsheetml/2006/main"><c r="T2" i="1" s="1"/><c r="T3" i="1" s="1"/><c r="T4" i="1" s="1"/><c r="T5" i="1" s="1"/><c r="T6" i="1" s="1"/><c r="T7" i="1" s="1"/><c r="T8" i="1" s="1"/><c r="T9" i="1" s="1"/><c r="T10" i="1" s="1"/><c r="T11" i="1" s="1"/><c r="T12" i="1" s="1"/><c r="T13" i="1" s="1"/><c r="T14" i="1" s="1"/><c r="T15" i="1" s="1"/><c r="T16" i="1" s="1"/><c r="T17" i="1" s="1"/><c r="T18" i="1" s="1"/><c r="T19" i="1" s="1"/><c r="T20" i="1" s="1"/><c r="T21" i="1" s="1"/><c r="T22" i="1" s="1"/><c r="T23" i="1" s="1"/><c r="T24" i="1" s="1"/><c r="T25" i="1" s="1"/><c r="T26" i="1" s="1"/><c r="T27" i="1" s="1"/><c r="T28" i="1" s="1"/><c r="T29" i="1" s="1"/><c r="T30" i="1" s="1"/><c r="T31" i="1" s="1"/><c r="T32" i="1" s="1"/><c r="T33" i="1" s="1"/><c r="T34" i="1" s="1"/><c r="T35" i="1" s="1"/><c r="T36" i="1" s="1"/><c r="T37" i="1" s="1"/><c r="T38" i="1" s="1"/><c r="T39" i="1" s="1"/><c r="T40" i="1" s="1"/><c r="T41" i="1" s="1"/><c r="T42" i="1" s="1"/><c r="T43" i="1" s="1"/><c r="T44" i="1" s="1"/><c r="T45" i="1" s="1"/><c r="T46" i="1" s="1"/><c r="T47" i="1" s="1"/><c r="T48" i="1" s="1"/><c r="T49" i="1" s="1"/><c r="T50" i="1" s="1"/><c r="T51" i="1" s="1"/><c r="T52" i="1" s="1"/><c r="T53" i="1" s="1"/><c r="T54" i="1" s="1"/><c r="T55" i="1" s="1"/><c r="T56" i="1" s="1"/><c r="T57" i="1" s="1"/><c r="T58" i="1" s="1"/><c r="T59" i="1" s="1"/><c r="T60" i="1" s="1"/><c r="T61" i="1" s="1"/><c r="T62" i="1" s="1"/><c r="T63" i="1" s="1"/><c r="T64" i="1" s="1"/><c r="T65" i="1" s="1"/><c r="T66" i="1" s="1"/><c r="T67" i="1" s="1"/><c r="T68" i="1" s="1"/><c r="T69" i="1" s="1"/><c r="T70" i="1" s="1"/><c r="T71" i="1" s="1"/><c r="T72" i="1" s="1"/><c r="T73" i="1" s="1"/><c r="T74" i="1" s="1"/><c r="T75" i="1" s="1"/><c r="T76" i="1" s="1"/><c r="T77" i="1" s="1"/><c r="T78" i="1" s="1"/><c r="T79" i="1" s="1"/><c r="T80" i="1" s="1"/><c r="T81" i="1" s="1"/><c r="T82" i="1" s="1"/><c r="T83" i="1" s="1"/><c r="T84" i="1" s="1"/><c r="T85" i="1" s="1"/><c r="T86" i="1" s="1"/><c r="T87" i="1" s="1"/><c r="T88" i="1" s="1"/><c r="T89" i="1" s="1"/><c r="T90" i="1" s="1"/><c r="T91" i="1" s="1"/><c r="T92" i="1" s="1"/><c r="T93" i="1" s="1"/><c r="T94" i="1" s="1"/><c r="T95" i="1" s="1"/><c r="T96" i="1" s="1"/><c r="T97" i="1" s="1"/><c r="T98" i="1" s="1"/><c r="T99" i="1" s="1"/><c r="T100" i="1" s="1"/><c r="T101" i="1" s="1"/><c r="T102" i="1" s="1"/><c r="T103" i="1" s="1"/><c r="T104" i="1" s="1"/><c r="T105" i="1" s="1"/><c r="T106" i="1" s="1"/><c r="T107" i="1" s="1"/><c r="T108" i="1" s="1"/><c r="T109" i="1" s="1"/><c r="T110" i="1" s="1"/><c r="T111" i="1" s="1"/><c r="T112" i="1" s="1"/><c r="T113" i="1" s="1"/><c r="T114" i="1" s="1"/><c r="T115" i="1" s="1"/><c r="T116" i="1" s="1"/><c r="T117" i="1" s="1"/><c r="T118" i="1" s="1"/><c r="T119" i="1" s="1"/><c r="T120" i="1" s="1"/><c r="T121" i="1" s="1"/><c r="T122" i="1" s="1"/><c r="T123" i="1" s="1"/><c r="T124" i="1" s="1"/><c r="T125" i="1" s="1"/><c r="T126" i="1" s="1"/><c r="T127" i="1" s="1"/><c r="T128" i="1" s="1"/><c r="T129" i="1" s="1"/><c r="T130" i="1" s="1"/><c r="T131" i="1" s="1"/><c r="T132" i="1" s="1"/><c r="T133" i="1" s="1"/><c r="T134" i="1" s="1"/><c r="T135" i="1" s="1"/><c r="T136" i="1" s="1"/><c r="T137" i="1" s="1"/><c r="T138" i="1" s="1"/><c r="T139" i="1" s="1"/><c r="T140" i="1" s="1"/><c r="T141" i="1" s="1"/><c r="T142" i="1" s="1"/><c r="T143" i="1" s="1"/><c r="T144" i="1" s="1"/><c r="T145" i="1" s="1"/><c r="T146" i="1" s="1"/><c r="T147" i="1" s="1"/><c r="T148" i="1" s="1"/><c r="T149" i="1" s="1"/><c r="T150" i="1" s="1"/><c r="T151" i="1" s="1"/><c r="T152" i="1" s="1"/><c r="T153" i="1" s="1"/><c r="T154" i="1" s="1"/><c r="T155" i="1" s="1"/><c r="T156" i="1" s="1"/><c r="T157" i="1" s="1"/><c r="T158" i="1" s="1"/><c r="T159" i="1" s="1"/><c r="T160" i="1" s="1"/><c r="T161" i="1" s="1"/><c r="T162" i="1" s="1"/><c r="T163" i="1" s="1"/><c r="T164" i="1" s="1"/><c r="T165" i="1" s="1"/><c r="T166" i="1" s="1"/><c r="T167" i="1" s="1"/><c r="T168" i="1" s="1"/><c r="T169" i="1" s="1"/><c r="T170" i="1" s="1"/><c r="T171" i="1" s="1"/><c r="T172" i="1" s="1"/><c r="T173" i="1" s="1"/><c r="T174" i="1" s="1"/><c r="T175" i="1" s="1"/><c r="T176" i="1" s="1"/><c r="T177" i="1" s="1"/><c r="T178" i="1" s="1"/><c r="T179" i="1" s="1"/><c r="T180" i="1" s="1"/><c r="T181" i="1" s="1"/><c r="T182" i="1" s="1"/><c r="T183" i="1" s="1"/><c r="T184" i="1" s="1"/><c r="T185" i="1" s="1"/><c r="T186" i="1" s="1"/><c r="T187" i="1" s="1"/><c r="T188" i="1" s="1"/><c r="T189" i="1" s="1"/><c r="T190" i="1" s="1"/><c r="T191" i="1" s="1"/><c r="T192" i="1" s="1"/><c r="T193" i="1" s="1"/><c r="T194" i="1" s="1"/><c r="T195" i="1" s="1"/><c r="T196" i="1" s="1"/><c r="T197" i="1" s="1"/><c r="T198" i="1" s="1"/><c r="T199" i="1" s="1"/><c r="T200" i="1" s="1"/><c r="T201" i="1" s="1"/><c r="T202" i="1" s="1"/><c r="T203" i="1" s="1"/><c r="T204" i="1" s="1"/><c r="T205" i="1" s="1"/><c r="T206" i="1" s="1"/><c r="T207" i="1" s="1"/><c r="T208" i="1" s="1"/><c r="T209" i="1" s="1"/><c r="T210" i="1" s="1"/><c r="T211" i="1" s="1"/><c r="T212" i="1" s="1"/><c r="T213" i="1" s="1"/><c r="T214" i="1" s="1"/><c r="T215" i="1" s="1"/><c r="T216" i="1" s="1"/><c r="T217" i="1" s="1"/><c r="T218" i="1" s="1"/><c r="T219" i="1" s="1"/><c r="T220" i="1" s="1"/><c r="T221" i="1" s="1"/><c r="T222" i="1" s="1"/><c r="T223" i="1" s="1"/><c r="T224" i="1" s="1"/><c r="T225" i="1" s="1"/><c r="T226" i="1" s="1"/><c r="T227" i="1" s="1"/><c r="T228" i="1" s="1"/><c r="T229" i="1" s="1"/><c r="T230" i="1" s="1"/><c r="T231" i="1" s="1"/><c r="T232" i="1" s="1"/><c r="T233" i="1" s="1"/><c r="T234" i="1" s="1"/><c r="T235" i="1" s="1"/><c r="T236" i="1" s="1"/><c r="T237" i="1" s="1"/><c r="T238" i="1" s="1"/><c r="T239" i="1" s="1"/><c r="T240" i="1" s="1"/><c r="T241" i="1" s="1"/><c r="T242" i="1" s="1"/><c r="T243" i="1" s="1"/><c r="T244" i="1" s="1"/><c r="T245" i="1" s="1"/><c r="T246" i="1" s="1"/><c r="T247" i="1" s="1"/><c r="T248" i="1" s="1"/><c r="T249" i="1" s="1"/><c r="T250" i="1" s="1"/><c r="T251" i="1" s="1"/><c r="T252" i="1" s="1"/><c r="T253" i="1" s="1"/><c r="T254" i="1" s="1"/><c r="T255" i="1" s="1"/><c r="T256" i="1" s="1"/><c r="T257" i="1" s="1"/><c r="T258" i="1" s="1"/><c r="T259" i="1" s="1"/><c r="T260" i="1" s="1"/><c r="T261" i="1" s="1"/><c r="T262" i="1" s="1"/><c r="T263" i="1" s="1"/><c r="T264" i="1" s="1"/><c r="T265" i="1" s="1"/><c r="T266" i="1" s="1"/><c r="T267" i="1" s="1"/><c r="T268" i="1" s="1"/><c r="T269" i="1" s="1"/><c r="T270" i="1" s="1"/><c r="T271" i="1" s="1"/><c r="T272" i="1" s="1"/><c r="T273" i="1" s="1"/><c r="T274" i="1" s="1"/><c r="T275" i="1" s="1"/><c r="T276" i="1" s="1"/><c r="T277" i="1" s="1"/><c r="T278" i="1" s="1"/><c r="T279" i="1" s="1"/><c r="T280" i="1" s="1"/><c r="T281" i="1" s="1"/><c r="T282" i="1" s="1"/><c r="T283" i="1" s="1"/><c r="T284" i="1" s="1"/><c r="T285" i="1" s="1"/><c r="T286" i="1" s="1"/><c r="T287" i="1" s="1"/><c r="T288" i="1" s="1"/><c r="T289" i="1" s="1"/><c r="T290" i="1" s="1"/><c r="T291" i="1" s="1"/><c r="T292" i="1" s="1"/><c r="T293" i="1" s="1"/><c r="T294" i="1" s="1"/><c r="T295" i="1" s="1"/><c r="T296" i="1" s="1"/><c r="T297" i="1" s="1"/><c r="T298" i="1" s="1"/><c r="T299" i="1" s="1"/><c r="T300" i="1" s="1"/><c r="T301" i="1" s="1"/><c r="T302" i="1" s="1"/><c r="T303" i="1" s="1"/><c r="T304" i="1" s="1"/><c r="T305" i="1" s="1"/><c r="T306" i="1" s="1"/><c r="T307" i="1" s="1"/><c r="T308" i="1" s="1"/><c r="T309" i="1" s="1"/><c r="T310" i="1" s="1"/><c r="T311" i="1" s="1"/><c r="T312" i="1" s="1"/><c r="T313" i="1" s="1"/><c r="T314" i="1" s="1"/><c r="T315" i="1" s="1"/><c r="T316" i="1" s="1"/><c r="T317" i="1" s="1"/><c r="T318" i="1" s="1"/><c r="T319" i="1" s="1"/><c r="T320" i="1" s="1"/><c r="T321" i="1" s="1"/><c r="T322" i="1" s="1"/><c r="T323" i="1" s="1"/><c r="T324" i="1" s="1"/><c r="T325" i="1" s="1"/><c r="T326" i="1" s="1"/><c r="T327" i="1" s="1"/><c r="T328" i="1" s="1"/><c r="T329" i="1" s="1"/><c r="T330" i="1" s="1"/><c r="T331" i="1" s="1"/><c r="T332" i="1" s="1"/><c r="T333" i="1" s="1"/><c r="T334" i="1" s="1"/><c r="T335" i="1" s="1"/><c r="T336" i="1" s="1"/><c r="T337" i="1" s="1"/><c r="T338" i="1" s="1"/><c r="T339" i="1" s="1"/><c r="T340" i="1" s="1"/><c r="T341" i="1" s="1"/><c r="T342" i="1" s="1"/><c r="T343" i="1" s="1"/><c r="T344" i="1" s="1"/><c r="T345" i="1" s="1"/><c r="T346" i="1" s="1"/><c r="T347" i="1" s="1"/><c r="T348" i="1" s="1"/><c r="T349" i="1" s="1"/><c r="T350" i="1" s="1"/><c r="T351" i="1" s="1"/><c r="T352" i="1" s="1"/><c r="T353" i="1" s="1"/><c r="T354" i="1" s="1"/><c r="T355" i="1" s="1"/><c r="T356" i="1" s="1"/><c r="T357" i="1" s="1"/><c r="T358" i="1" s="1"/><c r="T359" i="1" s="1"/><c r="T360" i="1" s="1"/><c r="T361" i="1" s="1"/><c r="T362" i="1" s="1"/><c r="T363" i="1" s="1"/><c r="T364" i="1" s="1"/><c r="T365" i="1" s="1"/><c r="T366" i="1" s="1"/><c r="T367" i="1" s="1"/><c r="T368" i="1" s="1"/><c r="T369" i="1" s="1"/><c r="T370" i="1" s="1"/><c r="T371" i="1" s="1"/><c r="T372" i="1" s="1"/><c r="T373" i="1" s="1"/><c r="T374" i="1" s="1"/><c r="T375" i="1" s="1"/><c r="T376" i="1" s="1"/><c r="T377" i="1" s="1"/><c r="T378" i="1" s="1"/><c r="T379" i="1" s="1"/><c r="T380" i="1" s="1"/><c r="T381" i="1" s="1"/><c r="T382" i="1" s="1"/><c r="T383" i="1" s="1"/><c r="T384" i="1" s="1"/><c r="T385" i="1" s="1"/><c r="T386" i="1" s="1"/><c r="T387" i="1" s="1"/><c r="T388" i="1" s="1"/><c r="T389" i="1" s="1"/><c r="T390" i="1" s="1"/><c r="T391" i="1" s="1"/><c r="T392" i="1" s="1"/><c r="T393" i="1" s="1"/><c r="T394" i="1" s="1"/><c r="T395" i="1" s="1"/><c r="T396" i="1" s="1"/><c r="T397" i="1" s="1"/><c r="T398" i="1" s="1"/><c r="T399" i="1" s="1"/><c r="T400" i="1" s="1"/><c r="T401" i="1" s="1"/><c r="T402" i="1" s="1"/><c r="T403" i="1" s="1"/><c r="T404" i="1" s="1"/><c r="T405" i="1" s="1"/><c r="T406" i="1" s="1"/><c r="T407" i="1" s="1"/><c r="T408" i="1" s="1"/><c r="T409" i="1" s="1"/><c r="T410" i="1" s="1"/><c r="T411" i="1" s="1"/><c r="T412" i="1" s="1"/><c r="T413" i="1" s="1"/><c r="T414" i="1" s="1"/><c r="T415" i="1" s="1"/><c r="T416" i="1" s="1"/><c r="T417" i="1" s="1"/><c r="T418" i="1" s="1"/><c r="T419" i="1" s="1"/><c r="T420" i="1" s="1"/><c r="T421" i="1" s="1"/><c r="T422" i="1" s="1"/><c r="T423" i="1" s="1"/><c r="T424" i="1" s="1"/><c r="T425" i="1" s="1"/><c r="T426" i="1" s="1"/><c r="T427" i="1" s="1"/><c r="T428" i="1" s="1"/><c r="T429" i="1" s="1"/><c r="T430" i="1" s="1"/><c r="T431" i="1" s="1"/><c r="T432" i="1" s="1"/><c r="T433" i="1" s="1"/><c r="T434" i="1" s="1"/><c r="T435" i="1" s="1"/><c r="T436" i="1" s="1"/><c r="T437" i="1" s="1"/><c r="T438" i="1" s="1"/><c r="T439" i="1" s="1"/><c r="T440" i="1" s="1"/><c r="T441" i="1" s="1"/><c r="T442" i="1" s="1"/><c r="T443" i="1" s="1"/><c r="T444" i="1" s="1"/><c r="T445" i="1" s="1"/><c r="T446" i="1" s="1"/><c r="T447" i="1" s="1"/><c r="T448" i="1" s="1"/><c r="T449" i="1" s="1"/><c r="T450" i="1" s="1"/><c r="T451" i="1" s="1"/><c r="T452" i="1" s="1"/><c r="T453" i="1" s="1"/><c r="T454" i="1" s="1"/><c r="T455" i="1" s="1"/><c r="T456" i="1" s="1"/><c r="T457" i="1" s="1"/><c r="T458" i="1" s="1"/><c r="T459" i="1" s="1"/><c r="T460" i="1" s="1"/><c r="T461" i="1" s="1"/><c r="T462" i="1" s="1"/><c r="T463" i="1" s="1"/><c r="T464" i="1" s="1"/><c r="T465" i="1" s="1"/><c r="T466" i="1" s="1"/><c r="T467" i="1" s="1"/><c r="T468" i="1" s="1"/><c r="T469" i="1" s="1"/><c r="T470" i="1" s="1"/><c r="T471" i="1" s="1"/><c r="T472" i="1" s="1"/><c r="T473" i="1" s="1"/><c r="T474" i="1" s="1"/><c r="T475" i="1" s="1"/><c r="T476" i="1" s="1"/><c r="T477" i="1" s="1"/><c r="T478" i="1" s="1"/><c r="T479" i="1" s="1"/><c r="T480" i="1" s="1"/><c r="T481" i="1" s="1"/><c r="T482" i="1" s="1"/><c r="T483" i="1" s="1"/><c r="T484" i="1" s="1"/><c r="T485" i="1" s="1"/><c r="T486" i="1" s="1"/><c r="T487" i="1" s="1"/><c r="T488" i="1" s="1"/><c r="T489" i="1" s="1"/><c r="T490" i="1" s="1"/><c r="T491" i="1" s="1"/><c r="T492" i="1" s="1"/><c r="T493" i="1" s="1"/><c r="T494" i="1" s="1"/><c r="T495" i="1" s="1"/><c r="T496" i="1" s="1"/><c r="T497" i="1" s="1"/><c r="T498" i="1" s="1"/><c r="T499" i="1" s="1"/><c r="T500" i="1" s="1"/><c r="T501" i="1" s="1"/><c r="T502" i="1" s="1"/><c r="T503" i="1" s="1"/><c r="T504" i="1" s="1"/><c r="T505" i="1" s="1"/><c r="T506" i="1" s="1"/><c r="T507" i="1" s="1"/><c r="T508" i="1" s="1"/><c r="T509" i="1" s="1"/><c r="T510" i="1" s="1"/><c r="T511" i="1" s="1"/><c r="T512" i="1" s="1"/><c r="T513" i="1" s="1"/><c r="T514" i="1" s="1"/><c r="T515" i="1" s="1"/><c r="T516" i="1" s="1"/><c r="T517" i="1" s="1"/><c r="T518" i="1" s="1"/><c r="T519" i="1" s="1"/><c r="T520" i="1" s="1"/><c r="T521" i="1" s="1"/><c r="T522" i="1" s="1"/><c r="T523" i="1" s="1"/><c r="T524" i="1" s="1"/><c r="T525" i="1" s="1"/><c r="T526" i="1" s="1"/><c r="T527" i="1" s="1"/><c r="T528" i="1" s="1"/><c r="T529" i="1" s="1"/><c r="T530" i="1" s="1"/><c r="T531" i="1" s="1"/><c r="T532" i="1" s="1"/><c r="T533" i="1" s="1"/><c r="T534" i="1" s="1"/><c r="T535" i="1" s="1"/><c r="T536" i="1" s="1"/><c r="T537" i="1" s="1"/><c r="T538" i="1" s="1"/><c r="T539" i="1" s="1"/><c r="T540" i="1" s="1"/><c r="T541" i="1" s="1"/><c r="T542" i="1" s="1"/><c r="T543" i="1" s="1"/><c r="T544" i="1" s="1"/><c r="T545" i="1" s="1"/><c r="T546" i="1" s="1"/><c r="T547" i="1" s="1"/><c r="T548" i="1" s="1"/><c r="T549" i="1" s="1"/><c r="T550" i="1" s="1"/><c r="T551" i="1" s="1"/><c r="T552" i="1" s="1"/><c r="T553" i="1" s="1"/><c r="T554" i="1" s="1"/><c r="T555" i="1" s="1"/><c r="T556" i="1" s="1"/><c r="T557" i="1" s="1"/><c r="T558" i="1" s="1"/><c r="T559" i="1" s="1"/><c r="T560" i="1" s="1"/><c r="T561" i="1" s="1"/><c r="T562" i="1" s="1"/><c r="T563" i="1" s="1"/><c r="T564" i="1" s="1"/><c r="T565" i="1" s="1"/><c r="T566" i="1" s="1"/><c r="T567" i="1" s="1"/><c r="T568" i="1" s="1"/><c r="T569" i="1" s="1"/><c r="T570" i="1" s="1"/><c r="T571" i="1" s="1"/><c r="T572" i="1" s="1"/><c r="T573" i="1" s="1"/><c r="T574" i="1" s="1"/><c r="T575" i="1" s="1"/><c r="T576" i="1" s="1"/><c r="T577" i="1" s="1"/><c r="T578" i="1" s="1"/><c r="T579" i="1" s="1"/><c r="T580" i="1" s="1"/><c r="T581" i="1" s="1"/><c r="T582" i="1" s="1"/><c r="T583" i="1" s="1"/><c r="T584" i="1" s="1"/><c r="T585" i="1" s="1"/><c r="T586" i="1" s="1"/><c r="T587" i="1" s="1"/><c r="T588" i="1" s="1"/><c r="T589" i="1" s="1"/><c r="T590" i="1" s="1"/><c r="T591" i="1" s="1"/><c r="T592" i="1" s="1"/><c r="T593" i="1" s="1"/><c r="T594" i="1" s="1"/><c r="T595" i="1" s="1"/><c r="T596" i="1" s="1"/><c r="T597" i="1" s="1"/><c r="T598" i="1" s="1"/><c r="T599" i="1" s="1"/><c r="T600" i="1" s="1"/><c r="T601" i="1" s="1"/><c r="T602" i="1" s="1"/><c r="T603" i="1" s="1"/><c r="T604" i="1" s="1"/><c r="T605" i="1" s="1"/><c r="T606" i="1" s="1"/><c r="T607" i="1" s="1"/><c r="T608" i="1" s="1"/><c r="T609" i="1" s="1"/><c r="T610" i="1" s="1"/><c r="T611" i="1" s="1"/><c r="T612" i="1" s="1"/><c r="T613" i="1" s="1"/><c r="T614" i="1" s="1"/><c r="T615" i="1" s="1"/><c r="T616" i="1" s="1"/><c r="T617" i="1" s="1"/><c r="T618" i="1" s="1"/><c r="T619" i="1" s="1"/><c r="T620" i="1" s="1"/><c r="T621" i="1" s="1"/><c r="T622" i="1" s="1"/><c r="T623" i="1" s="1"/><c r="T624" i="1" s="1"/><c r="T625" i="1" s="1"/><c r="T626" i="1" s="1"/><c r="T627" i="1" s="1"/><c r="T628" i="1" s="1"/><c r="T629" i="1" s="1"/><c r="T630" i="1" s="1"/><c r="T631" i="1" s="1"/><c r="T632" i="1" s="1"/><c r="T633" i="1" s="1"/><c r="T634" i="1" s="1"/><c r="T635" i="1" s="1"/><c r="T636" i="1" s="1"/><c r="T637" i="1" s="1"/><c r="T638" i="1" s="1"/><c r="T639" i="1" s="1"/><c r="T640" i="1" s="1"/><c r="T641" i="1" s="1"/><c r="T642" i="1" s="1"/><c r="T643" i="1" s="1"/><c r="T644" i="1" s="1"/><c r="T645" i="1" s="1"/><c r="T646" i="1" s="1"/><c r="T647" i="1" s="1"/><c r="T648" i="1" s="1"/><c r="T649" i="1" s="1"/><c r="T650" i="1" s="1"/><c r="T651" i="1" s="1"/><c r="T652" i="1" s="1"/><c r="T653" i="1" s="1"/><c r="T654" i="1" s="1"/><c r="T655" i="1" s="1"/><c r="T656" i="1" s="1"/><c r="T657" i="1" s="1"/><c r="T658" i="1" s="1"/><c r="T659" i="1" s="1"/><c r="T660" i="1" s="1"/><c r="T661" i="1" s="1"/><c r="T662" i="1" s="1"/><c r="T663" i="1" s="1"/><c r="T664" i="1" s="1"/><c r="T665" i="1" s="1"/><c r="T666" i="1" s="1"/><c r="T667" i="1" s="1"/><c r="T668" i="1" s="1"/><c r="T669" i="1" s="1"/><c r="T670" i="1" s="1"/><c r="T671" i="1" s="1"/><c r="T672" i="1" s="1"/><c r="T673" i="1" s="1"/><c r="T674" i="1" s="1"/><c r="T675" i="1" s="1"/><c r="T676" i="1" s="1"/><c r="T677" i="1" s="1"/><c r="T678" i="1" s="1"/><c r="T679" i="1" s="1"/><c r="T680" i="1" s="1"/><c r="T681" i="1" s="1"/><c r="T682" i="1" s="1"/><c r="T683" i="1" s="1"/><c r="T684" i="1" s="1"/><c r="T685" i="1" s="1"/><c r="T686" i="1" s="1"/><c r="T687" i="1" s="1"/><c r="T688" i="1" s="1"/><c r="T689" i="1" s="1"/><c r="T690" i="1" s="1"/><c r="T691" i="1" s="1"/><c r="T692" i="1" s="1"/><c r="T693" i="1" s="1"/><c r="T694" i="1" s="1"/><c r="T695" i="1" s="1"/><c r="T696" i="1" s="1"/><c r="T697" i="1" s="1"/><c r="T698" i="1" s="1"/><c r="T699" i="1" s="1"/><c r="T700" i="1" s="1"/><c r="T701" i="1" s="1"/><c r="T702" i="1" s="1"/><c r="T703" i="1" s="1"/><c r="T704" i="1" s="1"/><c r="T705" i="1" s="1"/><c r="T706" i="1" s="1"/><c r="T707" i="1" s="1"/><c r="T708" i="1" s="1"/><c r="T709" i="1" s="1"/><c r="T710" i="1" s="1"/><c r="T711" i="1" s="1"/><c r="T712" i="1" s="1"/><c r="T713" i="1" s="1"/><c r="T714" i="1" s="1"/><c r="T715" i="1" s="1"/><c r="T716" i="1" s="1"/><c r="T717" i="1" s="1"/><c r="T718" i="1" s="1"/><c r="T719" i="1" s="1"/><c r="T720" i="1" s="1"/><c r="T721" i="1" s="1"/><c r="T722" i="1" s="1"/><c r="T723" i="1" s="1"/><c r="T724" i="1" s="1"/><c r="T725" i="1" s="1"/><c r="T726" i="1" s="1"/><c r="T727" i="1" s="1"/><c r="T728" i="1" s="1"/><c r="T729" i="1" s="1"/><c r="T730" i="1" s="1"/><c r="T731" i="1" s="1"/><c r="T732" i="1" s="1"/><c r="T733" i="1" s="1"/><c r="T734" i="1" s="1"/><c r="T735" i="1" s="1"/><c r="T736" i="1" s="1"/><c r="T737" i="1" s="1"/><c r="T738" i="1" s="1"/><c r="T739" i="1" s="1"/><c r="T740" i="1" s="1"/><c r="T741" i="1" s="1"/><c r="T742" i="1" s="1"/><c r="T743" i="1" s="1"/><c r="T744" i="1" s="1"/><c r="T745" i="1" s="1"/><c r="T746" i="1" s="1"/><c r="T747" i="1" s="1"/><c r="T748" i="1" s="1"/><c r="T749" i="1" s="1"/><c r="T750" i="1" s="1"/><c r="T751" i="1" s="1"/><c r="T752" i="1" s="1"/><c r="T753" i="1" s="1"/><c r="T754" i="1" s="1"/><c r="T755" i="1" s="1"/><c r="T756" i="1" s="1"/><c r="T757" i="1" s="1"/><c r="T758" i="1" s="1"/><c r="T759" i="1" s="1"/><c r="T760" i="1" s="1"/><c r="T761" i="1" s="1"/><c r="T762" i="1" s="1"/><c r="T763" i="1" s="1"/><c r="T764" i="1" s="1"/><c r="T765" i="1" s="1"/><c r="T766" i="1" s="1"/><c r="T767" i="1" s="1"/><c r="T768" i="1" s="1"/><c r="T769" i="1" s="1"/><c r="T770" i="1" s="1"/><c r="T771" i="1" s="1"/><c r="T772" i="1" s="1"/><c r="T773" i="1" s="1"/><c r="T774" i="1" s="1"/><c r="T775" i="1" s="1"/><c r="T776" i="1" s="1"/><c r="T777" i="1" s="1"/><c r="T778" i="1" s="1"/><c r="T779" i="1" s="1"/><c r="T780" i="1" s="1"/><c r="T781" i="1" s="1"/><c r="T782" i="1" s="1"/><c r="T783" i="1" s="1"/><c r="T784" i="1" s="1"/><c r="T785" i="1" s="1"/><c r="T786" i="1" s="1"/><c r="T787" i="1" s="1"/><c r="T788" i="1" s="1"/><c r="T789" i="1" s="1"/><c r="T790" i="1" s="1"/><c r="T791" i="1" s="1"/><c r="T792" i="1" s="1"/><c r="T793" i="1" s="1"/><c r="T794" i="1" s="1"/><c r="T795" i="1" s="1"/><c r="T796" i="1" s="1"/><c r="T797" i="1" s="1"/><c r="T798" i="1" s="1"/><c r="T799" i="1" s="1"/><c r="T800" i="1" s="1"/><c r="T801" i="1" s="1"/><c r="T802" i="1" s="1"/><c r="T803" i="1" s="1"/><c r="T804" i="1" s="1"/><c r="T805" i="1" s="1"/><c r="T806" i="1" s="1"/><c r="T807" i="1" s="1"/><c r="T808" i="1" s="1"/><c r="T809" i="1" s="1"/><c r="T810" i="1" s="1"/><c r="T811" i="1" s="1"/><c r="T812" i="1" s="1"/><c r="T813" i="1" s="1"/><c r="T814" i="1" s="1"/><c r="T815" i="1" s="1"/><c r="T816" i="1" s="1"/><c r="T817" i="1" s="1"/><c r="T818" i="1" s="1"/><c r="T819" i="1" s="1"/><c r="T820" i="1" s="1"/><c r="T821" i="1" s="1"/><c r="T822" i="1" s="1"/><c r="T823" i="1" s="1"/><c r="T824" i="1" s="1"/><c r="T825" i="1" s="1"/><c r="T826" i="1" s="1"/><c r="T827" i="1" s="1"/><c r="T828" i="1" s="1"/><c r="T829" i="1" s="1"/><c r="T830" i="1" s="1"/><c r="T831" i="1" s="1"/><c r="T832" i="1" s="1"/><c r="T833" i="1" s="1"/><c r="T834" i="1" s="1"/><c r="T835" i="1" s="1"/><c r="T836" i="1" s="1"/><c r="T837" i="1" s="1"/><c r="T838" i="1" s="1"/><c r="T839" i="1" s="1"/><c r="T840" i="1" s="1"/><c r="T841" i="1" s="1"/><c r="T842" i="1" s="1"/><c r="T843" i="1" s="1"/><c r="T844" i="1" s="1"/><c r="T845" i="1" s="1"/><c r="T846" i="1" s="1"/><c r="T847" i="1" s="1"/><c r="T848" i="1" s="1"/><c r="T849" i="1" s="1"/><c r="T850" i="1" s="1"/><c r="T851" i="1" s="1"/><c r="T852" i="1" s="1"/><c r="T853" i="1" s="1"/><c r="T854" i="1" s="1"/><c r="T855" i="1" s="1"/><c r="T856" i="1" s="1"/><c r="T857" i="1" s="1"/><c r="T858" i="1" s="1"/><c r="T859" i="1" s="1"/><c r="T860" i="1" s="1"/><c r="T861" i="1" s="1"/><c r="T862" i="1" s="1"/><c r="T863" i="1" s="1"/><c r="T864" i="1" s="1"/><c r="T865" i="1" s="1"/><c r="T866" i="1" s="1"/><c r="T867" i="1" s="1"/><c r="T868" i="1" s="1"/><c r="T869" i="1" s="1"/><c r="T870" i="1" s="1"/><c r="T871" i="1" s="1"/><c r="T872" i="1" s="1"/><c r="T873" i="1" s="1"/><c r="T874" i="1" s="1"/><c r="T875" i="1" s="1"/><c r="T876" i="1" s="1"/><c r="T877" i="1" s="1"/><c r="T878" i="1" s="1"/><c r="T879" i="1" s="1"/><c r="T880" i="1" s="1"/><c r="T881" i="1" s="1"/><c r="T882" i="1" s="1"/><c r="T883" i="1" s="1"/><c r="T884" i="1" s="1"/><c r="T885" i="1" s="1"/><c r="T886" i="1" s="1"/><c r="T887" i="1" s="1"/><c r="T888" i="1" s="1"/><c r="T889" i="1" s="1"/><c r="T890" i="1" s="1"/><c r="T891" i="1" s="1"/><c r="T892" i="1" s="1"/><c r="T893" i="1" s="1"/><c r="T894" i="1" s="1"/><c r="T895" i="1" s="1"/><c r="T896" i="1" s="1"/><c r="T897" i="1" s="1"/><c r="T898" i="1" s="1"/><c r="T899" i="1" s="1"/><c r="T900" i="1" s="1"/><c r="T901" i="1" s="1"/><c r="T902" i="1" s="1"/><c r="T903" i="1" s="1"/><c r="T904" i="1" s="1"/><c r="T905" i="1" s="1"/><c r="T906" i="1" s="1"/><c r="T907" i="1" s="1"/><c r="T908" i="1" s="1"/><c r="T909" i="1" s="1"/><c r="T910" i="1" s="1"/><c r="T911" i="1" s="1"/><c r="T912" i="1" s="1"/><c r="T913" i="1" s="1"/><c r="T914" i="1" s="1"/><c r="T915" i="1" s="1"/><c r="T916" i="1" s="1"/><c r="T917" i="1" s="1"/><c r="T918" i="1" s="1"/><c r="T919" i="1" s="1"/><c r="T920" i="1" s="1"/><c r="T921" i="1" s="1"/><c r="T922" i="1" s="1"/><c r="T923" i="1" s="1"/><c r="T924" i="1" s="1"/><c r="T925" i="1" s="1"/><c r="T926" i="1" s="1"/><c r="T927" i="1" s="1"/><c r="T928" i="1" s="1"/><c r="T929" i="1" s="1"/><c r="T930" i="1" s="1"/><c r="T931" i="1" s="1"/><c r="T932" i="1" s="1"/><c r="T933" i="1" s="1"/><c r="T934" i="1" s="1"/><c r="T935" i="1" s="1"/><c r="T936" i="1" s="1"/><c r="T937" i="1" s="1"/><c r="T938" i="1" s="1"/><c r="T939" i="1" s="1"/><c r="T940" i="1" s="1"/><c r="T941" i="1" s="1"/><c r="T942" i="1" s="1"/><c r="T943" i="1" s="1"/><c r="T944" i="1" s="1"/><c r="T945" i="1" s="1"/><c r="T946" i="1" s="1"/><c r="T947" i="1" s="1"/><c r="T948" i="1" s="1"/><c r="T949" i="1" s="1"/><c r="T950" i="1" s="1"/><c r="T951" i="1" s="1"/><c r="T952" i="1" s="1"/><c r="T953" i="1" s="1"/><c r="T954" i="1" s="1"/><c r="T955" i="1" s="1"/><c r="T956" i="1" s="1"/><c r="T957" i="1" s="1"/><c r="T958" i="1" s="1"/><c r="T959" i="1" s="1"/><c r="T960" i="1" s="1"/><c r="T961" i="1" s="1"/><c r="T962" i="1" s="1"/><c r="T963" i="1" s="1"/><c r="T964" i="1" s="1"/><c r="T965" i="1" s="1"/><c r="T966" i="1" s="1"/><c r="T967" i="1" s="1"/><c r="T968" i="1" s="1"/><c r="T969" i="1" s="1"/><c r="T970" i="1" s="1"/><c r="T971" i="1" s="1"/><c r="T972" i="1" s="1"/><c r="T973" i="1" s="1"/><c r="T974" i="1" s="1"/><c r="T975" i="1" s="1"/><c r="T976" i="1" s="1"/><c r="T977" i="1" s="1"/><c r="T978" i="1" s="1"/><c r="T979" i="1" s="1"/><c r="T980" i="1" s="1"/><c r="T981" i="1" s="1"/><c r="T982" i="1" s="1"/><c r="T983" i="1" s="1"/><c r="T984" i="1" s="1"/><c r="T985" i="1" s="1"/><c r="T986" i="1" s="1"/><c r="T987" i="1" s="1"/><c r="T988" i="1" s="1"/><c r="T989" i="1" s="1"/><c r="T990" i="1" s="1"/><c r="T991" i="1" s="1"/><c r="T992" i="1" s="1"/><c r="T993" i="1" s="1"/><c r="T994" i="1" s="1"/><c r="T995" i="1" s="1"/><c r="T996" i="1" s="1"/><c r="T997" i="1" s="1"/><c r="T998" i="1" s="1"/><c r="T999" i="1" s="1"/><c r="T1000" i="1" s="1"/><c r="T1001" i="1" s="1"/><c r="T1002" i="1" s="1"/><c r="T1003" i="1" s="1"/><c r="T1004" i="1" s="1"/><c r="T1005" i="1" s="1"/><c r="T1006" i="1" s="1"/><c r="T1007" i="1" s="1"/><c r="T1008" i="1" s="1"/><c r="T1009" i="1" s="1"/><c r="T1010" i="1" s="1"/><c r="T1011" i="1" s="1"/><c r="T1012" i="1" s="1"/><c r="T1013" i="1" s="1"/><c r="T1014" i="1" s="1"/><c r="T1015" i="1" s="1"/><c r="T1016" i="1" s="1"/><c r="T1017" i="1" s="1"/><c r="T1018" i="1" s="1"/><c r="T1019" i="1" s="1"/><c r="T1020" i="1" s="1"/><c r="T1021" i="1" s="1"/><c r="T1022" i="1" s="1"/><c r="T1023" i="1" s="1"/><c r="T1024" i="1" s="1"/><c r="T1025" i="1" s="1"/><c r="T1026" i="1" s="1"/><c r="T1027" i="1" s="1"/><c r="T1028" i="1" s="1"/><c r="T1029" i="1" s="1"/><c r="T1030" i="1" s="1"/><c r="T1031" i="1" s="1"/><c r="T1032" i="1" s="1"/><c r="T1033" i="1" s="1"/><c r="T1034" i="1" s="1"/><c r="T1035" i="1" s="1"/><c r="T1036" i="1" s="1"/><c r="T1037" i="1" s="1"/><c r="T1038" i="1" s="1"/><c r="T1039" i="1" s="1"/><c r="T1040" i="1" s="1"/><c r="T1041" i="1" s="1"/><c r="T1042" i="1" s="1"/><c r="T1043" i="1" s="1"/><c r="T1044" i="1" s="1"/><c r="T1045" i="1" s="1"/><c r="T1046" i="1" s="1"/><c r="T1047" i="1" s="1"/><c r="T1048" i="1" s="1"/><c r="T1049" i="1" s="1"/><c r="T1050" i="1" s="1"/><c r="T1051" i="1" s="1"/><c r="T1052" i="1" s="1"/><c r="T1053" i="1" s="1"/><c r="T1054" i="1" s="1"/><c r="T1055" i="1" s="1"/><c r="T1056" i="1" s="1"/><c r="T1057" i="1" s="1"/><c r="T1058" i="1" s="1"/><c r="T1059" i="1" s="1"/><c r="T1060" i="1" s="1"/><c r="T1061" i="1" s="1"/><c r="T1062" i="1" s="1"/><c r="T1063" i="1" s="1"/><c r="T1064" i="1" s="1"/><c r="T1065" i="1" s="1"/><c r="T1066" i="1" s="1"/><c r="T1067" i="1" s="1"/><c r="T1068" i="1" s="1"/><c r="T1069" i="1" s="1"/><c r="T1070" i="1" s="1"/><c r="T1071" i="1" s="1"/><c r="T1072" i="1" s="1"/><c r="T1073" i="1" s="1"/><c r="T1074" i="1" s="1"/><c r="T1075" i="1" s="1"/><c r="T1076" i="1" s="1"/><c r="T1077" i="1" s="1"/><c r="T1078" i="1" s="1"/><c r="T1079" i="1" s="1"/><c r="T1080" i="1" s="1"/><c r="T1081" i="1" s="1"/><c r="T1082" i="1" s="1"/><c r="T1083" i="1" s="1"/><c r="T1084" i="1" s="1"/><c r="T1085" i="1" s="1"/><c r="T1086" i="1" s="1"/><c r="T1087" i="1" s="1"/><c r="T1088" i="1" s="1"/><c r="T1089" i="1" s="1"/><c r="T1090" i="1" s="1"/><c r="T1091" i="1" s="1"/><c r="T1092" i="1" s="1"/><c r="T1093" i="1" s="1"/><c r="T1094" i="1" s="1"/><c r="T1095" i="1" s="1"/><c r="T1096" i="1" s="1"/><c r="T1097" i="1" s="1"/><c r="T1098" i="1" s="1"/><c r="T1099" i="1" s="1"/><c r="T1100" i="1" s="1"/><c r="T1101" i="1" s="1"/><c r="T1102" i="1" s="1"/><c r="T1103" i="1" s="1"/><c r="T1104" i="1" s="1"/><c r="T1105" i="1" s="1"/><c r="T1106" i="1" s="1"/><c r="T1107" i="1" s="1"/><c r="T1108" i="1" s="1"/><c r="T1109" i="1" s="1"/><c r="T1110" i="1" s="1"/><c r="T1111" i="1" s="1"/><c r="T1112" i="1" s="1"/><c r="T1113" i="1" s="1"/><c r="T1114" i="1" s="1"/><c r="T1115" i="1" s="1"/><c r="T1116" i="1" s="1"/><c r="T1117" i="1" s="1"/><c r="T1118" i="1" s="1"/><c r="T1119" i="1" s="1"/><c r="T1120" i="1" s="1"/><c r="T1121" i="1" s="1"/><c r="T1122" i="1" s="1"/><c r="T1123" i="1" s="1"/><c r="T1124" i="1" s="1"/><c r="T1125" i="1" s="1"/><c r="T1126" i="1" s="1"/><c r="T1127" i="1" s="1"/><c r="T1128" i="1" s="1"/><c r="T1129" i="1" s="1"/><c r="T1130" i="1" s="1"/><c r="T1131" i="1" s="1"/><c r="T1132" i="1" s="1"/><c r="T1133" i="1" s="1"/><c r="T1134" i="1" s="1"/><c r="T1135" i="1" s="1"/><c r="T1136" i="1" s="1"/><c r="T1137" i="1" s="1"/><c r="T1138" i="1" s="1"/><c r="T1139" i="1" s="1"/><c r="T1140" i="1" s="1"/><c r="T1141" i="1" s="1"/><c r="T1142" i="1" s="1"/><c r="T1143" i="1" s="1"/><c r="T1144" i="1" s="1"/><c r="T1145" i="1" s="1"/><c r="T1146" i="1" s="1"/><c r="T1147" i="1" s="1"/><c r="T1148" i="1" s="1"/><c r="T1149" i="1" s="1"/><c r="T1150" i="1" s="1"/><c r="T1151" i="1" s="1"/><c r="T1152" i="1" s="1"/><c r="T1153" i="1" s="1"/><c r="T1154" i="1" s="1"/><c r="T1155" i="1" s="1"/><c r="T1156" i="1" s="1"/><c r="T1157" i="1" s="1"/><c r="T1158" i="1" s="1"/><c r="T1159" i="1" s="1"/><c r="T1160" i="1" s="1"/><c r="T1161" i="1" s="1"/><c r="T1162" i="1" s="1"/><c r="T1163" i="1" s="1"/><c r="T1164" i="1" s="1"/><c r="T1165" i="1" s="1"/><c r="T1166" i="1" s="1"/><c r="T1167" i="1" s="1"/><c r="T1168" i="1" s="1"/><c r="T1169" i="1" s="1"/><c r="T1170" i="1" s="1"/><c r="T1171" i="1" s="1"/><c r="T1172" i="1" s="1"/><c r="T1173" i="1" s="1"/><c r="T1174" i="1" s="1"/><c r="T1175" i="1" s="1"/><c r="T1176" i="1" s="1"/><c r="T1177" i="1" s="1"/><c r="T1178" i="1" s="1"/><c r="T1179" i="1" s="1"/><c r="T1180" i="1" s="1"/><c r="T1181" i="1" s="1"/><c r="T1182" i="1" s="1"/><c r="T1183" i="1" s="1"/><c r="T1184" i="1" s="1"/><c r="T1185" i="1" s="1"/><c r="T1186" i="1" s="1"/><c r="T1187" i="1" s="1"/><c r="T1188" i="1" s="1"/><c r="T1189" i="1" s="1"/><c r="T1190" i="1" s="1"/><c r="T1191" i="1" s="1"/><c r="T1192" i="1" s="1"/><c r="T1193" i="1" s="1"/><c r="T1194" i="1" s="1"/><c r="T1195" i="1" s="1"/><c r="T1196" i="1" s="1"/><c r="T1197" i="1" s="1"/><c r="T1198" i="1" s="1"/><c r="T1199" i="1" s="1"/><c r="T1200" i="1" s="1"/><c r="T1201" i="1" s="1"/><c r="T1202" i="1" s="1"/><c r="T1203" i="1" s="1"/><c r="T1204" i="1" s="1"/><c r="T1205" i="1" s="1"/><c r="T1206" i="1" s="1"/><c r="T1207" i="1" s="1"/><c r="T1208" i="1" s="1"/><c r="T1209" i="1" s="1"/><c r="T1210" i="1" s="1"/><c r="T1211" i="1" s="1"/><c r="T1212" i="1" s="1"/><c r="T1213" i="1" s="1"/><c r="T1214" i="1" s="1"/><c r="T1215" i="1" s="1"/><c r="T1216" i="1" s="1"/><c r="T1217" i="1" s="1"/><c r="T1218" i="1" s="1"/><c r="T1219" i="1" s="1"/><c r="T1220" i="1" s="1"/><c r="T1221" i="1" s="1"/><c r="T1222" i="1" s="1"/><c r="T1223" i="1" s="1"/><c r="T1224" i="1" s="1"/><c r="T1225" i="1" s="1"/><c r="T1226" i="1" s="1"/><c r="T1227" i="1" s="1"/><c r="T1228" i="1" s="1"/><c r="T1229" i="1" s="1"/><c r="T1230" i="1" s="1"/><c r="T1231" i="1" s="1"/><c r="T1232" i="1" s="1"/><c r="T1233" i="1" s="1"/><c r="T1234" i="1" s="1"/><c r="T1235" i="1" s="1"/><c r="T1236" i="1" s="1"/><c r="T1237" i="1" s="1"/><c r="T1238" i="1" s="1"/><c r="T1239" i="1" s="1"/><c r="T1240" i="1" s="1"/><c r="T1241" i="1" s="1"/><c r="T1242" i="1" s="1"/><c r="T1243" i="1" s="1"/><c r="T1244" i="1" s="1"/><c r="T1245" i="1" s="1"/><c r="T1246" i="1" s="1"/><c r="T1247" i="1" s="1"/><c r="T1248" i="1" s="1"/><c r="T1249" i="1" s="1"/><c r="T1250" i="1" s="1"/><c r="T1251" i="1" s="1"/><c r="T1252" i="1" s="1"/><c r="T1253" i="1" s="1"/><c r="T1254" i="1" s="1"/><c r="T1255" i="1" s="1"/><c r="T1256" i="1" s="1"/><c r="T1257" i="1" s="1"/><c r="T1258" i="1" s="1"/><c r="T1259" i="1" s="1"/><c r="T1260" i="1" s="1"/><c r="T1261" i="1" s="1"/><c r="T1262" i="1" s="1"/><c r="T1263" i="1" s="1"/><c r="T1264" i="1" s="1"/><c r="T1265" i="1" s="1"/><c r="T1266" i="1" s="1"/><c r="T1267" i="1" s="1"/><c r="T1268" i="1" s="1"/><c r="T1269" i="1" s="1"/><c r="T1270" i="1" s="1"/><c r="T1271" i="1" s="1"/><c r="T1272" i="1" s="1"/><c r="T1273" i="1" s="1"/><c r="T1274" i="1" s="1"/><c r="T1275" i="1" s="1"/><c r="T1276" i="1" s="1"/><c r="T1277" i="1" s="1"/><c r="T1278" i="1" s="1"/><c r="T1279" i="1" s="1"/><c r="T1280" i="1" s="1"/><c r="T1281" i="1" s="1"/><c r="T1282" i="1" s="1"/><c r="T1283" i="1" s="1"/><c r="T1284" i="1" s="1"/><c r="T1285" i="1" s="1"/><c r="T1286" i="1" s="1"/><c r="T1287" i="1" s="1"/><c r="T1288" i="1" s="1"/><c r="T1289" i="1" s="1"/><c r="T1290" i="1" s="1"/><c r="T1291" i="1" s="1"/><c r="T1292" i="1" s="1"/><c r="T1293" i="1" s="1"/><c r="T1294" i="1" s="1"/><c r="T1295" i="1" s="1"/><c r="T1296" i="1" s="1"/><c r="T1297" i="1" s="1"/><c r="T1298" i="1" s="1"/><c r="T1299" i="1" s="1"/><c r="T1300" i="1" s="1"/><c r="T1301" i="1" s="1"/><c r="T1302" i="1" s="1"/><c r="T1303" i="1" s="1"/><c r="T1304" i="1" s="1"/><c r="T1305" i="1" s="1"/><c r="T1306" i="1" s="1"/><c r="T1307" i="1" s="1"/><c r="T1308" i="1" s="1"/><c r="T1309" i="1" s="1"/><c r="T1310" i="1" s="1"/><c r="T1311" i="1" s="1"/><c r="T1312" i="1" s="1"/><c r="T1313" i="1" s="1"/><c r="T1314" i="1" s="1"/><c r="T1315" i="1" s="1"/><c r="T1316" i="1" s="1"/><c r="T1317" i="1" s="1"/><c r="T1318" i="1" s="1"/><c r="T1319" i="1" s="1"/><c r="T1320" i="1" s="1"/><c r="T1321" i="1" s="1"/><c r="T1322" i="1" s="1"/><c r="T1323" i="1" s="1"/><c r="T1324" i="1" s="1"/><c r="T1325" i="1" s="1"/><c r="T1326" i="1" s="1"/><c r="T1327" i="1" s="1"/><c r="T1328" i="1" s="1"/><c r="T1329" i="1" s="1"/><c r="T1330" i="1" s="1"/><c r="T1331" i="1" s="1"/><c r="T1332" i="1" s="1"/><c r="T1333" i="1" s="1"/><c r="T1334" i="1" s="1"/><c r="T1335" i="1" s="1"/><c r="T1336" i="1" s="1"/><c r="T1337" i="1" s="1"/><c r="T1338" i="1" s="1"/><c r="T1339" i="1" s="1"/><c r="T1340" i="1" s="1"/><c r="T1341" i="1" s="1"/><c r="T1342" i="1" s="1"/><c r="T1343" i="1" s="1"/><c r="T1344" i="1" s="1"/><c r="T1345" i="1" s="1"/><c r="T1346" i="1" s="1"/><c r="T1347" i="1" s="1"/><c r="T1348" i="1" s="1"/><c r="T1349" i="1" s="1"/><c r="T1350" i="1" s="1"/><c r="T1351" i="1" s="1"/><c r="T1352" i="1" s="1"/><c r="T1353" i="1" s="1"/><c r="T1354" i="1" s="1"/><c r="T1355" i="1" s="1"/><c r="T1356" i="1" s="1"/><c r="T1357" i="1" s="1"/><c r="T1358" i="1" s="1"/><c r="T1359" i="1" s="1"/><c r="T1360" i="1" s="1"/><c r="T1361" i="1" s="1"/><c r="T1362" i="1" s="1"/><c r="T1363" i="1" s="1"/><c r="T1364" i="1" s="1"/><c r="T1365" i="1" s="1"/><c r="T1366" i="1" s="1"/><c r="T1367" i="1" s="1"/><c r="T1368" i="1" s="1"/><c r="T1369" i="1" s="1"/><c r="T1370" i="1" s="1"/><c r="T1371" i="1" s="1"/><c r="T1372" i="1" s="1"/><c r="T1373" i="1" s="1"/><c r="T1374" i="1" s="1"/><c r="T1375" i="1" s="1"/><c r="T1376" i="1" s="1"/><c r="T1377" i="1" s="1"/><c r="T1378" i="1" s="1"/><c r="T1379" i="1" s="1"/><c r="T1380" i="1" s="1"/><c r="T1381" i="1" s="1"/><c r="T1382" i="1" s="1"/><c r="T1383" i="1" s="1"/><c r="T1384" i="1" s="1"/><c r="T1385" i="1" s="1"/><c r="T1386" i="1" s="1"/><c r="T1387" i="1" s="1"/><c r="T1388" i="1" s="1"/><c r="T1389" i="1" s="1"/><c r="T1390" i="1" s="1"/><c r="T1391" i="1" s="1"/><c r="T1392" i="1" s="1"/><c r="T1393" i="1" s="1"/><c r="T1394" i="1" s="1"/><c r="T1395" i="1" s="1"/><c r="T1396" i="1" s="1"/><c r="T1397" i="1" s="1"/><c r="T1398" i="1" s="1"/><c r="T1399" i="1" s="1"/><c r="T1400" i="1" s="1"/><c r="T1401" i="1" s="1"/><c r="T1402" i="1" s="1"/><c r="T1403" i="1" s="1"/><c r="T1404" i="1" s="1"/><c r="T1405" i="1" s="1"/><c r="T1406" i="1" s="1"/><c r="T1407" i="1" s="1"/><c r="T1408" i="1" s="1"/><c r="T1409" i="1" s="1"/><c r="T1410" i="1" s="1"/><c r="T1411" i="1" s="1"/><c r="T1412" i="1" s="1"/><c r="T1413" i="1" s="1"/><c r="T1414" i="1" s="1"/><c r="T1415" i="1" s="1"/><c r="T1416" i="1" s="1"/><c r="T1417" i="1" s="1"/><c r="T1418" i="1" s="1"/><c r="T1419" i="1" s="1"/><c r="T1420" i="1" s="1"/><c r="T1421" i="1" s="1"/><c r="T1422" i="1" s="1"/><c r="T1423" i="1" s="1"/><c r="T1424" i="1" s="1"/><c r="T1425" i="1" s="1"/><c r="T1426" i="1" s="1"/><c r="T1427" i="1" s="1"/><c r="T1428" i="1" s="1"/><c r="T1429" i="1" s="1"/><c r="T1430" i="1" s="1"/><c r="T1431" i="1" s="1"/><c r="T1432" i="1" s="1"/><c r="T1433" i="1" s="1"/><c r="T1434" i="1" s="1"/><c r="T1435" i="1" s="1"/><c r="T1436" i="1" s="1"/><c r="T1437" i="1" s="1"/><c r="T1438" i="1" s="1"/><c r="T1439" i="1" s="1"/><c r="T1440" i="1" s="1"/><c r="T1441" i="1" s="1"/><c r="T1442" i="1" s="1"/><c r="T1443" i="1" s="1"/><c r="T1444" i="1" s="1"/><c r="T1445" i="1" s="1"/><c r="T1446" i="1" s="1"/><c r="T1447" i="1" s="1"/><c r="T1448" i="1" s="1"/><c r="T1449" i="1" s="1"/><c r="T1450" i="1" s="1"/><c r="T1452" i="1" s="1"/><c r="T1453" i="1" s="1"/><c r="T1454" i="1" s="1"/><c r="T1455" i="1" s="1"/><c r="T1456" i="1" s="1"/><c r="T1457" i="1" s="1"/><c r="T1458" i="1" s="1"/><c r="T1459" i="1" s="1"/><c r="T1460" i="1" s="1"/><c r="T1461" i="1" s="1"/><c r="T1462" i="1" s="1"/><c r="T1463" i="1" s="1"/><c r="T1464" i="1" s="1"/><c r="T1465" i="1" s="1"/><c r="T1466" i="1" s="1"/><c r="T1467" i="1" s="1"/><c r="T1468" i="1" s="1"/><c r="T1469" i="1" s="1"/><c r="T1470" i="1" s="1"/><c r="T1471" i="1" s="1"/><c r="T1472" i="1" s="1"/><c r="T1473" i="1" s="1"/><c r="T1474" i="1" s="1"/><c r="T1475" i="1" s="1"/><c r="T1476" i="1" s="1"/><c r="T1477" i="1" s="1"/><c r="T1478" i="1" s="1"/><c r="T1479" i="1" s="1"/><c r="T1480" i="1" s="1"/><c r="T1481" i="1" s="1"/><c r="T1482" i="1" s="1"/><c r="T1483" i="1" s="1"/><c r="T1484" i="1" s="1"/><c r="T1485" i="1" s="1"/><c r="T1486" i="1" s="1"/><c r="T1487" i="1" s="1"/><c r="T1488" i="1" s="1"/><c r="T1489" i="1" s="1"/><c r="T1490" i="1" s="1"/><c r="T1491" i="1" s="1"/><c r="T1492" i="1" s="1"/><c r="T1493" i="1" s="1"/><c r="T1494" i="1" s="1"/><c r="T1495" i="1" s="1"/><c r="T1496" i="1" s="1"/><c r="T1497" i="1" s="1"/><c r="T1498" i="1" s="1"/><c r="T1499" i="1" s="1"/><c r="T1500" i="1" s="1"/><c r="T1501" i="1" s="1"/><c r="T1502" i="1" s="1"/><c r="T1503" i="1" s="1"/><c r="T1504" i="1" s="1"/><c r="T1505" i="1" s="1"/><c r="T1506" i="1" s="1"/><c r="T1507" i="1" s="1"/><c r="T1508" i="1" s="1"/><c r="T1509" i="1" s="1"/><c r="T1510" i="1" s="1"/><c r="T1511" i="1" s="1"/><c r="T1512" i="1" s="1"/><c r="T1513" i="1" s="1"/><c r="T1514" i="1" s="1"/><c r="T1515" i="1" s="1"/><c r="T1516" i="1" s="1"/><c r="T1517" i="1" s="1"/><c r="T1518" i="1" s="1"/><c r="T1519" i="1" s="1"/><c r="T1520" i="1" s="1"/><c r="T1521" i="1" s="1"/><c r="T1522" i="1" s="1"/><c r="T1523" i="1" s="1"/><c r="T1524" i="1" s="1"/><c r="T1525" i="1" s="1"/><c r="T1526" i="1" s="1"/><c r="T1527" i="1" s="1"/><c r="T1528" i="1" s="1"/><c r="T1529" i="1" s="1"/><c r="T1530" i="1" s="1"/><c r="T1531" i="1" s="1"/><c r="T1532" i="1" s="1"/><c r="T1533" i="1" s="1"/><c r="T1534" i="1" s="1"/><c r="T1535" i="1" s="1"/><c r="T1536" i="1" s="1"/><c r="T1537" i="1" s="1"/><c r="T1538" i="1" s="1"/><c r="T1539" i="1" s="1"/><c r="T1540" i="1" s="1"/><c r="T1541" i="1" s="1"/><c r="T1542" i="1" s="1"/><c r="T1543" i="1" s="1"/><c r="T1544" i="1" s="1"/><c r="T1545" i="1" s="1"/><c r="T1546" i="1" s="1"/><c r="T1547" i="1" s="1"/><c r="T1548" i="1" s="1"/><c r="T1549" i="1" s="1"/><c r="T1550" i="1" s="1"/><c r="T1551" i="1" s="1"/><c r="T1552" i="1" s="1"/><c r="T1553" i="1" s="1"/><c r="T1554" i="1" s="1"/><c r="T1555" i="1" s="1"/><c r="T1556" i="1" s="1"/><c r="T1557" i="1" s="1"/><c r="T1558" i="1" s="1"/><c r="T1559" i="1" s="1"/><c r="T1560" i="1" s="1"/><c r="T1561" i="1" s="1"/><c r="T1562" i="1" s="1"/><c r="T1563" i="1" s="1"/><c r="T1564" i="1" s="1"/><c r="T1565" i="1" s="1"/><c r="T1566" i="1" s="1"/><c r="T1567" i="1" s="1"/><c r="T1568" i="1" s="1"/><c r="T1569" i="1" s="1"/><c r="T1570" i="1" s="1"/><c r="T1571" i="1" s="1"/><c r="T1572" i="1" s="1"/><c r="T1573" i="1" s="1"/><c r="T1574" i="1" s="1"/><c r="T1575" i="1" s="1"/><c r="T1576" i="1" s="1"/><c r="T1577" i="1" s="1"/><c r="T1578" i="1" s="1"/><c r="T1579" i="1" s="1"/><c r="T1580" i="1" s="1"/><c r="T1581" i="1" s="1"/><c r="T1582" i="1" s="1"/><c r="T1583" i="1" s="1"/><c r="T1584" i="1" s="1"/><c r="T1585" i="1" s="1"/><c r="T1586" i="1" s="1"/><c r="T1587" i="1" s="1"/><c r="T1588" i="1" s="1"/><c r="T1589" i="1" s="1"/><c r="T1590" i="1" s="1"/><c r="T1591" i="1" s="1"/><c r="T1592" i="1" s="1"/><c r="T1593" i="1" s="1"/><c r="T1594" i="1" s="1"/><c r="T1595" i="1" s="1"/><c r="T1596" i="1" s="1"/><c r="T1597" i="1" s="1"/><c r="T1598" i="1" s="1"/><c r="T1599" i="1" s="1"/><c r="T1600" i="1" s="1"/><c r="T1601" i="1" s="1"/><c r="T1602" i="1" s="1"/><c r="T1603" i="1" s="1"/><c r="T1604" i="1" s="1"/><c r="T1605" i="1" s="1"/><c r="T1606" i="1" s="1"/><c r="T1607" i="1" s="1"/><c r="T1608" i="1" s="1"/><c r="T1609" i="1" s="1"/><c r="T1610" i="1" s="1"/><c r="T1611" i="1" s="1"/><c r="T1612" i="1" s="1"/><c r="T1613" i="1" s="1"/><c r="T1614" i="1" s="1"/><c r="T1615" i="1" s="1"/><c r="T1616" i="1" s="1"/><c r="T1617" i="1" s="1"/><c r="T1618" i="1" s="1"/><c r="T1619" i="1" s="1"/><c r="T1620" i="1" s="1"/><c r="T1621" i="1" s="1"/><c r="T1622" i="1" s="1"/><c r="T1623" i="1" s="1"/><c r="T1624" i="1" s="1"/><c r="T1625" i="1" s="1"/><c r="T1626" i="1" s="1"/><c r="T1627" i="1" s="1"/><c r="T1628" i="1" s="1"/><c r="T1629" i="1" s="1"/><c r="T1630" i="1" s="1"/><c r="T1631" i="1" s="1"/><c r="T1632" i="1" s="1"/><c r="T1633" i="1" s="1"/><c r="T1634" i="1" s="1"/><c r="T1635" i="1" s="1"/><c r="T1636" i="1" s="1"/><c r="T1637" i="1" s="1"/><c r="T1638" i="1" s="1"/><c r="T1639" i="1" s="1"/><c r="T1640" i="1" s="1"/><c r="T1641" i="1" s="1"/><c r="T1642" i="1" s="1"/><c r="T1643" i="1" s="1"/><c r="T1644" i="1" s="1"/><c r="T1645" i="1" s="1"/><c r="T1646" i="1" s="1"/><c r="T1647" i="1" s="1"/><c r="T1648" i="1" s="1"/><c r="T1649" i="1" s="1"/><c r="T1650" i="1" s="1"/><c r="T1651" i="1" s="1"/><c r="T1652" i="1" s="1"/><c r="T1653" i="1" s="1"/><c r="T1654" i="1" s="1"/><c r="T1655" i="1" s="1"/><c r="T1656" i="1" s="1"/><c r="T1657" i="1" s="1"/><c r="T1658" i="1" s="1"/><c r="T1659" i="1" s="1"/><c r="T1660" i="1" s="1"/><c r="T1661" i="1" s="1"/><c r="T1662" i="1" s="1"/><c r="T1663" i="1" s="1"/><c r="T1664" i="1" s="1"/><c r="T1665" i="1" s="1"/><c r="T1666" i="1" s="1"/><c r="T1667" i="1" s="1"/><c r="T1668" i="1" s="1"/><c r="T1669" i="1" s="1"/><c r="T1670" i="1" s="1"/><c r="T1671" i="1" s="1"/><c r="T1672" i="1" s="1"/><c r="T1673" i="1" s="1"/><c r="T1674" i="1" s="1"/><c r="T1675" i="1" s="1"/><c r="T1676" i="1" s="1"/><c r="T1677" i="1" s="1"/><c r="T1678" i="1" s="1"/><c r="T1679" i="1" s="1"/><c r="T1680" i="1" s="1"/><c r="T1681" i="1" s="1"/><c r="T1682" i="1" s="1"/><c r="T1683" i="1" s="1"/><c r="T1684" i="1" s="1"/><c r="T1685" i="1" s="1"/><c r="T1686" i="1" s="1"/><c r="T1687" i="1" s="1"/><c r="T1688" i="1" s="1"/><c r="T1689" i="1" s="1"/><c r="T1690" i="1" s="1"/><c r="T1691" i="1" s="1"/><c r="T1692" i="1" s="1"/><c r="T1693" i="1" s="1"/><c r="T1694" i="1" s="1"/><c r="T1695" i="1" s="1"/><c r="T1696" i="1" s="1"/><c r="T1697" i="1" s="1"/><c r="T1698" i="1" s="1"/><c r="T1699" i="1" s="1"/><c r="T1700" i="1" s="1"/><c r="T1701" i="1" s="1"/><c r="T1702" i="1" s="1"/><c r="T1703" i="1" s="1"/><c r="T1704" i="1" s="1"/><c r="T1705" i="1" s="1"/><c r="T1706" i="1" s="1"/><c r="T1707" i="1" s="1"/><c r="T1708" i="1" s="1"/><c r="T1709" i="1" s="1"/><c r="T1710" i="1" s="1"/><c r="T1711" i="1" s="1"/><c r="T1712" i="1" s="1"/><c r="T1713" i="1" s="1"/><c r="T1714" i="1" s="1"/><c r="T1715" i="1" s="1"/><c r="T1716" i="1" s="1"/><c r="T1717" i="1" s="1"/><c r="T1718" i="1" s="1"/><c r="T1719" i="1" s="1"/><c r="T1720" i="1" s="1"/><c r="T1721" i="1" s="1"/><c r="T1722" i="1" s="1"/><c r="T1723" i="1" s="1"/><c r="T1724" i="1" s="1"/><c r="T1725" i="1" s="1"/><c r="T1726" i="1" s="1"/><c r="T1727" i="1" s="1"/><c r="T1728" i="1" s="1"/><c r="T1729" i="1" s="1"/><c r="T1730" i="1" s="1"/><c r="T1731" i="1" s="1"/><c r="T1732" i="1" s="1"/><c r="T1733" i="1" s="1"/><c r="T1734" i="1" s="1"/><c r="T1735" i="1" s="1"/><c r="T1736" i="1" s="1"/><c r="T1737" i="1" s="1"/><c r="T1738" i="1" s="1"/><c r="T1739" i="1" s="1"/><c r="T1740" i="1" s="1"/><c r="T1741" i="1" s="1"/><c r="T1742" i="1" s="1"/><c r="T1743" i="1" s="1"/><c r="T1744" i="1" s="1"/><c r="T1745" i="1" s="1"/><c r="T1746" i="1" s="1"/><c r="T1747" i="1" s="1"/><c r="T1748" i="1" s="1"/><c r="T1749" i="1" s="1"/><c r="T1750" i="1" s="1"/><c r="T1751" i="1" s="1"/><c r="T1752" i="1" s="1"/><c r="T1753" i="1" s="1"/><c r="T1754" i="1" s="1"/><c r="T1755" i="1" s="1"/><c r="T1756" i="1" s="1"/><c r="T1757" i="1" s="1"/><c r="T1758" i="1" s="1"/><c r="T1759" i="1" s="1"/><c r="T1760" i="1" s="1"/><c r="T1761" i="1" s="1"/><c r="T1762" i="1" s="1"/><c r="T1763" i="1" s="1"/><c r="T1764" i="1" s="1"/><c r="T1765" i="1" s="1"/><c r="T1766" i="1" s="1"/><c r="T1767" i="1" s="1"/><c r="T1768" i="1" s="1"/><c r="T1769" i="1" s="1"/><c r="T1770" i="1" s="1"/><c r="T1771" i="1" s="1"/><c r="T1772" i="1" s="1"/><c r="T1773" i="1" s="1"/><c r="T1774" i="1" s="1"/><c r="T1775" i="1" s="1"/><c r="T1776" i="1" s="1"/><c r="T1777" i="1" s="1"/><c r="T1778" i="1" s="1"/><c r="T1779" i="1" s="1"/><c r="T1780" i="1" s="1"/><c r="T1781" i="1" s="1"/><c r="T1782" i="1" s="1"/><c r="T1783" i="1" s="1"/><c r="T1784" i="1" s="1"/><c r="T1785" i="1" s="1"/><c r="T1786" i="1" s="1"/><c r="T1787" i="1" s="1"/><c r="T1788" i="1" s="1"/><c r="T1789" i="1" s="1"/><c r="T1790" i="1" s="1"/><c r="T1791" i="1" s="1"/><c r="T1792" i="1" s="1"/><c r="T1793" i="1" s="1"/><c r="T1794" i="1" s="1"/><c r="T1795" i="1" s="1"/><c r="T1796" i="1" s="1"/><c r="T1797" i="1" s="1"/><c r="T1798" i="1" s="1"/><c r="T1799" i="1" s="1"/><c r="T1800" i="1" s="1"/><c r="T1801" i="1" s="1"/><c r="T1802" i="1" s="1"/><c r="T1803" i="1" s="1"/><c r="T1804" i="1" s="1"/><c r="T1805" i="1" s="1"/><c r="T1806" i="1" s="1"/><c r="T1807" i="1" s="1"/><c r="T1808" i="1" s="1"/><c r="T1809" i="1" s="1"/><c r="T1810" i="1" s="1"/><c r="T1811" i="1" s="1"/><c r="T1812" i="1" s="1"/><c r="T1813" i="1" s="1"/><c r="T1814" i="1" s="1"/><c r="T1815" i="1" s="1"/><c r="T1816" i="1" s="1"/><c r="T1817" i="1" s="1"/><c r="T1818" i="1" s="1"/><c r="T1819" i="1" s="1"/><c r="T1820" i="1" s="1"/><c r="T1821" i="1" s="1"/><c r="T1822" i="1" s="1"/><c r="T1823" i="1" s="1"/><c r="T1824" i="1" s="1"/><c r="T1825" i="1" s="1"/><c r="T1826" i="1" s="1"/><c r="T1827" i="1" s="1"/><c r="T1828" i="1" s="1"/><c r="T1829" i="1" s="1"/><c r="T1830" i="1" s="1"/><c r="T1831" i="1" s="1"/><c r="T1832" i="1" s="1"/><c r="T1833" i="1" s="1"/><c r="T1834" i="1" s="1"/><c r="T1835" i="1" s="1"/><c r="T1836" i="1" s="1"/><c r="T1837" i="1" s="1"/><c r="T1838" i="1" s="1"/><c r="T1839" i="1" s="1"/><c r="T1840" i="1" s="1"/><c r="T1841" i="1" s="1"/><c r="T1842" i="1" s="1"/><c r="T1843" i="1" s="1"/><c r="T1844" i="1" s="1"/><c r="T1845" i="1" s="1"/><c r="T1846" i="1" s="1"/><c r="T1847" i="1" s="1"/><c r="T1848" i="1" s="1"/><c r="T1849" i="1" s="1"/><c r="T1850" i="1" s="1"/><c r="T1851" i="1" s="1"/><c r="T1852" i="1" s="1"/><c r="T1853" i="1" s="1"/><c r="T1854" i="1" s="1"/><c r="T1855" i="1" s="1"/><c r="T1856" i="1" s="1"/><c r="T1857" i="1" s="1"/><c r="T1858" i="1" s="1"/><c r="T1859" i="1" s="1"/><c r="T1860" i="1" s="1"/><c r="T1861" i="1" s="1"/><c r="T1862" i="1" s="1"/><c r="T1863" i="1" s="1"/><c r="T1864" i="1" s="1"/><c r="T1865" i="1" s="1"/><c r="T1866" i="1" s="1"/><c r="T1867" i="1" s="1"/><c r="T1868" i="1" s="1"/><c r="T1869" i="1" s="1"/><c r="T1870" i="1" s="1"/><c r="T1871" i="1" s="1"/><c r="T1872" i="1" s="1"/><c r="T1873" i="1" s="1"/><c r="T1874" i="1" s="1"/><c r="T1875" i="1" s="1"/><c r="T1876" i="1" s="1"/><c r="T1877" i="1" s="1"/><c r="T1878" i="1" s="1"/><c r="T1879" i="1" s="1"/><c r="T1880" i="1" s="1"/><c r="T1881" i="1" s="1"/><c r="T1884" i="1" s="1"/><c r="T1885" i="1" s="1"/><c r="T1886" i="1" s="1"/><c r="T1887" i="1" s="1"/><c r="T1888" i="1" s="1"/><c r="T1889" i="1" s="1"/><c r="T1890" i="1" s="1"/><c r="T1891" i="1" s="1"/><c r="T1892" i="1" s="1"/><c r="T1893" i="1" s="1"/><c r="T1894" i="1" s="1"/><c r="T1895" i="1" s="1"/><c r="T1896" i="1" s="1"/><c r="T1897" i="1" s="1"/><c r="T1898" i="1" s="1"/><c r="T1899" i="1" s="1"/><c r="T1900" i="1" s="1"/><c r="T1901" i="1" s="1"/><c r="T1902" i="1" s="1"/><c r="T1903" i="1" s="1"/><c r="T1904" i="1" s="1"/><c r="T1905" i="1" s="1"/><c r="T1906" i="1" s="1"/><c r="T1907" i="1" s="1"/><c r="T1908" i="1" s="1"/><c r="T1909" i="1" s="1"/><c r="T1910" i="1" s="1"/><c r="T1911" i="1" s="1"/><c r="T1912" i="1" s="1"/><c r="T1913" i="1" s="1"/><c r="T1914" i="1" s="1"/><c r="T1915" i="1" s="1"/><c r="T1916" i="1" s="1"/><c r="T1917" i="1" s="1"/><c r="T1918" i="1" s="1"/><c r="T1919" i="1" s="1"/><c r="T1920" i="1" s="1"/><c r="T1921" i="1" s="1"/><c r="T1922" i="1" s="1"/><c r="T1923" i="1" s="1"/><c r="T1924" i="1" s="1"/><c r="T1925" i="1" s="1"/><c r="T1926" i="1" s="1"/><c r="T1927" i="1" s="1"/><c r="T1928" i="1" s="1"/><c r="T1929" i="1" s="1"/><c r="T1930" i="1" s="1"/><c r="T1931" i="1" s="1"/><c r="T1932" i="1" s="1"/><c r="T1933" i="1" s="1"/><c r="T1934" i="1" s="1"/><c r="T1935" i="1" s="1"/><c r="T1936" i="1" s="1"/><c r="T1937" i="1" s="1"/><c r="T1938" i="1" s="1"/><c r="T1939" i="1" s="1"/><c r="T1940" i="1" s="1"/><c r="T1941" i="1" s="1"/><c r="T1942" i="1" s="1"/><c r="T1943" i="1" s="1"/><c r="T1944" i="1" s="1"/><c r="T1945" i="1" s="1"/><c r="T1946" i="1" s="1"/><c r="T1947" i="1" s="1"/><c r="T1948" i="1" s="1"/><c r="T1949" i="1" s="1"/><c r="T1950" i="1" s="1"/><c r="T1951" i="1" s="1"/><c r="T1952" i="1" s="1"/><c r="T1953" i="1" s="1"/><c r="T1954" i="1" s="1"/><c r="T1955" i="1" s="1"/><c r="T1956" i="1" s="1"/><c r="T1957" i="1" s="1"/><c r="T1958" i="1" s="1"/><c r="T1959" i="1" s="1"/><c r="T1960" i="1" s="1"/><c r="T1961" i="1" s="1"/><c r="T1962" i="1" s="1"/><c r="T1963" i="1" s="1"/><c r="T1964" i="1" s="1"/><c r="T1965" i="1" s="1"/><c r="T1966" i="1" s="1"/><c r="T1967" i="1" s="1"/><c r="T1968" i="1" s="1"/><c r="T1969" i="1" s="1"/><c r="T1970" i="1" s="1"/><c r="T1971" i="1" s="1"/><c r="T1972" i="1" s="1"/><c r="T1973" i="1" s="1"/><c r="T1974" i="1" s="1"/><c r="T1975" i="1" s="1"/><c r="T1976" i="1" s="1"/><c r="T1977" i="1" s="1"/><c r="T1978" i="1" s="1"/><c r="T1979" i="1" s="1"/><c r="T1980" i="1" s="1"/><c r="T1981" i="1" s="1"/><c r="T1982" i="1" s="1"/><c r="T1983" i="1" s="1"/><c r="T1984" i="1" s="1"/><c r="T1985" i="1" s="1"/><c r="T1986" i="1" s="1"/><c r="T1987" i="1" s="1"/><c r="T1988" i="1" s="1"/><c r="T1989" i="1" s="1"/><c r="T1990" i="1" s="1"/><c r="T1991" i="1" s="1"/><c r="T1992" i="1" s="1"/><c r="T1993" i="1" s="1"/><c r="T1994" i="1" s="1"/><c r="T1995" i="1" s="1"/><c r="T1996" i="1" s="1"/><c r="T1997" i="1" s="1"/><c r="T1998" i="1" s="1"/><c r="T1999" i="1" s="1"/><c r="T2000" i="1" s="1"/><c r="T2001" i="1" s="1"/><c r="T2002" i="1" s="1"/><c r="T2003" i="1" s="1"/><c r="T2004" i="1" s="1"/><c r="T2005" i="1" s="1"/><c r="T2006" i="1" s="1"/><c r="T2007" i="1" s="1"/><c r="T2008" i="1" s="1"/><c r="T2009" i="1" s="1"/><c r="T2010" i="1" s="1"/><c r="T2011" i="1" s="1"/><c r="T2012" i="1" s="1"/><c r="T2013" i="1" s="1"/><c r="T2014" i="1" s="1"/><c r="T2015" i="1" s="1"/><c r="T2016" i="1" s="1"/><c r="T2017" i="1" s="1"/><c r="T2018" i="1" s="1"/><c r="T2019" i="1" s="1"/><c r="T2020" i="1" s="1"/><c r="T2021" i="1" s="1"/><c r="T2022" i="1" s="1"/><c r="T2023" i="1" s="1"/><c r="T2024" i="1" s="1"/><c r="T2025" i="1" s="1"/><c r="T2026" i="1" s="1"/><c r="T2027" i="1" s="1"/><c r="T2028" i="1" s="1"/><c r="T2029" i="1" s="1"/><c r="T2030" i="1" s="1"/><c r="T2031" i="1" s="1"/><c r="T2032" i="1" s="1"/><c r="T2033" i="1" s="1"/><c r="T2034" i="1" s="1"/><c r="T2035" i="1" s="1"/><c r="T2036" i="1" s="1"/><c r="T2037" i="1" s="1"/><c r="T2038" i="1" s="1"/><c r="T2039" i="1" s="1"/><c r="T2040" i="1" s="1"/><c r="T2041" i="1" s="1"/><c r="T2042" i="1" s="1"/><c r="T2043" i="1" s="1"/><c r="T2044" i="1" s="1"/><c r="T2045" i="1" s="1"/><c r="T2046" i="1" s="1"/><c r="T2047" i="1" s="1"/><c r="T2048" i="1" s="1"/><c r="T2049" i="1" s="1"/><c r="T2050" i="1" s="1"/><c r="T2051" i="1" s="1"/><c r="T2052" i="1" s="1"/><c r="T2053" i="1" s="1"/><c r="T2054" i="1" s="1"/><c r="T2055" i="1" s="1"/><c r="T2056" i="1" s="1"/><c r="T2057" i="1" s="1"/><c r="T2058" i="1" s="1"/><c r="T2059" i="1" s="1"/><c r="T2060" i="1" s="1"/><c r="T2061" i="1" s="1"/><c r="T2062" i="1" s="1"/><c r="T2063" i="1" s="1"/><c r="T2064" i="1" s="1"/><c r="T2065" i="1" s="1"/><c r="T2066" i="1" s="1"/><c r="T2067" i="1" s="1"/><c r="T2068" i="1" s="1"/><c r="T2069" i="1" s="1"/><c r="T2070" i="1" s="1"/><c r="T2071" i="1" s="1"/><c r="T2072" i="1" s="1"/><c r="T2073" i="1" s="1"/><c r="T2074" i="1" s="1"/><c r="T2075" i="1" s="1"/><c r="T2076" i="1" s="1"/><c r="T2077" i="1" s="1"/><c r="T2078" i="1" s="1"/><c r="T2079" i="1" s="1"/><c r="T2080" i="1" s="1"/><c r="T2081" i="1" s="1"/><c r="T2082" i="1" s="1"/><c r="T2083" i="1" s="1"/><c r="T2084" i="1" s="1"/><c r="T2085" i="1" s="1"/><c r="T2086" i="1" s="1"/><c r="T2087" i="1" s="1"/><c r="T2088" i="1" s="1"/><c r="T2089" i="1" s="1"/><c r="T2090" i="1" s="1"/><c r="T2091" i="1" s="1"/><c r="T2092" i="1" s="1"/><c r="T2093" i="1" s="1"/><c r="T2094" i="1" s="1"/><c r="T2095" i="1" s="1"/><c r="T2096" i="1" s="1"/><c r="T2097" i="1" s="1"/><c r="T2098" i="1" s="1"/><c r="T2099" i="1" s="1"/><c r="T2100" i="1" s="1"/><c r="T2101" i="1" s="1"/><c r="T2102" i="1" s="1"/><c r="T2103" i="1" s="1"/><c r="T2104" i="1" s="1"/><c r="T2105" i="1" s="1"/><c r="T2106" i="1" s="1"/><c r="T2107" i="1" s="1"/><c r="T2108" i="1" s="1"/><c r="T2109" i="1" s="1"/><c r="T2110" i="1" s="1"/><c r="T2111" i="1" s="1"/><c r="T2112" i="1" s="1"/><c r="T2113" i="1" s="1"/><c r="T2114" i="1" s="1"/><c r="T2115" i="1" s="1"/><c r="T2116" i="1" s="1"/><c r="T2117" i="1" s="1"/><c r="T2118" i="1" s="1"/><c r="T2119" i="1" s="1"/><c r="T2120" i="1" s="1"/><c r="T2121" i="1" s="1"/><c r="T2122" i="1" s="1"/><c r="T2123" i="1" s="1"/><c r="T2124" i="1" s="1"/><c r="T2125" i="1" s="1"/><c r="T2126" i="1" s="1"/><c r="T2127" i="1" s="1"/><c r="T2128" i="1" s="1"/><c r="T2129" i="1" s="1"/><c r="T2130" i="1" s="1"/><c r="T2131" i="1" s="1"/><c r="T2132" i="1" s="1"/><c r="T2133" i="1" s="1"/><c r="T2134" i="1" s="1"/><c r="T2135" i="1" s="1"/><c r="T2136" i="1" s="1"/><c r="T2137" i="1" s="1"/><c r="T2138" i="1" s="1"/><c r="T2139" i="1" s="1"/><c r="T2140" i="1" s="1"/><c r="T2141" i="1" s="1"/><c r="T2142" i="1" s="1"/><c r="T2143" i="1" s="1"/><c r="T2144" i="1" s="1"/><c r="T2145" i="1" s="1"/><c r="T2146" i="1" s="1"/><c r="T2147" i="1" s="1"/><c r="T2148" i="1" s="1"/><c r="T2149" i="1" s="1"/><c r="T2150" i="1" s="1"/><c r="T2151" i="1" s="1"/><c r="T2152" i="1" s="1"/><c r="T2153" i="1" s="1"/><c r="T2154" i="1" s="1"/><c r="T2155" i="1" s="1"/><c r="T2156" i="1" s="1"/><c r="T2157" i="1" s="1"/><c r="T2158" i="1" s="1"/><c r="T2159" i="1" s="1"/><c r="T2160" i="1" s="1"/><c r="T2161" i="1" s="1"/><c r="T2162" i="1" s="1"/><c r="T2163" i="1" s="1"/><c r="T2164" i="1" s="1"/><c r="T2165" i="1" s="1"/><c r="T2166" i="1" s="1"/><c r="T2167" i="1" s="1"/><c r="T2168" i="1" s="1"/><c r="T2169" i="1" s="1"/><c r="T2170" i="1" s="1"/><c r="T2171" i="1" s="1"/><c r="T2172" i="1" s="1"/><c r="T2173" i="1" s="1"/><c r="T2174" i="1" s="1"/><c r="T2175" i="1" s="1"/><c r="T2176" i="1" s="1"/><c r="T2177" i="1" s="1"/><c r="T2178" i="1" s="1"/><c r="T2179" i="1" s="1"/><c r="T2180" i="1" s="1"/><c r="T2181" i="1" s="1"/><c r="T2182" i="1" s="1"/><c r="T2183" i="1" s="1"/><c r="T2184" i="1" s="1"/><c r="T2185" i="1" s="1"/><c r="T2186" i="1" s="1"/><c r="T2187" i="1" s="1"/><c r="T2188" i="1" s="1"/><c r="T2189" i="1" s="1"/><c r="T2190" i="1" s="1"/><c r="T2191" i="1" s="1"/><c r="T2192" i="1" s="1"/><c r="T2193" i="1" s="1"/><c r="T2194" i="1" s="1"/><c r="T2195" i="1" s="1"/><c r="T2196" i="1" s="1"/><c r="T2197" i="1" s="1"/><c r="T2198" i="1" s="1"/><c r="T2199" i="1" s="1"/><c r="T2200" i="1" s="1"/><c r="T2201" i="1" s="1"/><c r="T2202" i="1" s="1"/><c r="T2203" i="1" s="1"/><c r="T2204" i="1" s="1"/><c r="T2205" i="1" s="1"/><c r="T2206" i="1" s="1"/><c r="T2207" i="1" s="1"/><c r="T2208" i="1" s="1"/><c r="T2209" i="1" s="1"/><c r="T2210" i="1" s="1"/><c r="T2211" i="1" s="1"/><c r="T2212" i="1" s="1"/><c r="T2213" i="1" s="1"/><c r="T2214" i="1" s="1"/><c r="T2215" i="1" s="1"/><c r="T2216" i="1" s="1"/><c r="T2217" i="1" s="1"/><c r="T2218" i="1" s="1"/><c r="T2219" i="1" s="1"/><c r="T2220" i="1" s="1"/><c r="T2221" i="1" s="1"/><c r="T2222" i="1" s="1"/><c r="T2223" i="1" s="1"/><c r="T2224" i="1" s="1"/><c r="T2225" i="1" s="1"/><c r="T2226" i="1" s="1"/><c r="T2227" i="1" s="1"/><c r="T2228" i="1" s="1"/><c r="T2229" i="1" s="1"/><c r="T2230" i="1" s="1"/><c r="T2231" i="1" s="1"/><c r="T2232" i="1" s="1"/><c r="T2233" i="1" s="1"/><c r="T2234" i="1" s="1"/><c r="T2235" i="1" s="1"/><c r="T2236" i="1" s="1"/><c r="T2237" i="1" s="1"/><c r="T2238" i="1" s="1"/><c r="T2239" i="1" s="1"/><c r="T2240" i="1" s="1"/><c r="T2241" i="1" s="1"/><c r="T2242" i="1" s="1"/><c r="T2243" i="1" s="1"/><c r="T2244" i="1" s="1"/><c r="T2245" i="1" s="1"/><c r="T2246" i="1" s="1"/><c r="T2247" i="1" s="1"/><c r="T2248" i="1" s="1"/><c r="T2249" i="1" s="1"/><c r="T2250" i="1" s="1"/><c r="T2251" i="1" s="1"/><c r="T2252" i="1" s="1"/><c r="T2253" i="1" s="1"/><c r="T2254" i="1" s="1"/><c r="T2255" i="1" s="1"/><c r="T2256" i="1" s="1"/><c r="T2257" i="1" s="1"/><c r="T2258" i="1" s="1"/><c r="T2259" i="1" s="1"/><c r="T2260" i="1" s="1"/><c r="T2261" i="1" s="1"/><c r="T2262" i="1" s="1"/><c r="T2263" i="1" s="1"/><c r="T2264" i="1" s="1"/><c r="T2265" i="1" s="1"/><c r="T2266" i="1" s="1"/><c r="T2267" i="1" s="1"/><c r="T2268" i="1" s="1"/><c r="T2269" i="1" s="1"/><c r="T2270" i="1" s="1"/><c r="T2271" i="1" s="1"/><c r="T2272" i="1" s="1"/><c r="T2273" i="1" s="1"/><c r="T2274" i="1" s="1"/><c r="T2275" i="1" s="1"/><c r="T2276" i="1" s="1"/><c r="T2277" i="1" s="1"/><c r="T2278" i="1" s="1"/><c r="T2279" i="1" s="1"/><c r="T2280" i="1" s="1"/><c r="T2281" i="1" s="1"/><c r="T2283" i="1" s="1"/><c r="T2284" i="1" s="1"/><c r="T2285" i="1" s="1"/><c r="T2286" i="1" s="1"/><c r="T2287" i="1" s="1"/><c r="T2288" i="1" s="1"/><c r="T2289" i="1" s="1"/><c r="T2290" i="1" s="1"/><c r="T2291" i="1" s="1"/><c r="T2292" i="1" s="1"/><c r="T2293" i="1" s="1"/><c r="T2294" i="1" s="1"/><c r="T2295" i="1" s="1"/><c r="T2296" i="1" s="1"/><c r="T2297" i="1" s="1"/><c r="T2298" i="1" s="1"/><c r="T2299" i="1" s="1"/><c r="T2300" i="1" s="1"/><c r="T2301" i="1" s="1"/><c r="T2302" i="1" s="1"/><c r="T2303" i="1" s="1"/><c r="T2304" i="1" s="1"/><c r="T2305" i="1" s="1"/><c r="T2306" i="1" s="1"/><c r="T2307" i="1" s="1"/><c r="T2308" i="1" s="1"/><c r="T2309" i="1" s="1"/><c r="T2310" i="1" s="1"/><c r="T2311" i="1" s="1"/><c r="T2312" i="1" s="1"/><c r="T2313" i="1" s="1"/><c r="T2314" i="1" s="1"/><c r="T2315" i="1" s="1"/><c r="T2316" i="1" s="1"/><c r="T2317" i="1" s="1"/><c r="T2318" i="1" s="1"/><c r="T2319" i="1" s="1"/><c r="T2320" i="1" s="1"/><c r="T2321" i="1" s="1"/><c r="T2322" i="1" s="1"/><c r="T2323" i="1" s="1"/><c r="T2324" i="1" s="1"/><c r="T2325" i="1" s="1"/><c r="T2326" i="1" s="1"/><c r="T2327" i="1" s="1"/><c r="T2328" i="1" s="1"/><c r="T2329" i="1" s="1"/><c r="T2330" i="1" s="1"/><c r="T2331" i="1" s="1"/><c r="T2332" i="1" s="1"/><c r="T2333" i="1" s="1"/><c r="T2334" i="1" s="1"/><c r="T2335" i="1" s="1"/><c r="T2336" i="1" s="1"/><c r="T2337" i="1" s="1"/><c r="T2338" i="1" s="1"/><c r="T2339" i="1" s="1"/><c r="T2340" i="1" s="1"/><c r="T2341" i="1" s="1"/><c r="T2342" i="1" s="1"/><c r="T2343" i="1" s="1"/><c r="T2344" i="1" s="1"/><c r="T2345" i="1" s="1"/><c r="T2346" i="1" s="1"/><c r="T2347" i="1" s="1"/><c r="T2348" i="1" s="1"/><c r="T2349" i="1" s="1"/><c r="T2350" i="1" s="1"/><c r="T2351" i="1" s="1"/><c r="T2352" i="1" s="1"/><c r="T2353" i="1" s="1"/><c r="T2354" i="1" s="1"/><c r="T2355" i="1" s="1"/><c r="T2356" i="1" s="1"/><c r="T2357" i="1" s="1"/><c r="T2358" i="1" s="1"/><c r="T2359" i="1" s="1"/><c r="T2360" i="1" s="1"/><c r="T2361" i="1" s="1"/><c r="T2362" i="1" s="1"/><c r="T2363" i="1" s="1"/><c r="T2364" i="1" s="1"/><c r="T2365" i="1" s="1"/><c r="T2366" i="1" s="1"/><c r="T2367" i="1" s="1"/><c r="T2368" i="1" s="1"/><c r="T2369" i="1" s="1"/><c r="T2370" i="1" s="1"/><c r="T2371" i="1" s="1"/><c r="T2372" i="1" s="1"/><c r="T2373" i="1" s="1"/><c r="T2374" i="1" s="1"/><c r="T2375" i="1" s="1"/><c r="T2376" i="1" s="1"/><c r="T2377" i="1" s="1"/><c r="T2378" i="1" s="1"/><c r="T2379" i="1" s="1"/><c r="T2380" i="1" s="1"/><c r="T2381" i="1" s="1"/><c r="T2382" i="1" s="1"/><c r="T2383" i="1" s="1"/><c r="T2384" i="1" s="1"/><c r="T2385" i="1" s="1"/><c r="T2386" i="1" s="1"/><c r="T2387" i="1" s="1"/><c r="T2388" i="1" s="1"/><c r="T2389" i="1" s="1"/><c r="T2390" i="1" s="1"/><c r="T2391" i="1" s="1"/><c r="T2392" i="1" s="1"/><c r="T2393" i="1" s="1"/><c r="T2394" i="1" s="1"/><c r="T2395" i="1" s="1"/><c r="T2396" i="1" s="1"/><c r="T2397" i="1" s="1"/><c r="T2398" i="1" s="1"/><c r="T2399" i="1" s="1"/><c r="T2400" i="1" s="1"/><c r="T2401" i="1" s="1"/><c r="T2402" i="1" s="1"/><c r="T2403" i="1" s="1"/><c r="T2404" i="1" s="1"/><c r="T2405" i="1" s="1"/><c r="T2406" i="1" s="1"/><c r="T2407" i="1" s="1"/><c r="T2408" i="1" s="1"/><c r="T2409" i="1" s="1"/><c r="T2410" i="1" s="1"/><c r="T2411" i="1" s="1"/><c r="T2412" i="1" s="1"/><c r="T2413" i="1" s="1"/><c r="T2414" i="1" s="1"/><c r="T2415" i="1" s="1"/><c r="T2416" i="1" s="1"/><c r="T2417" i="1" s="1"/><c r="T2418" i="1" s="1"/><c r="T2419" i="1" s="1"/><c r="T2420" i="1" s="1"/><c r="T2421" i="1" s="1"/><c r="T2422" i="1" s="1"/><c r="T2423" i="1" s="1"/><c r="T2424" i="1" s="1"/><c r="T2425" i="1" s="1"/><c r="T2426" i="1" s="1"/><c r="T2427" i="1" s="1"/><c r="T2428" i="1" s="1"/><c r="T2429" i="1" s="1"/><c r="T2430" i="1" s="1"/><c r="T2431" i="1" s="1"/><c r="T2432" i="1" s="1"/><c r="T2433" i="1" s="1"/><c r="T2434" i="1" s="1"/><c r="T2435" i="1" s="1"/><c r="T2436" i="1" s="1"/><c r="T2437" i="1" s="1"/><c r="T2438" i="1" s="1"/><c r="T2439" i="1" s="1"/><c r="T2440" i="1" s="1"/><c r="T2441" i="1" s="1"/><c r="T2442" i="1" s="1"/><c r="T2443" i="1" s="1"/><c r="T2444" i="1" s="1"/><c r="T2445" i="1" s="1"/><c r="T2446" i="1" s="1"/><c r="T2447" i="1" s="1"/><c r="T2448" i="1" s="1"/><c r="T2449" i="1" s="1"/><c r="T2450" i="1" s="1"/><c r="T2451" i="1" s="1"/><c r="T2452" i="1" s="1"/><c r="T2453" i="1" s="1"/><c r="T2454" i="1" s="1"/><c r="T2455" i="1" s="1"/><c r="T2456" i="1" s="1"/><c r="T2457" i="1" s="1"/><c r="T2458" i="1" s="1"/><c r="T2459" i="1" s="1"/><c r="T2460" i="1" s="1"/><c r="T2461" i="1" s="1"/><c r="T2462" i="1" s="1"/><c r="T2463" i="1" s="1"/><c r="T2464" i="1" s="1"/><c r="T2465" i="1" s="1"/><c r="T2466" i="1" s="1"/><c r="T2467" i="1" s="1"/><c r="T2468" i="1" s="1"/><c r="T2469" i="1" s="1"/><c r="T2470" i="1" s="1"/><c r="T2471" i="1" s="1"/><c r="T2472" i="1" s="1"/><c r="T2473" i="1" s="1"/><c r="T2474" i="1" s="1"/><c r="T2475" i="1" s="1"/><c r="T2476" i="1" s="1"/><c r="T2477" i="1" s="1"/><c r="T2478" i="1" s="1"/><c r="T2479" i="1" s="1"/><c r="T2480" i="1" s="1"/><c r="T2481" i="1" s="1"/><c r="T2482" i="1" s="1"/><c r="T2483" i="1" s="1"/><c r="T2484" i="1" s="1"/><c r="T2485" i="1" s="1"/><c r="T2486" i="1" s="1"/><c r="T2487" i="1" s="1"/><c r="T2488" i="1" s="1"/><c r="T2489" i="1" s="1"/><c r="T2490" i="1" s="1"/><c r="T2491" i="1" s="1"/><c r="T2492" i="1" s="1"/><c r="T2493" i="1" s="1"/><c r="T2494" i="1" s="1"/><c r="T2495" i="1" s="1"/><c r="T2496" i="1" s="1"/><c r="T2497" i="1" s="1"/><c r="T2498" i="1" s="1"/><c r="T2499" i="1" s="1"/><c r="T2500" i="1" s="1"/><c r="T2501" i="1" s="1"/><c r="T2502" i="1" s="1"/><c r="T2503" i="1" s="1"/><c r="T2504" i="1" s="1"/><c r="T2505" i="1" s="1"/><c r="T2506" i="1" s="1"/><c r="T2507" i="1" s="1"/><c r="T2508" i="1" s="1"/><c r="T2509" i="1" s="1"/><c r="T2510" i="1" s="1"/><c r="T2511" i="1" s="1"/><c r="T2512" i="1" s="1"/><c r="T2513" i="1" s="1"/><c r="T2514" i="1" s="1"/><c r="T2515" i="1" s="1"/><c r="T2516" i="1" s="1"/><c r="T2517" i="1" s="1"/><c r="T2518" i="1" s="1"/><c r="T2519" i="1" s="1"/><c r="T2520" i="1" s="1"/><c r="T2521" i="1" s="1"/><c r="T2522" i="1" s="1"/><c r="T2523" i="1" s="1"/><c r="T2524" i="1" s="1"/><c r="T2525" i="1" s="1"/><c r="T2526" i="1" s="1"/><c r="T2527" i="1" s="1"/><c r="T2528" i="1" s="1"/><c r="T2529" i="1" s="1"/><c r="T2530" i="1" s="1"/><c r="T2531" i="1" s="1"/><c r="T2532" i="1" s="1"/><c r="T2533" i="1" s="1"/><c r="T2534" i="1" s="1"/><c r="T2535" i="1" s="1"/><c r="T2536" i="1" s="1"/><c r="T2537" i="1" s="1"/><c r="T2538" i="1" s="1"/><c r="T2539" i="1" s="1"/><c r="T2540" i="1" s="1"/><c r="T2541" i="1" s="1"/><c r="T2542" i="1" s="1"/><c r="T2543" i="1" s="1"/><c r="T2544" i="1" s="1"/><c r="T2545" i="1" s="1"/><c r="T2546" i="1" s="1"/><c r="T2547" i="1" s="1"/><c r="T2548" i="1" s="1"/><c r="T2549" i="1" s="1"/><c r="T2550" i="1" s="1"/><c r="T2551" i="1" s="1"/><c r="T2552" i="1" s="1"/><c r="T2553" i="1" s="1"/><c r="T2554" i="1" s="1"/><c r="T2555" i="1" s="1"/><c r="T2556" i="1" s="1"/><c r="T2557" i="1" s="1"/><c r="T2558" i="1" s="1"/><c r="T2559" i="1" s="1"/><c r="T2560" i="1" s="1"/><c r="T2561" i="1" s="1"/><c r="T2562" i="1" s="1"/><c r="T2563" i="1" s="1"/><c r="T2564" i="1" s="1"/><c r="T2565" i="1" s="1"/><c r="T2566" i="1" s="1"/><c r="T2567" i="1" s="1"/></calcChain>
</file>

<file path=xl/sharedStrings.xml><?xml version="1.0" encoding="utf-8"?>
<sst xmlns="http://schemas.openxmlformats.org/spreadsheetml/2006/main" count="74115" uniqueCount="2606">
  <si>
    <t>Run Id</t>
  </si>
  <si>
    <t>Load Type</t>
  </si>
  <si>
    <t>Run Status</t>
  </si>
  <si>
    <t>Application</t>
  </si>
  <si>
    <t>Data Set Key Parameter</t>
  </si>
  <si>
    <t>Language Parameter</t>
  </si>
  <si>
    <t>Start Time</t>
  </si>
  <si>
    <t>End Time</t>
  </si>
  <si>
    <t>Time</t>
  </si>
  <si>
    <t>Seconds</t>
  </si>
  <si>
    <t>Run Status Message</t>
  </si>
  <si>
    <t>Sql Trace</t>
  </si>
  <si>
    <t>Audit Data Set Id</t>
  </si>
  <si>
    <t>Data Set Key</t>
  </si>
  <si>
    <t>Data Set</t>
  </si>
  <si>
    <t>Ds Status</t>
  </si>
  <si>
    <t>Ds Time</t>
  </si>
  <si>
    <t>Ds Seconds</t>
  </si>
  <si>
    <t>Ds Status Message</t>
  </si>
  <si>
    <t>Log File Url</t>
  </si>
  <si>
    <t>Data Load Rule Id</t>
  </si>
  <si>
    <t>Rule Status</t>
  </si>
  <si>
    <t>Rule Time</t>
  </si>
  <si>
    <t>Rule Seconds</t>
  </si>
  <si>
    <t>Procedure Sql Time</t>
  </si>
  <si>
    <t>Rule Status Message</t>
  </si>
  <si>
    <t>Audit Rule Details Id</t>
  </si>
  <si>
    <t>Sql Query</t>
  </si>
  <si>
    <t>Operation</t>
  </si>
  <si>
    <t>Detail Status</t>
  </si>
  <si>
    <t>Detail Status Message</t>
  </si>
  <si>
    <t>Detail Time</t>
  </si>
  <si>
    <t>Detail Seconds</t>
  </si>
  <si>
    <t>Total Sql Time</t>
  </si>
  <si>
    <t>Rows Processed</t>
  </si>
  <si>
    <t>Rows Failed</t>
  </si>
  <si>
    <t>Rows Succeed</t>
  </si>
  <si>
    <t>Incremental data load</t>
  </si>
  <si>
    <t>SUCCESS</t>
  </si>
  <si>
    <t>Payables</t>
  </si>
  <si>
    <t>All</t>
  </si>
  <si>
    <t>25m 6s</t>
  </si>
  <si>
    <t>ap-period-close</t>
  </si>
  <si>
    <t>AP Closing</t>
  </si>
  <si>
    <t>4s</t>
  </si>
  <si>
    <t xml:space="preserve">Data load finished successfully.. </t>
  </si>
  <si>
    <t>Data load finished successfully.</t>
  </si>
  <si>
    <t>select * from (
SELECT
ECC_SPEC_ID,
RECORD_TYPE,
EVENT_ID,
ORG_ID,
APPLICATION_ID,
INVOICE_ID,
INVOICE_TYPE_LOOKUP_CODE,
INVOICE_NUMBER,
TRANSACTION_CURRENCY,
INVOICE_DATE,
GL_DATE,
ACCOUNTED_AMOUNT,
PAYMENT_TYPE_FLAG,
PAYMENT_TYPE_DESC,
INSTALLMENT,
AMOUNT,
INVOICE_PAYMENT_ID,
CHECK_ID,
TRANSACTION_NUMBER,
TRANSACTION_DATE,
BANK_ACCOUNT_NAME,
VENDOR_ID,
SUPPLIER_NAME,
SUPPLIER_NUMBER,
SITE_CODE,
EVENT_STATUS_CODE,
EVENT_STATUS_DESC,
PROCESS_STATUS_CODE,
PROCESS_STATUS_DESC,
EVENT_TYPE_CODE,
EVENT_TYPE_DESC,
EVENT_NUMBER,
LEDGER_ID,
LEDGER_NAME,
CURRENCY_CODE,
PERIOD_NAME,
PERIOD_YEAR,
CLOSING_STATUS,
OPERATING_UNIT,
LANGUAGE
FROM
(
SELECT /*+ LEADING(ps) */
    ip.invoice_payment_id
    || '-'
    || xe.event_id
    || '-'
    || xe.event_number ecc_spec_id ,
    'PAY' AS record_type,
    xe.event_id,
    ai.org_id,
	xe.APPLICATION_ID,
    ai.invoice_id                 invoice_id,
    ai.invoice_type_lookup_code   invoice_type_lookup_code,
    ai.invoice_num                invoice_number,
	ai.invoice_currency_code TRANSACTION_CURRENCY,
    ai.invoice_date               AS invoice_date,
	ai.GL_DATE,
    ( ip.amount * nvl(ip.exchange_rate, 1) ) AS ACCOUNTED_AMOUNT,
    c.payment_type_flag,
	(
        SELECT
            meaning
        FROM
            fnd_lookup_values
        WHERE
            view_application_id = 200
            AND lookup_type = 'PAYMENT TYPE'
            AND language = outl.language
            AND lookup_code = c.payment_type_flag
    ) PAYMENT_TYPE_DESC,
    ip.payment_num                installment,
    ip.amount                     AMOUNT,
    ip.invoice_payment_id,
	c.check_id,
	c.check_number TRANSACTION_NUMBER,
    c.check_date TRANSACTION_DATE,
    c.bank_account_name,
    ai.vendor_id,
    hp.party_name                 supplier_name,
    pav.segment1                  supplier_number,
    pos.vendor_site_code          site_code,
    xe.event_status_code,
    (
        SELECT
            meaning
        FROM
            fnd_lookup_values
        WHERE
            view_application_id = 602
            AND lookup_type = 'XLA_EVENT_STATUS'
                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xe.process_status_code
    ) process_status_desc,
	xe.event_type_code,
    (select ett.description from XLA_EVENT_TYPES_TL ett where xe.EVENT_TYPE_CODE = ett. EVENT_TYPE_CODE and xe.application_id = ett.application_id and ett.language = outl.language) as EVENT_TYPE_DESC,
    xe.event_number,
    gl.ledger_id,
    gl.name                       ledger_name,
    gl.currency_code,
    ps.period_name,
    ps.period_year,
    ps.closing_status,
    outl.name                     operating_unit,
    outl.language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= 'U'
    AND xe.process_status_code = 'U' AND ( to_date(to_char(ip.last_update_date,'DD-MON-RR HH24:MI:SS'),'DD-MON-RR HH24:MI:SS')   &gt;=  to_date('27-APR-20','DD-MON-RR HH24:MI:SS')
       AND ip.last_update_date &lt; sysdate) )temp
where temp.language in ('US'))
PIVOT (max(OPERATING_UNIT) as OPERATING_UNIT, max(EVENT_STATUS_DESC) as EVENT_STATUS_DESC,
        max(PROCESS_STATUS_DESC) as PROCESS_STATUS_DESC,
		max(EVENT_TYPE_DESC) as EVENT_TYPE_DESC, max(PAYMENT_TYPE_DESC) as PAYMENT_TYPE_DESC,
    max(SUPPLIER_NAME) as SUPPLIER_NAME
For LANGUAGE in ('US' "US"))</t>
  </si>
  <si>
    <t>INSERT</t>
  </si>
  <si>
    <t>There are 0 documents processed successfully and 0 documents failed to be processed.</t>
  </si>
  <si>
    <t>0s</t>
  </si>
  <si>
    <t>0</t>
  </si>
  <si>
    <t>select * from (
SELECT
ECC_SPEC_ID,
RECORD_TYPE,
INVOICE_TYPE_LOOKUP_CODE,
ORG_ID,
TRANSACTION_CURRENCY,
SUPPLIER_NAME,
SUPPLIER_NUMBER,
SITE_CODE,
INVOICE_ID,
TRANSACTION_NUMBER,
TRANSACTION_DATE,
GL_DATE,
INVOICE_DISTRIBUTION_ID,
DISTRIBUTION_LINE_NUMBER,
INV_PERIOD,
AMOUNT,
ACCOUNTED_AMOUNT,
APPLICATION_ID,
EVENT_ID,
EVENT_STATUS_CODE,
EVENT_STATUS_DESC,
PROCESS_STATUS_CODE,
PROCESS_STATUS_DESC,
EVENT_TYPE_CODE,
EVENT_TYPE_DESC,
LINE_TYPE_LOOKUP_CODE,
LINE_TYPE_DESC,
EVENT_NUMBER,
LEDGER_ID,
LEDGER_NAME,
CURRENCY_CODE,
PERIOD_NAME,
PERIOD_YEAR,
CLOSING_STATUS,
OPERATING_UNIT,
LANGUAGE
FROM
(SELECT /*+ LEADING(ps) */
    aia.invoice_id
    || '-'
    ||aida.invoice_distribution_id
    || '-'
    || xe.event_id
    || '-'
    || xe.event_number ecc_spec_id,
    'INV' AS record_type,
    aia.invoice_type_lookup_code,
	aia.org_id,
	aia.invoice_currency_code as TRANSACTION_CURRENCY,
    ap.vendor_name         supplier_name,
    ap.segment1            supplier_number,
    pos.vendor_site_code   site_code,
    aia.invoice_id,
    aia.invoice_num        TRANSACTION_NUMBER,
    aia.invoice_date TRANSACTION_DATE,
    aia.gl_date,
    aida.invoice_distribution_id,
    aida.distribution_line_number,
    aida.period_name       inv_period,
    aida.amount,
	(CASE WHEN aida.base_amount IS NULL
    THEN (aida.amount * nvl(aida.exchange_rate,1))
    ELSE aida.base_amount
	END) as ACCOUNTED_AMOUNT,
    xe.application_id,
    xe.event_id,
    xe.event_status_code,
    (
        SELECT
            meaning
        FROM
            fnd_lookup_values
        WHERE
            view_application_id = 602
            AND lookup_type = 'XLA_EVENT_STATUS'
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                AND lookup_type = 'XLA_EVENT_PROCESS_STATUS'
            AND language = outl.language
            AND lookup_code = xe.process_status_code
    ) process_status_desc,
    xe.event_type_code,
	(select ett.description from XLA_EVENT_TYPES_TL ett where xe.EVENT_TYPE_CODE = ett. EVENT_TYPE_CODE and xe.application_id = ett.application_id AND ett.language = outl.language) as EVENT_TYPE_DESC,
    LINE_TYPE_LOOKUP_CODE,
    (select DISPLAYED_FIELD from AP_LOOKUP_CODES where LOOKUP_TYPE = 'INVOICE DISTRIBUTION TYPE'
    and LOOKUP_CODE = aida.LINE_TYPE_LOOKUP_CODE) as LINE_TYPE_DESC,
    xe.event_number,
    lgr.ledger_id,
    lgr.name               ledger_name,
    lgr.currency_code,
    ps.period_name,
    ps.period_year,
    ps.closing_status,
    outl.name              operating_unit,
    outl.language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= 'U' AND ( to_date(to_char(aia.last_update_date,'DD-MON-RR HH24:MI:SS'),'DD-MON-RR HH24:MI:SS')   &gt;=  to_date('27-APR-20','DD-MON-RR HH24:MI:SS')
       AND aia.last_update_date &lt; sysdate) )temp
where temp.language in ('US'))
PIVOT (max(OPERATING_UNIT) as OPERATING_UNIT, max(EVENT_STATUS_DESC) as EVENT_STATUS_DESC, max(PROCESS_STATUS_DESC) as PROCESS_STATUS_DESC,
    max(EVENT_TYPE_DESC) as EVENT_TYPE_DESC, max(LINE_TYPE_DESC) as LINE_TYPE_DESC, max(SUPPLIER_NAME) as SUPPLIER_NAME
For LANGUAGE in ('US' "US"))</t>
  </si>
  <si>
    <t>select * from (
SELECT
ECC_SPEC_ID,
RECORD_TYPE,
LEDGER_ID,
LEDGER_NAME,
CURRENCY_CODE,
OPERATING_UNIT,
LANGUAGE,
PERIOD_NAME,
PERIOD_YEAR,
CLOSING_STATUS,
ORG_ID,
INVOICE_ID,
INVOICE_TYPE_LOOKUP_CODE,
INVOICE_NUMBER,
INVOICE_CURRENCY,
INVOICE_DATE,
PAYMENT_TYPE_FLAG,
PAYMENT_TYPE_DESC,
INSTALLMENT,
INVOICE_PAYMENT_ID,
CHECK_ID,
TRANSACTION_NUMBER,
TRANSACTION_DATE,
BANK_ACCOUNT_NAME,
VENDOR_ID,
SUPPLIER_NAME,
SUPPLIER_NUMBER,
SITE_CODE,
APPLICATION_ID,
EVENT_ID,
EVENT_STATUS_CODE,
EVENT_STATUS_DESC,
PROCESS_STATUS_CODE,
PROCESS_STATUS_DESC,
EVENT_TYPE_CODE,
EVENT_TYPE_DESC,
EVENT_NUMBER,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DISPLAYED_LINE_NUMBER,
LINE_DESC,
ACCOUNT_CODE,
ACCOUNT_DESCRIPTION
FROM
(
SELECT /*+ LEADING(ps) */
    invoice_payment_id
    || '-'
    || xe.event_id
    || '-'
    || xe.event_number
    || '-'
    || xal.ae_header_id
    || '-'
    || xal.ae_line_num ecc_spec_id,
    'PAY' AS record_type,
    gl.ledger_id,
    gl.name ledger_name,
    gl.currency_code,
    outl.name operating_unit,
    outl.language,
    ps.period_name,
    ps.period_year,
    ps.closing_status,
    ai.org_id,
    ai.invoice_id invoice_id,
    ai.invoice_type_lookup_code invoice_type_lookup_code,
    ai.invoice_num invoice_number,
    ai.invoice_currency_code invoice_currency,
    ai.invoice_date AS invoice_date,
    c.payment_type_flag,
    (
        SELECT
            meaning
        FROM
            fnd_lookup_values
        WHERE
            view_application_id = 200
            AND   lookup_type = 'PAYMENT TYPE'
            AND   language = outl.language
            AND   lookup_code = c.payment_type_flag
    ) payment_type_desc,
    ip.payment_num installment,
    ip.invoice_payment_id,
    c.check_id,
    c.check_number transaction_number,
    c.check_date transaction_date,
    c.bank_account_name,
    ai.vendor_id,
    hp.party_name supplier_name,
    pav.segment1 supplier_number,
    pos.vendor_site_code site_code,
    xe.application_id,
    xe.event_id,
    Decode(xe.event_status_code,'Z','I',xe.event_status_code) as EVENT_STATUS_CODE,
    (
        SELECT
            meaning
        FROM
            fnd_lookup_values
        WHERE
            view_application_id = 602
            AND   lookup_type = 'XLA_EVENT_STATUS'
            AND   language = outl.language
            AND   lookup_code = Decode(xe.event_status_code,'Z','I',xe.event_status_code)
    ) event_status_desc,
    decode(xe.process_status_code,'Z','I',xe.process_status_code) as process_status_code,
    (
        SELECT
            meaning
        FROM
            fnd_lookup_values
        WHERE
            view_application_id = 602
            AND   lookup_type = 'XLA_EVENT_PROCESS_STATUS'
            AND   language = outl.language
            AND   lookup_code = decode(xe.process_status_code,'Z','I',xe.process_status_code)
    ) process_status_desc,
    xe.event_type_code,
    (
        SELECT
            ett.description
        FROM
            xla_event_types_tl ett
        WHERE
            xe.event_type_code = ett.event_type_code
            AND   xe.application_id = ett.application_id
            AND   ett.language = outl.language
    ) AS event_type_desc,
    xe.event_number,
    xah.ae_header_id,
    xah.gl_transfer_status_code,
    (
        SELECT
            meaning
        FROM
            fnd_lookup_values
        WHERE
            view_application_id = 602
            AND   lookup_type = 'GL_TRANSFER_FLAG'
            AND   language = outl.language
            AND   lookup_code = xah.gl_transfer_status_code
    ) gl_transfer_flag_desc,
    xah.accounting_entry_status_code,
    (
        SELECT
            meaning
        FROM
            fnd_lookup_values
        WHERE
            view_application_id = 602
            AND   lookup_type = 'XLA_ACCOUNTING_ENTRY_STATUS'
            AND   language = outl.language
            AND   lookup_code = xah.accounting_entry_status_code
    ) accounting_entry_status_desc,
    xah.accounting_entry_type_code,
    (
        SELECT
            meaning
        FROM
            fnd_lookup_values
        WHERE
            view_application_id = 602
            AND   lookup_type = 'XLA_ACCOUNTING_ENTRY_TYPE'
            AND   language = outl.language
            AND   lookup_code = xah.accounting_entry_type_code
    ) accounting_entry_type_desc,
    xah.je_category_name,
    (
        SELECT
            jct.description
        FROM
            gl_je_categories_tl jct
        WHERE
            xah.je_category_name = jct.je_category_name
            AND   jct.language = outl.language
    ) AS je_category_desc,
    xah.description,
    xah.balance_type_code,
    (
        SELECT
            meaning
        FROM
            fnd_lookup_values
        WHERE
            view_application_id = 602
            AND   lookup_type = 'XLA_BALANCE_TYPE'
            AND   language = outl.language
            AND   lookup_code = xah.balance_type_code
    ) balance_type_desc,
    xah.period_name gl_period_name,
    xal.ae_line_num,
    xal.accounting_date,
    xal.accounting_class_code,
    (
        SELECT
            meaning
        FROM
            fnd_lookup_values
        WHERE
            view_application_id = 602
            AND   lookup_type = 'XLA_ACCOUNTING_CLASS'
            AND   language = outl.language
            AND   lookup_code = xal.accounting_class_code
    ) accounting_class_code_desc,
    xal.business_class_code,
    (
        SELECT
            meaning
        FROM
            fnd_lookup_values
        WHERE
            view_application_id = 602
            AND   lookup_type = 'XLA_BUSINESS_FLOW_CLASS'
            AND   language = outl.language
            AND   lookup_code = xal.business_class_code
    ) business_class_code_desc,
    xal.code_combination_id xla_ccid,
    xal.entered_dr xla_entered_dr,
    xal.entered_cr xla_entered_cr,
    xal.accounted_dr xla_accounted_dr,
    xal.accounted_cr xla_accounted_cr,
    XAL.DISPLAYED_LINE_NUMBER,
    xal.description line_desc,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'VALUE') ) AS account_code,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'FULL_DESCRIPTION') ) AS account_description
FROM
    gl_period_statuses ps,
    ap_invoices_all ai,
    gl_ledgers gl,
    ap_invoice_payments_all ip,
    ap_checks_all c,
    ap_suppliers pav,
    ap_supplier_sites_all pos,
    hr_all_organization_units ou,
    hr_all_organization_units_tl outl,
    hz_parties hp,
    xla_events xe,
    xla_transaction_entities xte,
    xla_ae_headers xah,
    xla_ae_lines xal,
    gl_code_combinations cc
WHERE
    xe.application_id = 200
    AND   ps.adjustment_period_flag = 'N'
    AND   ps.set_of_books_id = ai.set_of_books_id
    AND   ai.gl_date BETWEEN ps.start_date AND ps.end_date
    AND   ps.closing_status = 'O'
    AND   ps.application_id = xe.application_id
    AND   ai.invoice_id = ip.invoice_id
    AND   ip.check_id = c.check_id
    AND   ai.set_of_books_id = gl.ledger_id
    AND   ou.organization_id = ai.org_id
    AND   ou.organization_id = outl.organization_id
    AND   ai.vendor_id = pav.vendor_id
    AND   ai.vendor_site_id = pos.vendor_site_id
    AND   hp.party_id = ai.party_id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AND   xah.gl_transfer_status_code &lt;&gt; 'Y'
    AND   xal.displayed_line_number &gt;= 0
    AND   xal.code_combination_id = cc.code_combination_id
    AND   gl.chart_of_accounts_id = cc.chart_of_accounts_id
    AND   cc.enabled_flag = 'Y' AND ( to_date(to_char(ip.last_update_date,'DD-MON-RR HH24:MI:SS'),'DD-MON-RR HH24:MI:SS')   &gt;=  to_date('27-APR-20','DD-MON-RR HH24:MI:SS')
       AND ip.last_update_date &lt; sysdate) )temp
    where temp.language in ('US'))
    PIVOT
    (max(OPERATING_UNIT) as OPERATING_UNIT,
    max(EVENT_STATUS_DESC) as EVENT_STATUS_DESC,
    max(PROCESS_STATUS_DESC) as PROCESS_STATUS_DESC,
    max(GL_TRANSFER_FLAG_DESC) as GL_TRANSFER_FLAG_DESC,
    max(ACCOUNTING_ENTRY_STATUS_DESC) as ACCOUNTING_ENTRY_STATUS_DESC,
    max(ACCOUNTING_ENTRY_TYPE_DESC) as ACCOUNTING_ENTRY_TYPE_DESC,
    max(BALANCE_TYPE_DESC) as BALANCE_TYPE_DESC, max(EVENT_TYPE_DESC) as EVENT_TYPE_DESC,
    max(JE_CATEGORY_DESC) as JE_CATEGORY_DESC,max(PAYMENT_TYPE_DESC) as PAYMENT_TYPE_DESC,
    max(ACCOUNTING_CLASS_CODE_DESC) as ACCOUNTING_CLASS_CODE_DESC,
    max(BUSINESS_CLASS_CODE_DESC) as BUSINESS_CLASS_CODE_DESC,
    max(SUPPLIER_NAME) as SUPPLIER_NAME
	For LANGUAGE in ('US' "US"))</t>
  </si>
  <si>
    <t>select * from (
SELECT
ECC_SPEC_ID,
RECORD_TYPE,
INVOICE_TYPE_LOOKUP_CODE,
ORG_ID,
TRANSACTION_CURRENCY,
VENDOR_ID,
SUPPLIER_NAME,
SUPPLIER_NUMBER,
SITE_CODE,
INVOICE_ID,
TRANSACTION_NUMBER,
TRANSACTION_DATE,
GL_DATE,
APPLICATION_ID,
EVENT_ID,
EVENT_STATUS_CODE,
EVENT_STATUS_DESC,
PROCESS_STATUS_CODE,
PROCESS_STATUS_DESC,
EVENT_TYPE_CODE,
EVENT_TYPE_DESC,
EVENT_NUMBER,
DISPLAYED_LINE_NUMBER,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LINE_DESC,
ACCOUNT_CODE,
ACCOUNT_DESCRIPTION,
LEDGER_ID,
LEDGER_NAME,
CURRENCY_CODE,
PERIOD_NAME,
PERIOD_YEAR,
CLOSING_STATUS,
OPERATING_UNIT,
LANGUAGE
FROM (
SELECT /*+ LEADING(ps) */
    aia.invoice_id
    || '-'
    || xe.event_id
    || '-'
    || xe.event_number
    || '-'
    || xah.ae_header_id
    || '-'
    || xal.ae_line_num ecc_spec_id,
    'INV' AS record_type,
    aia.invoice_type_lookup_code,
	aia.org_id,
	aia.invoice_currency_code as TRANSACTION_CURRENCY,
	aia.VENDOR_ID,
    ap.vendor_name            supplier_name,
    ap.segment1               supplier_number,
	pos.vendor_site_code   site_code,
    aia.invoice_id,
    aia.invoice_num TRANSACTION_NUMBER,
    aia.invoice_date TRANSACTION_DATE,
    aia.gl_date,
    xe.application_id,
    xe.event_id,
    Decode(xe.event_status_code,'Z','I',xe.event_status_code) as EVENT_STATUS_CODE,
    (
        SELECT
            meaning
        FROM
            fnd_lookup_values
        WHERE
            view_application_id = 602
                            AND lookup_type = 'XLA_EVENT_STATUS'
            AND language = outl.language
            AND lookup_code = Decode(xe.event_status_code,'Z','I',xe.event_status_code)
    ) event_status_desc,
	Decode(xe.process_status_code,'Z','I',xe.process_status_code) as 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Decode(xe.process_status_code,'Z','I',xe.process_status_code)
    ) process_status_desc,
    xe.event_type_code,
    (select ett.description from XLA_EVENT_TYPES_TL ett where xe.EVENT_TYPE_CODE = ett. EVENT_TYPE_CODE and xe.application_id = ett.application_id
	AND ett.language = outl.language) as EVENT_TYPE_DESC,
    xe.event_number,
    xal.displayed_line_number,
    xah.ae_header_id,
    xah.gl_transfer_status_code,
    (
        SELECT
            meaning
        FROM
            fnd_lookup_values
        WHERE
            view_application_id = 602
            AND lookup_type = 'GL_TRANSFER_FLAG'
            AND language = outl.language
            AND lookup_code = xah.gl_transfer_status_code
    ) gl_transfer_flag_desc,
    xah.accounting_entry_status_code,
                    (
        SELECT
            meaning
        FROM
            fnd_lookup_values
        WHERE
            view_application_id = 602
            AND lookup_type = 'XLA_ACCOUNTING_ENTRY_STATUS'
            AND language = outl.language
            AND lookup_code = xah.accounting_entry_status_code
    ) accounting_entry_status_desc,
    xah.accounting_entry_type_code,
    (
        SELECT
            meaning
        FROM
            fnd_lookup_values
        WHERE
            view_application_id = 602
            AND lookup_type = 'XLA_ACCOUNTING_ENTRY_TYPE'
            AND language = outl.language
            AND lookup_code = xah.accounting_entry_type_code
    ) accounting_entry_type_desc,
    xah.je_category_name,
	(select DESCRIPTION from GL_JE_CATEGORIES_TL jct Where xah.JE_CATEGORY_NAME = jct.JE_CATEGORY_NAME and language=outl.language)JE_CATEGORY_DESC,
    xah.description,
    xah.balance_type_code,
    (
        SELECT
            meaning
        FROM
            fnd_lookup_values
        WHERE
            view_application_id = 602
                            AND lookup_type = 'XLA_BALANCE_TYPE'
            AND language = outl.language
            AND lookup_code = xah.balance_type_code
    ) balance_type_desc,
    xah.period_name           gl_period_name,
                    xal.ae_line_num,
    xal.accounting_date,
                    xal.accounting_class_code,
    (
        SELECT
            meaning
        FROM
            fnd_lookup_values
        WHERE
            view_application_id = 602
            AND lookup_type = 'XLA_ACCOUNTING_CLASS'
            AND language = outl.language
            AND lookup_code = xal.accounting_class_code
    ) accounting_class_code_desc,
    xal.business_class_code,
    (
        SELECT
            meaning
        FROM
            fnd_lookup_values
        WHERE
            view_application_id = 602
            AND lookup_type = 'XLA_BUSINESS_FLOW_CLASS'
            AND language = outl.language
            AND lookup_code = xal.business_class_code
    ) business_class_code_desc,
    xal.code_combination_id   xla_ccid,
    xal.entered_dr            xla_entered_dr,
    xal.entered_cr            xla_entered_cr,
    xal.accounted_dr          xla_accounted_dr,
    xal.accounted_cr          xla_accounted_cr,
    xal.description           line_desc,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'VALUE')) AS account_code,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'FULL_DESCRIPTION')) AS account_description,
    lgr.ledger_id,
    lgr.name                  ledger_name,
    lgr.currency_code,
    ps.period_name,
    ps.period_year,
    ps.closing_status,
    outl.name                 operating_unit,
    outl.language
FROM
    ap_invoices_all                aia,
    ap_suppliers                   ap,
	ap_supplier_sites_all          pos,
    xla_events                     xe,
    XLA_TRANSACTION_ENTITIES XTE,
    xla_ae_headers                 xah,
    xla_ae_lines                   xal,
    gl_ledgers                     lgr,
    gl_period_statuses             ps,
    gl_code_combinations           cc,
    hr_all_organization_units      ou,
    hr_all_organization_units_tl   outl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    AND ou.organization_id = aia.org_id
    AND ou.organization_id = outl.organization_id
    AND lgr.ledger_id = aia.set_of_books_id
    AND ps.set_of_books_id = aia.set_of_books_id
    AND ps.application_id = xe.application_id
    AND aia.invoice_date BETWEEN ps.start_date AND ps.end_date
    AND ps.closing_status = 'O'
    AND xal.code_combination_id = cc.code_combination_id
    AND lgr.chart_of_accounts_id = cc.chart_of_accounts_id
    AND cc.enabled_flag = 'Y' AND ( to_date(to_char(aia.last_update_date,'DD-MON-RR HH24:MI:SS'),'DD-MON-RR HH24:MI:SS')   &gt;=  to_date('27-APR-20','DD-MON-RR HH24:MI:SS')
       AND aia.last_update_date &lt; sysdate)
    ) temp
    where temp.language in ('US'))
    PIVOT
    ( max(OPERATING_UNIT) as OPERATING_UNIT, max(EVENT_STATUS_DESC) as EVENT_STATUS_DESC, max(PROCESS_STATUS_DESC) as PROCESS_STATUS_DESC,
    max(GL_TRANSFER_FLAG_DESC) as GL_TRANSFER_FLAG_DESC, max(ACCOUNTING_ENTRY_STATUS_DESC) as ACCOUNTING_ENTRY_STATUS_DESC,
    max(ACCOUNTING_ENTRY_TYPE_DESC) as ACCOUNTING_ENTRY_TYPE_DESC, max(BALANCE_TYPE_DESC) as BALANCE_TYPE_DESC, MAX(EVENT_TYPE_DESC) as EVENT_TYPE_DESC,
     max(JE_CATEGORY_DESC) as JE_CATEGORY_DESC, max(ACCOUNTING_CLASS_CODE_DESC) as ACCOUNTING_CLASS_CODE_DESC, max(BUSINESS_CLASS_CODE_DESC) as BUSINESS_CLASS_CODE_DESC
    For LANGUAGE in ('US' "US"))</t>
  </si>
  <si>
    <t>SELECT /*+ LEADING(ps) */
    ip.invoice_payment_id
    || '-'
    || xe.event_id
    || '-'
    || xe.event_number ecc_spec_id ,
    'PAY' AS record_type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&lt;&gt; 'U'
    AND xe.process_status_code &lt;&gt; 'U'
	AND to_date(to_char(ip.last_update_date,'DD-MON-RR HH24:MI:SS'),'DD-MON-RR HH24:MI:SS')   &gt;=  to_date('27-APR-20','DD-MON-RR HH24:MI:SS')
	AND ip.last_update_date &lt; sysdate</t>
  </si>
  <si>
    <t>DELETE</t>
  </si>
  <si>
    <t>SELECT /*+ LEADING(ps) */
     aia.invoice_id
    || '-'
    ||aida.invoice_distribution_id
    || '-'
    || xe.event_id
    || '-'
    || xe.event_number ecc_spec_id,
    'INV' AS record_type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&lt;&gt; 'U'
	AND to_date(to_char(aia.last_update_date,'DD-MON-RR HH24:MI:SS'),'DD-MON-RR HH24:MI:SS')   &gt;=  to_date('27-APR-20','DD-MON-RR HH24:MI:SS')
    AND aia.last_update_date &lt; sysdate</t>
  </si>
  <si>
    <t>SELECT
 invoice_payment_id
    || '-'
    || xe.event_id
    || '-'
    || xe.event_number
	|| '-'
	||xal.AE_HEADER_ID
	|| '-'
	||xal.AE_LINE_NUM
	ecc_spec_id,
    'PAY' AS record_type
FROM
    ap_invoices_all ai,
    gl_ledgers gl,
    ap_invoice_payments_all ip,
    ap_checks_all c,
    ap_suppliers pav,
    ap_supplier_sites_all pos,
    xla_events xe,
    xla_transaction_entities xte,
    xla_ae_headers xah,
    xla_ae_lines xal
WHERE
    xe.application_id = 200
    AND   ai.invoice_id = ip.invoice_id
    AND   ip.check_id = c.check_id
    AND   ai.set_of_books_id = gl.ledger_id
    AND   ai.vendor_id = pav.vendor_id
    AND   ai.vendor_site_id = pos.vendor_site_id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--AND   xah.gl_transfer_status_code &lt;&gt; 'Y'
    AND   xal.displayed_line_number &gt;= 0
    AND to_date(to_char(ip.last_update_date,'DD-MON-RR HH24:MI:SS'),'DD-MON-RR HH24:MI:SS')   &gt;=  to_date('27-APR-20','DD-MON-RR HH24:MI:SS')
    AND ip.last_update_date &lt; sysdate</t>
  </si>
  <si>
    <t>SELECT DISTINCT
    'ECC_SPEC_ID' as ATTRIBUTE_NAME,
    aia.invoice_id as ATTRIBUTE_VALUE,
    'LIKE' AS OPERATOR
FROM
    ap_invoices_all                aia,
    ap_suppliers                   ap,
	ap_supplier_sites_all          pos,
    xla_events                     xe,
    XLA_TRANSACTION_ENTITIES XTE,
    xla_ae_headers                 xah,
    xla_ae_lines                   xal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	AND to_date(to_char(aia.last_update_date,'DD-MON-RR HH24:MI:SS'),'DD-MON-RR HH24:MI:SS')   &gt;=  to_date('27-APR-20','DD-MON-RR HH24:MI:SS')
    AND aia.last_update_date &lt; sysdate</t>
  </si>
  <si>
    <t>DELETE_BY_QUERY</t>
  </si>
  <si>
    <t>ap-paid</t>
  </si>
  <si>
    <t>Payments</t>
  </si>
  <si>
    <t>24m 55s</t>
  </si>
  <si>
    <t>SELECT ECC_SPEC_ID from AP_ECC_PAID_HISTORY_V where RECORD_TYPE='P' AND CREATION_DATE &lt; trunc(sysdate)-7</t>
  </si>
  <si>
    <t>There are 1,050,152 documents processed successfully and 0 documents failed to be processed.</t>
  </si>
  <si>
    <t>1050152</t>
  </si>
  <si>
    <t>select * from (SELECT ECC_SPEC_ID,
ATTRIBUTE_CATEGORY,
ATTRIBUTE1,
ATTRIBUTE2,
ATTRIBUTE3,
ATTRIBUTE4,
ATTRIBUTE5,
ATTRIBUTE6,
ATTRIBUTE7,
ATTRIBUTE8,
ATTRIBUTE9,
ATTRIBUTE10,
ATTRIBUTE11,
ATTRIBUTE12,
ATTRIBUTE13,
ATTRIBUTE14,
ATTRIBUTE15,
    record_type ,
        OPERATING_UNIT,
    ORG_ID ,
    invoice_id,
    invoice_type_lookup_code,
    invoice_type,
    invoice_number,
    legal_entity,
    invoice_amount ,
    inv_currency,
    inv_currency_code,
    invoice_date,
    VOUCHER_NUM,
    SOURCE,
     INSTALLMENT,
    AMOUNT,
    CHECK_NUMBER,
    CHECK_DATE,
    BANK_ACCOUNT_NAME,
    supplier_type,
    supplier_type_code,
    VENDOR_ID,
    Supplier_Name ,
    supplier_number ,
    site_code,
    Ledger,
    gl_currency,
    gl_currency_code,
    CREATION_DATE,
    LANGUAGE
from AP_ECC_PAID_HISTORY_V
Where CREATION_DATE &gt; trunc(sysdate)-7
And ( ( to_date(to_char(CREATION_DATE,'DD-MON-RR HH24:MI:SS'),'DD-MON-RR HH24:MI:SS')   &gt;=  to_date('27-APR-20','DD-MON-RR HH24:MI:SS')
       AND CREATION_DATE &lt; sysdate)) and language in ('US')) PIVOT ( max(SUPPLIER_TYPE) as SUPPLIER_TYPE,max(OPERATING_UNIT) as OPERATING_UNIT,max(INVOICE_TYPE) as INVOICE_TYPE, max (INV_CURRENCY) as INV_CURRENCY,
       max(GL_CURRENCY) as GL_CURRENCY
FOR LANGUAGE in ('US' "US"))</t>
  </si>
  <si>
    <t>UPSERT</t>
  </si>
  <si>
    <t>ap-hold</t>
  </si>
  <si>
    <t>Holds</t>
  </si>
  <si>
    <t>SELECT hold.invoice_id || '_' || hold_id AS ECC_SPEC_ID
  FROM ap_holds_all hold
 WHERE HOLD.RELEASE_LOOKUP_CODE IS NOT NULL AND
to_date(to_char(HOLD.LAST_UPDATE_DATE,'DD-MON-RR HH24:MI:SS'),'DD-MON-RR HH24:MI:SS')   &gt;  to_date('27-APR-20','DD-MON-RR HH24:MI:SS')</t>
  </si>
  <si>
    <t>select * from (SELECT ECC_SPEC_ID,
 ATTRIBUTE_CATEGORY, ATTRIBUTE1, ATTRIBUTE2, ATTRIBUTE3, ATTRIBUTE4, ATTRIBUTE5,
 ATTRIBUTE6, ATTRIBUTE7, ATTRIBUTE8, ATTRIBUTE9, ATTRIBUTE10,
 ATTRIBUTE11, ATTRIBUTE12, ATTRIBUTE13, ATTRIBUTE14, ATTRIBUTE15,
  RECORD_TYPE,  INVOICE_ID,  INVOICE_NUMBER, HOLD_NAME_CODE, HOLD_TYPE_CODE, USER_RELEASE_CODE,
  HOLD_DATE,  USER_RELEASEABLE_FLAG,  HOLD_NAME,  HOLD_TYPE,  DESCRIPTION,ORG_ID,
  OPERATING_UNIT,  INVOICE_TYPE,  LEGAL_ENTITY,  SUPPLIER_TYPE,SUPPLIER_TYPE_CODE,
  SUPPLIER_NAME ,  SUPPLIER_NUMBER ,  SITE_CODE,  INVOICE_DATE,
 GL_DATE, INV_CURRENCY,INV_CURRENCY_CODE, INVOICE_AMOUNT, UNPAID_AMOUNT, LEDGER, GL_CURRENCY,GL_CURRENCY_CODE,
 PO_NUMBERS, VOUCHER_NUM, SOURCE,LANGUAGE
FROM AP_ECC_HOLD_V HOLD
WHERE exists(select 1 from AP_ECC_TRX_PROCESS TEMP WHERE TEMP.INVOICE_ID = HOLD.INVOICE_ID AND TEMP.INCREMENTAL_FLAG ='Y')
and language in ('US'))
PIVOT (max(OPERATING_UNIT) as OPERATING_UNIT,max(USER_RELEASEABLE_FLAG) as USER_RELEASEABLE_FLAG, max(HOLD_NAME) as HOLD_NAME, max(HOLD_TYPE) as HOLD_TYPE,
         max(INVOICE_TYPE) as INVOICE_TYPE, max(SUPPLIER_TYPE) as SUPPLIER_TYPE,max (INV_CURRENCY) as INV_CURRENCY,
         max(GL_CURRENCY) AS GL_CURRENCY for LANGUAGE in ('US' "US"))</t>
  </si>
  <si>
    <t>ap-trx</t>
  </si>
  <si>
    <t>Installments</t>
  </si>
  <si>
    <t>6s</t>
  </si>
  <si>
    <t>SELECT ECC_SPEC_ID from AP_ECC_PREPAYMENT_V where RECORD_TYPE='I' AND INVOICE_TYPE_LOOKUP_CODE='PREPAYMENT' AND (VALIDATION_STATUS='FULL' OR VALIDATION_STATUS='CANCELLED')</t>
  </si>
  <si>
    <t>There are 176 documents processed successfully and 0 documents failed to be processed.</t>
  </si>
  <si>
    <t>5s</t>
  </si>
  <si>
    <t>176</t>
  </si>
  <si>
    <t>SELECT invoice_id || '_' || payment_num
as ECC_SPEC_ID FROM AP_ECC_TRX_PROCESS WHERE PAYMENT_STATUS_FLAG = 'Y'</t>
  </si>
  <si>
    <t>select * from (SELECT ECC_SPEC_ID,
ATTRIBUTE_CATEGORY,
ATTRIBUTE1,
ATTRIBUTE2,
ATTRIBUTE3,
ATTRIBUTE4,
ATTRIBUTE5,
ATTRIBUTE6,
ATTRIBUTE7,
ATTRIBUTE8,
ATTRIBUTE9,
ATTRIBUTE10,
ATTRIBUTE11,
ATTRIBUTE12,
ATTRIBUTE13,
ATTRIBUTE14,
ATTRIBUTE15,
  RECORD_TYPE,
  OPERATING_UNIT,
  ORG_ID,
  INVOICE_ID,
  INVOICE_TYPE_LOOKUP_CODE,
  INVOICE_TYPE,
  INVOICE_NUMBER,
  LEGAL_ENTITY,
  VALIDATION_STATUS,
  INVOICE_AMOUNT,
  INV_CURRENCY,
  INV_CURRENCY_CODE,
  INVOICE_DATE,
  PO_NUMBERS,
  VOUCHER_NUM,
  SOURCE,
  BASE_AMOUNT,
  PAYMENT_TERM,
  GL_DATE,
  EXCHANGE_RATE,
  DUE_DATE,
  PAYMENT_STATUS_FLAG,
  PAYMENT_STATUS,
  AMOUNT_REMAINING,
  AMOUNT_REMAINING_BASE,
  INSTALLMENT,
  SUPPLIER_TYPE,
  SUPPLIER_TYPE_CODE,
  VENDOR_ID,
  SUPPLIER_NAME,
  SUPPLIER_NUMBER,
  SITE_CODE,
  LEDGER_ID,
  LEDGER,
  GL_CURRENCY,
  GL_CURRENCY_CODE,
  LANGUAGE
FROM
  AP_ECC_PREPAYMENT_V pre
WHERE exists (	select 1 from AP_INVOICE_DISTRIBUTIONS_ALL aid where
   pre.INVOICE_ID = aid.invoice_id
     And  (( to_date(to_char(aid.last_update_date,'DD-MON-RR HH24:MI:SS'),'DD-MON-RR HH24:MI:SS')   &gt;=  to_date('27-APR-20','DD-MON-RR HH24:MI:SS')
       AND aid.last_update_date &lt; sysdate) OR
       ( to_date(to_char(ps_last_update_date,'DD-MON-RR HH24:MI:SS'),'DD-MON-RR HH24:MI:SS')   &gt;=  to_date('27-APR-20','DD-MON-RR HH24:MI:SS')
       AND ps_last_update_date &lt; sysdate) OR
       ( to_date(to_char(ai_last_update_date,'DD-MON-RR HH24:MI:SS'),'DD-MON-RR HH24:MI:SS')   &gt;=  to_date('27-APR-20','DD-MON-RR HH24:MI:SS')
       AND ai_last_update_date &lt; sysdate))) and language in ('US'))
PIVOT (max(OPERATING_UNIT) as OPERATING_UNIT , max(INVOICE_TYPE) as INVOICE_TYPE,max(PAYMENT_STATUS) as PAYMENT_STATUS,
 max(SUPPLIER_TYPE) as SUPPLIER_TYPE, max(PAYMENT_TERM) as PAYMENT_TERM,max (INV_CURRENCY) as INV_CURRENCY, max(GL_CURRENCY) as GL_CURRENCY
FOR LANGUAGE in ('US' "US"))</t>
  </si>
  <si>
    <t>select * from (select /*+ leading (trx_v.temp.trx_t) full(trx_v.temp.trx_t) index(trx_v.temp.trx_t) index (trx_v.temp.ai) */ ECC_SPEC_ID,
dfv.*, trx_v.ATTRIBUTE_CATEGORY,trx_v.ATTRIBUTE1,trx_v.ATTRIBUTE2,trx_v.ATTRIBUTE3,trx_v.
 ATTRIBUTE4,trx_v.ATTRIBUTE5,trx_v.ATTRIBUTE6,trx_v.ATTRIBUTE7,trx_v.ATTRIBUTE8,trx_v.
 ATTRIBUTE9,trx_v.ATTRIBUTE10,trx_v.ATTRIBUTE11,trx_v.ATTRIBUTE12,trx_v.ATTRIBUTE13,trx_v.
 ATTRIBUTE14,trx_v.ATTRIBUTE15,trx_v.RECORD_TYPE,trx_v.OPERATING_UNIT,trx_v.ORG_ID,trx_v.
 INVOICE_ID,trx_v.INVOICE_TYPE_LOOKUP_CODE,trx_v.INVOICE_TYPE,trx_v.INVOICE_NUMBER,trx_v.LEGAL_ENTITY,trx_v.
 VALIDATION_STATUS,trx_v.INVOICE_AMOUNT,trx_v.UNPAID_AMOUNT,trx_v.INV_CURRENCY,trx_v.INV_CURRENCY_CODE,trx_v.INVOICE_DATE,trx_v.
 PO_NUMBERS,trx_v.VOUCHER_NUM,trx_v.SOURCE,trx_v.BASE_AMOUNT,trx_v.PAYMENT_TERM,trx_v.
 GL_DATE,trx_v.EXCHANGE_RATE,trx_v.DUE_DATE,trx_v.PAYMENT_STATUS_FLAG,trx_v.PAYMENT_STATUS,trx_v.
 AMOUNT_REMAINING,trx_v.AMOUNT_REMAINING_BASE,trx_v.INSTALLMENT,trx_v.FIRST_DISCOUNT_DATE,trx_v.SECOND_DISCOUNT_DATE,trx_v.
 THIRD_DISCOUNT_DATE,trx_v.DISCOUNT_AMOUNT_AVAILABLE,trx_v.SECOND_DISC_AMT_AVAILABLE,trx_v.THIRD_DISC_AMT_AVAILABLE,trx_v.DISCOUNT_AMOUNT_AVAILABLE_BASE,trx_v.
 SECOND_DISC_AMT_AVAILABLE_BASE,trx_v.THIRD_DISC_AMT_AVAILABLE_BASE,trx_v.HOLD_TYPE,trx_v.HOLD_NAME,trx_v.HOLD_COUNT,trx_v.
 SUPPLIER_TYPE,trx_v.VENDOR_ID,trx_v.SUPPLIER_NAME,trx_v.SUPPLIER_NUMBER,trx_v.SITE_CODE,trx_v.
 LEDGER_ID,trx_v.LEDGER,trx_v.GL_CURRENCY,trx_v.GL_CURRENCY_CODE,trx_v.SUPPLIER_TYPE_CODE,  trx_v.LANGUAGE,
 trx_v.aging_bucket as aging_bucket, trx_v.NEXT_DISCOUNT_DATE, trx_v.EARLIEST_OPEN_HOLD_DATE,
       trx_v.INVOICE_ON_HOLD_FLAG from AP_ECC_INSTALLMENT_V trx_v
        , (select 'AP_ROW_ID','AP_CONTEXT','AP_MISC_VENDOR_NAME','AP_MISC_VENDOR_ADDRESS','AP_MISC_VENDOR_CITY','AP_MISC_VENDOR_STATE','AP_MISC_VENDOR_ZIP','AP_CONCATENATED_SEGMENTS' from dual where 1=2  union select ROWIDTOCHAR(ROW_ID),CONTEXT,MISC_VENDOR_NAME,MISC_VENDOR_ADDRESS,MISC_VENDOR_CITY,MISC_VENDOR_STATE,to_char(MISC_VENDOR_ZIP),CONCATENATED_SEGMENTS from AP_INVOICES_ALL_DFV) dfv
 WHERE trx_v.incremental_flag = 'Y' and language in ('US')  AND TRX_V.ROW_ID = DFV."'AP_ROW_ID'"(+)
   ) PIVOT (max(OPERATING_UNIT) as OPERATING_UNIT , max(INVOICE_TYPE) as INVOICE_TYPE,max(PAYMENT_STATUS) as PAYMENT_STATUS,max(HOLD_TYPE) as HOLD_TYPE,
 max(HOLD_NAME) as HOLD_NAME, max(SUPPLIER_TYPE) as SUPPLIER_TYPE, max(PAYMENT_TERM) as PAYMENT_TERM,max (INV_CURRENCY) as INV_CURRENCY, max(GL_CURRENCY) as GL_CURRENCY
 for LANGUAGE in ('US' "US"))</t>
  </si>
  <si>
    <t>Inventory Management</t>
  </si>
  <si>
    <t>Inbound_Details</t>
  </si>
  <si>
    <t>3s</t>
  </si>
  <si>
    <t>Inbound Details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</si>
  <si>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to_date(to_char(to_timestamp('27-APR-20 10.57.22.000000 AM'),'DD-MON-YY HH.MI.SS'),'DD-MON-YY HH.MI.SS')) PIVOT ( Max(source_doc_type) AS source_doc_type,
          Max(source_name) AS source_name,
          Max(item_description) AS item_description for LANGUAGE in ( 'US' "US"))</t>
  </si>
  <si>
    <t>2s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</si>
  <si>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to_date(to_char(to_timestamp('27-APR-20 10.57.22.000000 AM'),'DD-MON-YY HH.MI.SS'),'DD-MON-YY HH.MI.SS') UNION ALL SELECT ECC_SPEC_ID from RCV_ECC_RECEIPTS_ASNLCM_V
WHERE SHIPMENT_LINE_STATUS_CODE in('FULLY RECEIVED', 'CANCELLED')
 AND last_update_date &gt;  to_date(to_char(to_timestamp('27-APR-20 10.57.22.000000 AM'),'DD-MON-YY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to_date(to_char(to_timestamp('27-APR-20 10.57.22.000000 AM'),'DD-MON-YY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to_date(to_char(to_timestamp('27-APR-20 10.57.22.000000 AM'),'DD-MON-YY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to_date(to_char(to_timestamp('27-APR-20 10.57.22.000000 AM'),'DD-MON-YY HH.MI.SS'),'DD-MON-YY HH.MI.SS')</t>
  </si>
  <si>
    <t>inv-activity</t>
  </si>
  <si>
    <t>Activities</t>
  </si>
  <si>
    <t xml:space="preserve">There are no load rules defined for dataset inv-activity for load type INCREMENTAL_LOAD. </t>
  </si>
  <si>
    <t>Order Management</t>
  </si>
  <si>
    <t>ont-headers</t>
  </si>
  <si>
    <t>Orders</t>
  </si>
  <si>
    <t>SELECT DISTINCT oegt.header_id ecc_spec_id, oegt.header_hold_name FROM oe_ecc_global_temp oegt</t>
  </si>
  <si>
    <t>REPLACE</t>
  </si>
  <si>
    <t>select distinct header_id ecc_spec_id from oe_ecc_deletion_map where line_id is null</t>
  </si>
  <si>
    <t>SELECT * FROM (
                                            SELECT  /*+ push_pred(oel) */  oel.order_number,oel.customer,oel.customer_number,oel.ship_to_location, oel.order_date, oel.status,
                                                    oel.order_alert_count,
                                                    oel.order_alert_flag,oel.ecc_spec_id,oel.header_id,oel.header_hold_name,oel.customer_po,
                                                    oel.request_date,oel.order_type,
                                                    oel.org_id,oel.order_currency,oel.order_total,oel.language_code,
                                                    oel.ORDER_BOOKED_DATE ,oel.ORDER_CREATION_DATE ,
                                                    oel.csr_user_name, hdfv.*
                                            FROM
                                            (
                                                SELECT /*+ leading(oegt) cardinality(oegt 10) */  oegt.order_number ,
                                                    oegt.customer,
                                                    oegt.customer_number,
                                                    ship_su.LOCATION ship_to_location,
                                                    oegt.order_date, oegt.status,
                                                    SUM (oeht.alert_count) + MAX(NVL(oeht.hdr_alert_count,0)) order_alert_count,
                                                    DECODE (SUM (oegt.alert_count) + MAX(NVL(oeht.hdr_alert_count,0)),0,'ecc_blank','ecc_warning') order_alert_flag,
                                                    oegt.header_id ecc_spec_id,
                                                    oegt.header_id,
                                                    oegt.header_hold_name,
                                                    oh.cust_po_number customer_po,
                                                    oh.request_date,
                                                    oegt.order_type,
                                                    oegt.org_id,
                                                    oegt.func_currency order_currency,
                                                    oegt.order_total order_total,
                                                    oh.csr_user_id,oegt.csr_user_name,
                                                    oegt.ORDER_BOOKED_DATE ORDER_BOOKED_DATE,
                                                    oegt.ORDER_CREATION_DATE ORDER_CREATION_DATE,
                                                    oegt.language_code
                                                FROM
                                                    oe_ecc_global_temp oegt,
                                                    oe_ecc_header_totals oeht,
                                                    oe_order_headers_all oh,
                                                    hz_cust_site_uses_all ship_su
                                                WHERE
                                                    oegt.line_id =oeht.line_id AND
                                                    oegt.header_id =oh.header_id AND
                                                    oeht.header_id =oh.header_id AND
                                                    oh.ship_to_org_id = ship_su.site_use_id(+) AND
                                                    oegt.header_id IN
                                                        (SELECT header_id FROM oe_ecc_headers
                                                        UNION
                                                        SELECT DISTINCT header_id FROM oe_ecc_deletion_map )
                                                GROUP BY
                                                    oegt.order_number ,
                                                    oegt.customer,
                                                    oegt.customer_number,
                                                    ship_su.LOCATION,
                                                    oegt.order_date,
                                                    oegt.status,
                                                    oegt.header_id,
                                                    oegt.header_hold_name,
                                                    oh.cust_po_number,
                                                    oh.request_date,
                                                    oeht.hdr_alert_count,
                                                    oegt.order_type,
                                                    oegt.org_id,
                                                    oegt.func_currency,
                                                    oegt.order_total,
                                                    oh.csr_user_id,oegt.csr_user_name,
                                                    oegt.ORDER_BOOKED_DATE,
                                                    oegt.ORDER_CREATION_DATE,
                                                    oegt.language_code) oel,
                                                    (select 'ONT_H_HDF_ROW_ID','ONT_H_HDF_CONTEXT_VALUE','ONT_H_HDF_CONCATENATED_SEGMENTS' from dual where 1=2  union select ROWIDTOCHAR(ROW_ID),CONTEXT_VALUE,CONCATENATED_SEGMENTS from OE_ORDER_HEADERS_ALL_DFV) hdfv,
                                                     oe_order_headers_all h
                                                  WHERE
                                                    h.rowid = hdfv."'ONT_H_HDF_ROW_ID'"(+) and
                                                    h.header_id = oel.header_id
                                                )
                                                pivot(
                                                    max(status) as status,
                                                    max(order_type) as order_type,
                                                    max(order_currency) as order_currency
                                                    for language_code in ('US' "US"))</t>
  </si>
  <si>
    <t>ont-lines</t>
  </si>
  <si>
    <t>Order Lines</t>
  </si>
  <si>
    <t>select line_id ecc_spec_id, tran_amount transactional_order_total,
                                                        func_amount order_total from oe_ecc_header_totals ht
                                                        where exists( select 1 from oe_ecc_global_temp where header_id =ht.header_id)</t>
  </si>
  <si>
    <t>UPDATE</t>
  </si>
  <si>
    <t>select line_id ecc_spec_id from oe_ecc_deletion_map where line_id is not null</t>
  </si>
  <si>
    <t>SELECT * FROM (SELECT
                                                    ECC_SPEC_ID, dfv.* ,hdfv.* ,oel.ECC_LAST_UPDATE_DATE,oel.ORDER_NUMBER,oel.LINE_NUMBER,oel.LINE_ID,oel.HEADER_ID,oel.PRODUCT,oel.LINE_QUANTITY,
                                                    oel.UNIT_SELLING_PRICE,oel.ORDER_UOM,oel.PRODUCT_DESCRIPTION,oel.LINE_TYPE,oel.PRICE_LIST,oel.PRICE_LIST_ID,oel.ORDER_DATE,
                                                    oel.SHIP_FROM_ORG_ID,oel.WAREHOUSE,oel.SOURCE_TYPE,oel.SHIPMENT_METHOD,oel.CARRIER,oel.SHIPMENT_PRIORITY,oel.SHIPPING_INSTRUCTIONS,
                                                    oel.PACKING_INSTRUCTIONS,oel.FREIGHT_TERMS,oel.SALESPERSON,oel.CUSTOMER,oel.CUSTOMER_NUMBER,oel.SHIP_TO_CUSTOMER_NAME,
                                                    oel.SHIP_TO_CUSTOMER_NUMBER,oel.SHIP_TO_CONTACT,oel.SHIP_TO_CONTACT_ID,oel.SHIP_TO_ADDRESS,oel.SHIP_TO_ORG_ID,
                                                    oel.BILL_TO_CUSTOMER_NAME,oel.BILL_TO_CUSTOMER_NUMBER,oel.BILL_TO_CONTACT,oel.BILL_TO_CONTACT_ID,oel.BILL_TO_ADDRESS,
                                                    oel.BILL_TO_ORG_ID,oel.EXPECTED_DELAY,oel.REQUEST_DATE,oel.REQUEST_DATE_TYPE,oel.SCHEDULE_SHIP_DATE,oel.ACTUAL_SHIPMENT_DATE,
                                                    oel.SCHEDULE_ARRIVAL_DATE,oel.ACTUAL_ARRIVAL_DATE,oel.LATEST_ACCEPTABLE_DATE,oel.FULFILLMENT_DATE,oel.FLOW_STATUS_CODE,
                                                    oel.LINE_STATUS,oel.ITEM_TYPE_CODE,oel.ORG_ID,oel.OPERATING_UNIT,oel.LINE_CATEGORY_CODE,oel.FULFILLED_FLAG,oel.LINE_TRAN_AMOUNT,
                                                    oel.OPEN_FLAG,oel.TXN_CURRENCY,oel.TXN_CURRENCY_CODE,oel.FUNC_CURRENCY_CODE,oel.FUNC_CURRENCY,oel.LINE_AMOUNT,oel.SHIP_TO_SITE,
                                                    oel.SHIP_TO_LOCATION,oel.SHIP_TO_STATE,oel.SHIP_TO_COUNTRY,oel.BILL_TO_SITE,oel.BILL_TO_CITY,oel.BILL_TO_STATE,oel.BILL_TO_COUNTRY,
                                                    oel.LINE_LAST_UPDATE_DATE,oel.PRIMARY_UOM,oel.INVENTORY_ITEM_ID,oel.SALES_CHANNEL,oel.ORDER_TYPE,oel.STATUS,oel.SHIPPED_QUANTITY,
                                                    oel.FULFILLED_QUANTITY,oel.INVOICED_QUANTITY,oel.SCHEDULE_STATUS,oel.PROMISE_DATE,oel.CUSTOMER_PO,oel.PAYMENT_TERM,oel.AGREEMENT_NAME,
                                                    oel.SALES_AGREEMENT_NUMBER,oel.SALES_AGREEMENT_LINE_NUMBER,oel.SUBINVENTORY,oel.PICK_STATUS,oel.TRANSACTIONAL_ORDER_TOTAL,
                                                    oel.ORDER_TOTAL,oel.RESERVED_QUANTITY,oel.PARTY_ID,oel.PREDICTED_RETURN_REASON_CODE,oel.ANOMALIES,oel.LINE_HOLD_NAME,
                                                    oel.HEADER_HOLD_NAME,oel.TOTAL_HOLD_NAME,oel.ALERT_FLAG,oel.ALERT_COUNT,oel.ALERT_TEXT,oel.GRAPH_ALERT_NAME,oel.DELAY_FLAG,
                                                    oel.DELAY_COUNT,oel.CONVERSION_RATE,oel.CONVERSION_TYPE_CODE,oel.RESERVED_QTY,oel.BOOKED_FLAG,oel.ORDER_ALERT_COUNT,oel.ALERT_TYPE,
                                                    oel.HDR_ALERT_COUNT,oel.LANGUAGE_CODE,oel.ALERT_TYPE_CODE,oel.TABLE_ALERT_FLAG,oel.HDR_LAST_UPDATE_DATE,oel.ON_ALERT,oel.IS_OPEN,
                                                    oel.IS_BOOKED,oel.LINE_QUANTITY_1,oel.SHIPPED_QUANTITY_1,oel.CURRENCY,oel.CSR_USER_NAME,oel.ORDER_BOOKED_DATE,oel.ORDER_CREATION_DATE
                                                  FROM
                                                    OE_ECC_GLOBAL_TEMP oel,
                                                    (select 'ONT_L_LDF_ROW_ID','ONT_L_LDF_CONTEXT_VALUE','ONT_L_LDF_CONCATENATED_SEGMENTS' from dual where 1=2  union select ROWIDTOCHAR(ROW_ID),CONTEXT_VALUE,CONCATENATED_SEGMENTS from OE_ORDER_LINES_ALL_DFV) dfv,
                                                    (select 'ONT_L_HDF_ROW_ID','ONT_L_HDF_CONTEXT_VALUE','ONT_L_HDF_CONCATENATED_SEGMENTS' from dual where 1=2  union select ROWIDTOCHAR(ROW_ID),CONTEXT_VALUE,CONCATENATED_SEGMENTS from OE_ORDER_HEADERS_ALL_DFV) hdfv,
                                                    oe_order_lines_all ol,
                                                    oe_order_headers_all h
                                                  WHERE
                                                    ol.rowid=dfv."'ONT_L_LDF_ROW_ID'"(+) and
                                                    oel.line_id=ol.line_id and
                                                    h.rowid = hdfv."'ONT_L_HDF_ROW_ID'"(+) and
                                                    h.header_id = oel.header_id
                                                )
                                                PIVOT (
                                                    max(freight_terms) as freight_terms,
                                                    max(product_description) as product_description,
                                                    max(price_list) as price_list,
                                                    max(line_type) as line_type,
                                                    max(payment_term) as payment_term,
                                                    max(ship_to_contact) as ship_to_contact,
                                                    max(bill_to_contact) as bill_to_contact,
                                                    max(line_status) as line_status,
                                                    max(operating_unit) as operating_unit,
                                                    max(sales_channel) as sales_channel,
                                                    max(SHIPMENT_METHOD) as SHIPMENT_METHOD,
                                                    max(on_alert) as on_alert,
                                                    max(is_open) as is_open,
                                                    max(is_booked) as is_booked,
                                                    max(order_type) as order_type,
                                                    max(agreement_name) as agreement_name,
                                                    max(SOURCE_TYPE) as SOURCE_TYPE,
                                                    max(TXN_CURRENCY) as TXN_CURRENCY,
                                                    max(func_currency) as func_currency,
                                                    max(BILL_TO_COUNTRY) as BILL_TO_COUNTRY,
                                                    max(ship_to_country) as ship_to_country,
                                                    max(STATUS) as STATUS,
                                                    max(GRAPH_ALERT_NAME) as GRAPH_ALERT_NAME,
                                                    max(alert_text) as alert_text ,
                                                    max(warehouse) as warehouse,
                                                    max(alert_type) as alert_type
                                                    for language_code in ('US' "US"))</t>
  </si>
  <si>
    <t>Assets</t>
  </si>
  <si>
    <t>fa-rec</t>
  </si>
  <si>
    <t>Reconciliation</t>
  </si>
  <si>
    <t xml:space="preserve">There are no load rules defined for dataset fa-rec for load type INCREMENTAL_LOAD. </t>
  </si>
  <si>
    <t>fa-clr</t>
  </si>
  <si>
    <t>Pipeline</t>
  </si>
  <si>
    <t xml:space="preserve">There are no load rules defined for dataset fa-clr for load type INCREMENTAL_LOAD. </t>
  </si>
  <si>
    <t>fa-asset</t>
  </si>
  <si>
    <t xml:space="preserve">There are no load rules defined for dataset fa-asset for load type INCREMENTAL_LOAD. </t>
  </si>
  <si>
    <t>fa-masstrans</t>
  </si>
  <si>
    <t>Mass Transactions</t>
  </si>
  <si>
    <t>select * from (SELECT
			'Asset Transfer' AS RECORD_TYPE ,
			NVL(MT.CONCURRENT_REQUEST_ID, 0)
			||'-'
			||MT.MASS_TRANSFER_ID AS ECC_SPEC_ID ,
			(
			CASE
			WHEN MT.CONCURRENT_REQUEST_ID IS NULL
			THEN MT.DATE_EFFECTIVE
			ELSE RS.ACTUAL_COMPLETION_DATE
			END ) ECC_LAST_UPDATE_DATE ,
			MT.CONCURRENT_REQUEST_ID REQUEST_NUM ,
			MT.MASS_TRANSFER_ID TRANS_NUM ,
			NVL(BC.ORG_ID,-9999) AS ORG_ID ,
			BC.BOOK_TYPE_CODE BOOK_CODE ,
			BC.BOOK_TYPE_NAME BOOK_NAME ,
			MT.TRANSACTION_DATE_ENTERED TRANS_DATE,
			DECODE(FC.CATEGORY_ID,NULL,NULL,
       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MT.DESCRIPTION TRANS_DESCRIPTION,
			(
			CASE
			WHEN RS.USER_CONCURRENT_PROGRAM_NAME = 'Mass Transfers Preview Report'
			THEN
			(SELECT MEANING
			FROM FA_LOOKUPS_TL
			WHERE LOOKUP_TYPE='MASS_TRX_STATUS'
			AND LOOKUP_CODE  ='PREVIEWED'
      AND LANGUAGE = fl.LANGUAGE_CODE
			)
			WHEN RS.USER_CONCURRENT_PROGRAM_NAME ='Mass Transfer'
			THEN
			(SELECT MEANING
			FROM FA_LOOKUPS_TL
			WHERE LOOKUP_TYPE='MASS_TRX_STATUS'
			AND LOOKUP_CODE  ='COMPLETED'
      AND LANGUAGE = fl.LANGUAGE_CODE
			)
			WHEN MT.CONCURRENT_REQUEST_ID IS NULL
			THEN
			(SELECT MEANING
			FROM FA_LOOKUPS_TL
			WHERE LOOKUP_TYPE='MASS_TRX_STATUS'
			AND LOOKUP_CODE  ='NEW'
      AND LANGUAGE = fl.LANGUAGE_CODE
			)
			END) TRANS_STATUS ,
			(
			CASE
			WHEN RS.USER_CONCURRENT_PROGRAM_NAME = 'Mass Transfers Preview Report'
			THEN 'PREVIEWED'
			WHEN RS.USER_CONCURRENT_PROGRAM_NAME ='Mass Transfer'
			THEN 'COMPLETED'
			WHEN MT.CONCURRENT_REQUEST_ID IS NULL
			THEN 'NEW'
			END) TRANS_STATUS_CODE
			,
			(
			CASE
			WHEN MT.FROM_LOCATION_ID &lt;&gt; MT.TO_LOCATION_ID
			THEN
			(SELECT MEANING
			FROM FA_LOOKUPS_TL
			WHERE LOOKUP_TYPE='FA_ECC_MASS_TRANSFER_TYPE'
			AND LOOKUP_CODE  ='LOCATION_TRANSFER'
      AND LANGUAGE = fl.LANGUAGE_CODE
			)
			||'|'
			ELSE ''
			END)
			|| (
			CASE
			WHEN MT.FROM_GL_CCID&lt;&gt; MT.TO_GL_CCID
			THEN
			(SELECT MEANING
			FROM FA_LOOKUPS_TL
			WHERE LOOKUP_TYPE='FA_ECC_MASS_TRANSFER_TYPE'
			AND LOOKUP_CODE  ='DEPRECIATION_EXPENSE_TRANSFER'
      AND LANGUAGE = fl.LANGUAGE_CODE
			)
			||'|'
			ELSE ''
			END)
			|| (
			CASE
			WHEN MT.FROM_EMPLOYEE_ID &lt;&gt; MT.TO_EMPLOYEE_ID
			THEN
			(SELECT MEANING
			FROM FA_LOOKUPS_TL
			WHERE LOOKUP_TYPE='FA_ECC_MASS_TRANSFER_TYPE'
			AND LOOKUP_CODE  ='EMPLOYEE_TRANSFER'
      AND LANGUAGE = fl.LANGUAGE_CODE
			)
			ELSE
			(SELECT MEANING
			FROM FA_LOOKUPS_TL
			WHERE LOOKUP_TYPE='FA_ECC_MASS_TRANSFER_TYPE'
			AND LOOKUP_CODE  ='NO_TRANSFER_DET'
      AND LANGUAGE = fl.LANGUAGE_CODE
			)
			END) AS TRANSFER_TYPE
			/* UNION ATTRIBUTES*/
			,
			''            AS CHANGE_TYPE 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fl.LANGUAGE_CODE AS LANGUAGE
			FROM FA_MASS_TRANSFERS MT,
			FA_BOOK_CONTROLS BC,
			FA_CATEGORIES_B FC,
			FND_CONC_REQ_SUMMARY_V RS ,
			FA_SYSTEM_CONTROLS FSC,
      FND_LANGUAGES fl
			WHERE MT.BOOK_TYPE_CODE                         = BC.BOOK_TYPE_CODE
      AND fl.INSTALLED_FLAG in ('B','I')
			AND BC.BOOK_CLASS                               = 'CORPORATE'
			AND BC.DATE_INEFFECTIVE                        IS NULL
			AND MT.CATEGORY_ID                              = FC.CATEGORY_ID(+)
			AND MT.CONCURRENT_REQUEST_ID                    = RS.REQUEST_ID(+)
			AND NVL(RS.USER_CONCURRENT_PROGRAM_NAME, '$$') &lt;&gt; 'Mass Transfer'
			AND ((MT.CONCURRENT_REQUEST_ID                 IS NULL
			AND ( (to_date(MT.DATE_EFFECTIVE,'DD-MON-RR HH24:MI:SS') &gt;= to_date('27-APR-20','DD-MON-RR HH24:MI:SS')
			AND MT.DATE_EFFECTIVE                           &lt; SYSDATE )))
			OR ( ( to_date(RS.ACTUAL_COMPLETION_DATE,'DD-MON-RR HH24:MI:SS')  &gt;=  to_date('27-APR-20','DD-MON-RR HH24:MI:SS')
			AND RS.ACTUAL_COMPLETION_DATE                   &lt; SYSDATE )))
      UNION ALL
			SELECT 'Asset revaluation' AS RECORD_TYPE,
			NVL(MR.LAST_REQUEST_ID,0)
			||'-'
			||MR.MASS_REVAL_ID
			||'-'
			||MRR.ASSET_ID AS ECC_SPEC_ID,
			MR.LAST_UPDATE_DATE ECC_LAST_UPDATE_DATE,
			MR.LAST_REQUEST_ID REQUEST_NUM,
			MR.MASS_REVAL_ID TRANS_NUM,
			NVL(BC.ORG_ID,-9999) AS ORG_ID,
			BC.BOOK_TYPE_CODE BOOK_CODE,
			BC.BOOK_TYPE_NAME BOOK_NAME,
			MR.REVAL_DATE TRANS_DATE,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'BASED_CATEGORY',
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MR.DESCRIPTION TRANS_DESCRIPTION ,
			LO.MEANING AS TRANS_STATUS ,
			MR.STATUS  AS TRANS_STATUS_CODE ,
			''         AS TRANSFER_TYPE ,
			''         AS CHANGE_TYPE
			/* UNION ATTRIBUTES*/
			,
			AD.ASSET_NUMBER AS ASSET_NUMBER ,
			''              AS ASSET_DESCRIPTION ,
			''              AS ADDITION_ACCOUNTING_YEAR ,
			''              AS ADDITION_MONTH_YEAR ,
			TO_NUMBER('')   AS ADDITION_COST ,
			TO_NUMBER('')   AS ADDITION_UNITS ,
			''              AS ADDITION_SOURCE_NAME ,
			TO_NUMBER('')   AS ADDITION_BATCH_ID ,
			TO_DATE('')     AS ADDITION_BATCH_DATE ,
			''              AS ADDITION_PO_NUMBER ,
			TO_NUMBER('')   AS ADDITION_INV_ID ,
			''              AS ADDITION_INV_NUMBER ,
			TO_DATE('')     AS ADDITION_INV_DATE ,
			TO_NUMBER('')   AS ADDITION_INV_LINE_NUMBER ,
			''              AS ADDITION_INV_DESCRIPTION ,
			''              AS ADDITION_SUPPLIER_NUMBER ,
			''              AS ADDITION_SUPPLIER_NAME ,
			''              AS ADDITION_PROJ_NAME ,
			''              AS ADDITION_PROJ_TASK ,
			''              AS AMORTIZED,
      LO.LANGUAGE
			FROM FA_MASS_REVALUATIONS MR,
			FA_MASS_REVALUATION_RULES MRR,
			FA_BOOK_CONTROLS BC,
			FA_CATEGORIES_B FC ,
			FA_ADDITIONS_B AD,
			FA_SYSTEM_CONTROLS FSC,
      FA_LOOKUPS FL,
			FA_LOOKUPS_TL LO
			WHERE MR.MASS_REVAL_ID       = MRR.MASS_REVAL_ID(+)
			AND MR.BOOK_TYPE_CODE        = BC.BOOK_TYPE_CODE
			AND BC.BOOK_CLASS            = 'CORPORATE'
			AND BC.DATE_INEFFECTIVE     IS NULL
			AND MRR.CATEGORY_ID          = FC.CATEGORY_ID(+)
			AND MRR.ASSET_ID             = AD.ASSET_ID(+)
			AND MR.STATUS               &lt;&gt; ('COMPLETED')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 to_date('27-APR-20','DD-MON-RR HH24:MI:SS')
			AND MR.LAST_UPDATE_DATE      &lt; SYSDATE ))
      UNION ALL
			SELECT 'Asset Change' AS RECORD_TYPE,
			NVL(MC.CONCURRENT_REQUEST_ID,0)
			||'-'
			||MC.MASS_CHANGE_ID AS ECC_SPEC_ID,
			MC.LAST_UPDATE_DATE ECC_LAST_UPDATE_DATE,
			MC.CONCURRENT_REQUEST_ID REQUEST_NUM,
			MC.MASS_CHANGE_ID TRANS_NUM,
			NVL(BC.ORG_ID,-9999) AS ORG_ID,
			BC.BOOK_TYPE_CODE BOOK_CODE,
			BC.BOOK_TYPE_NAME BOOK_NAME,
			MC.TRANSACTION_DATE_ENTERED TRANS_DATE,
			''         AS ASSET_CATEGORY,
			''         AS MAJOR_CATEGORY,
			''         AS MINOR_CATEGORY,
			''         AS TRANS_DESCRIPTION ,
			LO.MEANING AS TRANS_STATUS ,
			MC.STATUS  AS TRANS_STATUS_CODE ,
			''         AS TRANSFER_TYPE ,
			(
			CASE
			WHEN MC.FROM_DATE_PLACED_IN_SERVICE &lt;&gt; MC.TO_DATE_PLACED_IN_SERVICE
			THEN
			(SELECT MEANING
			FROM FA_LOOKUPS_TL
			WHERE LOOKUP_TYPE='FA_ECC_MASS_CHANGE_TYPE'
			AND LOOKUP_CODE  ='DPIS_CHANGE'
      AND LANGUAGE = LO.LANGUAGE
			)
			||'|'
			ELSE ''
			END)
			|| (
			CASE
			WHEN MC.FROM_CONVENTION &lt;&gt; MC.TO_CONVENTION
			THEN
			(SELECT MEANING
			FROM FA_LOOKUPS_TL
			WHERE LOOKUP_TYPE='FA_ECC_MASS_CHANGE_TYPE'
			AND LOOKUP_CODE  ='PRORATE_CONVENTION_CHANGE'
      AND LANGUAGE = LO.LANGUAGE
			)
			||'|'
			ELSE ''
			END)
			|| (
			CASE
			WHEN MC.FROM_LIFE_IN_MONTHS &lt;&gt; MC.TO_LIFE_IN_MONTHS
			THEN
			(SELECT MEANING
			FROM FA_LOOKUPS_TL
			WHERE LOOKUP_TYPE='FA_ECC_MASS_CHANGE_TYPE'
			AND LOOKUP_CODE  ='ASSET_LIFE_CHANGE'
      AND LANGUAGE = LO.LANGUAGE
			)
			||'|'
			ELSE ''
			END)
			|| (
			CASE
			WHEN MC.FROM_METHOD_CODE &lt;&gt; MC.TO_METHOD_CODE
			THEN
			(SELECT MEANING
			FROM FA_LOOKUPS_TL
			WHERE LOOKUP_TYPE='FA_ECC_MASS_CHANGE_TYPE'
			AND LOOKUP_CODE  ='DEPRECIATION_METHOD_CHANGE'
      AND LANGUAGE = LO.LANGUAGE
			)
			||'|'
			ELSE ''
			END)
			|| (
			CASE
			WHEN MC.FROM_BASIC_RATE &lt;&gt; MC.FROM_ADJUSTED_RATE
			THEN
			(SELECT MEANING
			FROM FA_LOOKUPS_TL
			WHERE LOOKUP_TYPE='FA_ECC_MASS_CHANGE_TYPE'
			AND LOOKUP_CODE  ='DEPRECIATION_RATE_CHANGE'
      AND LANGUAGE = LO.LANGUAGE
			)
			||'|'
			ELSE ''
			END)
			|| (
			CASE
			WHEN MC.FROM_PRODUCTION_CAPACITY &lt;&gt; MC.TO_PRODUCTION_CAPACITY
			THEN
			(SELECT MEANING
			FROM FA_LOOKUPS_TL
			WHERE LOOKUP_TYPE='FA_ECC_MASS_CHANGE_TYPE'
			AND LOOKUP_CODE  ='PRODUCTION_CAPACITY_CHANGE'
      AND LANGUAGE = LO.LANGUAGE
			)
			||'|'
			ELSE ''
			END)
			|| (
			CASE
			WHEN MC.FROM_UOM &lt;&gt; MC.TO_UOM
			THEN
			(SELECT MEANING
			FROM FA_LOOKUPS_TL
			WHERE LOOKUP_TYPE='FA_ECC_MASS_CHANGE_TYPE'
			AND LOOKUP_CODE  ='UNIT_CHANGE'
      AND LANGUAGE = LO.LANGUAGE
			)
			||'|'
			ELSE ''
			END )
			|| (
			CASE
			WHEN MC.FROM_GROUP_ASSOCIATION &lt;&gt; MC.TO_GROUP_ASSOCIATION
			THEN
			(SELECT MEANING
			FROM FA_LOOKUPS_TL
			WHERE LOOKUP_TYPE='FA_ECC_MASS_CHANGE_TYPE'
			AND LOOKUP_CODE  ='GROUP_ASSOCIATION_CHANGE'
      AND LANGUAGE = LO.LANGUAGE
			)
			||'|'
			ELSE ''
			END)
			|| (
			CASE
			WHEN MC.FROM_SALVAGE_TYPE        &lt;&gt; MC.TO_SALVAGE_TYPE
			OR MC.FROM_PERCENT_SALVAGE_VALUE &lt;&gt; MC.TO_PERCENT_SALVAGE_VALUE
			OR MC.FROM_SALVAGE_VALUE         &lt;&gt; MC.FROM_SALVAGE_VALUE
			THEN
			(SELECT MEANING
			FROM FA_LOOKUPS_TL
			WHERE LOOKUP_TYPE='FA_ECC_MASS_CHANGE_TYPE'
			AND LOOKUP_CODE  ='SALVAGE_VALUE_CHANGE'
      AND LANGUAGE = LO.LANGUAGE
			)
			||'|'
			ELSE ''
			END)
			|| (
			CASE
			WHEN MC.FROM_DEPRN_LIMIT_TYPE &lt;&gt; MC.TO_DEPRN_LIMIT_TYPE
			OR MC.TO_DEPRN_LIMIT          &lt;&gt; MC.TO_DEPRN_LIMIT
			OR MC.FROM_DEPRN_LIMIT_AMOUNT &lt;&gt; MC.TO_DEPRN_LIMIT_AMOUNT
			THEN
			(SELECT MEANING
			FROM FA_LOOKUPS_TL
			WHERE LOOKUP_TYPE='FA_ECC_MASS_CHANGE_TYPE'
			AND LOOKUP_CODE  ='DEPRECIATION_LIMIT_CHANGE'
      AND LANGUAGE = LO.LANGUAGE
			)
			ELSE
			(SELECT MEANING
			FROM FA_LOOKUPS_TL
			WHERE LOOKUP_TYPE='FA_ECC_MASS_CHANGE_TYPE'
			AND LOOKUP_CODE  ='NO_CHANGE_DET'
      AND LANGUAGE = LO.LANGUAGE
			)
			END )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MC.AMORTIZE_FLAG AMORTIZED,
      LO.LANGUAGE
			FROM FA_MASS_CHANGES MC,
			FA_BOOK_CONTROLS BC,
      FA_LOOKUPS FL,
			FA_LOOKUPS_TL LO
			WHERE MC.BOOK_TYPE_CODE      = BC.BOOK_TYPE_CODE
			AND BC.BOOK_CLASS            = 'CORPORATE'
			AND BC.DATE_INEFFECTIVE     IS NULL
			AND MC.STATUS               &lt;&gt; 'COMPLETED'
			AND LO.LOOKUP_TYPE           ='MASS_TRX_STATUS'
			AND FL.LOOKUP_TYPE = lo.LOOKUP_TYPE
       AND FL.lookup_code = lo.lookup_code
			 and FL.enabled_flag='Y'
			AND MC.STATUS                = LO.LOOKUP_CODE
			AND ( ( to_date(to_char(MC.LAST_UPDATE_DATE,'DD-MON-RR HH24:MI:SS'),'DD-MON-RR HH24:MI:SS')&gt;=  to_date('27-APR-20','DD-MON-RR HH24:MI:SS')
			AND MC.LAST_UPDATE_DATE      &lt; SYSDATE ))
			UNION ALL
			SELECT 'Asset Reclass' AS RECORD_TYPE,
			  NVL(MR.CONCURRENT_REQUEST_ID, 0)
			  ||'-'
			  ||MR.MASS_RECLASS_ID AS ECC_SPEC_ID,
			  MR.LAST_UPDATE_DATE ECC_LAST_UPDATE_DATE,
			  MR.CONCURRENT_REQUEST_ID REQUEST_NUM,
			  MR.MASS_RECLASS_ID TRANS_NUM,
			  NVL(BC.ORG_ID,-9999) AS ORG_ID,
			  MR.BOOK_TYPE_CODE BOOK_CODE,
			  BC.BOOK_TYPE_NAME BOOK_NAME,
			  MR.TRANSACTION_DATE_ENTERED TRANS_DATE,
			  '' AS ASSET_CATEGORY,
			  '' AS MAJOR_CATEGORY,
			  '' AS MINOR_CATEGORY,
			  '' AS TRANS_DESCRIPTION ,
			  LO.MEANING TRANS_STATUS ,
			  MR.STATUS TRANS_STATUS_CODE ,
			  '' AS TRANSFER_TYPE ,
			  '' AS CHANGE_TYPE
			  /* UNION ATTRIBUTES*/
			  ,
			  ''            AS ASSET_NUMBER ,
			  ''            AS ASSET_DESCRIPTION ,
			  ''            AS ADDITION_ACCOUNTING_YEAR ,
			  ''            AS ADDITION_MONTH_YEAR ,
			  TO_NUMBER('') AS ADDITION_COST ,
			  TO_NUMBER('') AS ADDITION_UNITS ,
			  ''            AS ADDITION_SOURCE_NAME ,
			  TO_NUMBER('') AS ADDITION_BATCH_ID ,
			  TO_DATE('')   AS ADDITION_BATCH_DATE ,
			  ''            AS ADDITION_PO_NUMBER ,
			  TO_NUMBER('') AS ADDITION_INV_ID ,
			  ''            AS ADDITION_INV_NUMBER ,
			  TO_DATE('')   AS ADDITION_INV_DATE ,
			  TO_NUMBER('') AS ADDITION_INV_LINE_NUMBER ,
			  ''            AS ADDITION_INV_DESCRIPTION ,
			  ''            AS ADDITION_SUPPLIER_NUMBER ,
			  ''            AS ADDITION_SUPPLIER_NAME ,
			  ''            AS ADDITION_PROJ_NAME ,
			  ''            AS ADDITION_PROJ_TASK ,
			  MR.AMORTIZE_FLAG AMORTIZED,
        LO.LANGUAGE
			FROM FA_MASS_RECLASS MR,
			  FA_BOOK_CONTROLS BC,
        FA_LOOKUPS FL,
			  FA_LOOKUPS_TL LO
			WHERE MR.BOOK_TYPE_CODE      = BC.BOOK_TYPE_CODE
			AND BC.BOOK_CLASS            = 'CORPORATE'
			AND BC.DATE_INEFFECTIVE     IS NULL
			AND MR.STATUS               &lt;&gt; 'COMPLETED'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to_date('27-APR-20','DD-MON-RR HH24:MI:SS')
			AND MR.LAST_UPDATE_DATE      &lt; SYSDATE ))
			UNION ALL
			-- ASSET MASS RETIREMENTS
			SELECT 'Asset Retirement' AS RECORD_TYPE,
			NVL(MT.RETIRE_REQUEST_ID,0)
			||'-'
			||MT.MASS_RETIREMENT_ID AS ECC_SPEC_ID,
			MT.LAST_UPDATE_DATE ECC_LAST_UPDATE_DATE,
			MT.RETIRE_REQUEST_ID REQUEST_NUM,
			MT.MASS_RETIREMENT_ID TRANS_NUM,
			NVL(BC.ORG_ID,-9999) AS ORG_ID,
			MT.BOOK_TYPE_CODE BOOK_CODE,
			BC.BOOK_TYPE_NAME BOOK_NAME,
			MT.RETIREMENT_DATE TRANS_DATE,
			'' AS ASSET_CATEGORY,
			'' AS MAJOR_CATEGORY,
			'' AS MINOR_CATEGORY,
			'' AS TRANS_DESCRIPTION ,
			LO.MEANING TRANS_STATUS ,
			MT.STATUS TRANS_STATUS_CODE ,
			'' AS TRANSFER_TYPE ,
			''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LO.LANGUAGE
			FROM FA_MASS_RETIREMENTS MT,
			FA_BOOK_CONTROLS BC,
      FA_LOOKUPS FL,
			FA_LOOKUPS_TL LO
			WHERE MT.BOOK_TYPE_CODE      = BC.BOOK_TYPE_CODE
			AND BC.BOOK_CLASS            = 'CORPORATE'
			AND BC.DATE_INEFFECTIVE     IS NULL
			AND MT.STATUS               &lt;&gt; 'COMPLETED'
			AND LO.LOOKUP_TYPE           ='MASS_TRX_STATUS'
			AND FL.LOOKUP_TYPE = lo.LOOKUP_TYPE
       AND FL.lookup_code = lo.lookup_code
			 and FL.enabled_flag='Y'
			AND MT.STATUS                = LO.LOOKUP_CODE
			AND ( ( to_date(to_char(MT.LAST_UPDATE_DATE,'DD-MON-RR HH24:MI:SS'),'DD-MON-RR HH24:MI:SS') &gt;=  to_date('27-APR-20' ,'DD-MON-RR HH24:MI:SS')
			AND MT.LAST_UPDATE_DATE      &lt; SYSDATE ))
			UNION ALL
						SELECT 'Mass Additions' AS RECORD_TYPE,
			  MA.MASS_ADDITION_ID
			  || '' AS ECC_SPEC_ID,
			  NVL(MA.LAST_UPDATE_DATE,MA.CREATION_DATE) ECC_LAST_UPDATE_DATE,
			  TO_NUMBER('')         AS REQUEST_NUM,
			  TO_NUMBER('')         AS TRANS_NUM,
			  NVL(FBC.ORG_ID,-9999) AS ORG_ID,
			  MA.BOOK_TYPE_CODE     AS BOOK_CODE,
			  FBC.BOOK_TYPE_NAME BOOK_NAME,
			  MA.ACCOUNTING_DATE AS TRANS_DATE,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P_OUTPUT_TYPE=&gt;'DESCRIPTION') ) MAJOR_CATEGORY 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'MINOR_CATEGORY',
        P_SHOW_PARENT_SEGMENTS =&gt; 'N', P_OUTPUT_TYPE=&gt;'DESCRIPTION')) MINOR_CATEGORY,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'ALL', P_SHOW_PARENT_SEGMENTS =&gt; 'N',
        P_OUTPUT_TYPE=&gt;'DESCRIPTION')) ASSET_CATEGORY ,
			  '' AS TRANS_DESCRIPTION ,
			  LO.MEANING TRANS_STATUS ,
			  MA.QUEUE_NAME                         AS TRANS_STATUS_CODE ,
			  ''                                    AS TRANSFER_TYPE ,
			  ''                                    AS CHANGE_TYPE ,
			  MA.ASSET_NUMBER                       AS ASSET_NUMBER ,
			  MA.DESCRIPTION                        AS ASSET_DESCRIPTION ,
			  TO_CHAR(MA.ACCOUNTING_DATE,'YYYY')    AS ADDITION_ACCOUNTING_YEAR ,
			  TO_CHAR(MA.ACCOUNTING_DATE,'MM-YYYY') AS ADDITION_MONTH_YEAR ,
			  MA.FIXED_ASSETS_COST                  AS ADDITION_COST ,
			  MA.FIXED_ASSETS_UNITS                 AS ADDITION_UNITS ,
			  MA.FEEDER_SYSTEM_NAME                 AS ADDITION_SOURCE_NAME
			  ,
			  MA.CREATE_BATCH_ID     AS ADDITION_BATCH_ID ,
			  MA.CREATE_BATCH_DATE   AS ADDITION_BATCH_DATE ,
			  MA.PO_NUMBER           AS ADDITION_PO_NUMBER ,
			  MA.INVOICE_ID          AS ADDITION_INV_ID ,
			  MA.INVOICE_NUMBER      AS ADDITION_INV_NUMBER ,
			  MA.INVOICE_DATE        AS ADDITION_INV_DATE ,
			  MA.INVOICE_LINE_NUMBER AS ADDITION_INV_LINE_NUMBER ,
			  MA.DESCRIPTION         AS ADDITION_INV_DESCRIPTION ,
			  PO.SEGMENT1            AS ADDITION_SUPPLIER_NUMBER ,
			  PO.VENDOR_NAME         AS ADDITION_SUPPLIER_NAME
			  ,
			  PJ.NAME        AS ADDITION_PROJ_NAME ,
			  PT.TASK_NUMBER AS ADDITION_PROJ_TASK ,
			  MA.AMORTIZE_FLAG AMORTIZED,
        LO.LANGUAGE
			FROM AP_SUPPLIERS PO ,
			  FA_ADDITIONS_B AD ,
			  FA_MASS_ADDITIONS MA ,
			  FA_WARRANTIES WAR ,
			  FA_ADDITIONS_B GAD ,
			  PA_PROJECTS_ALL PJ ,
			  PA_TASKS PT ,
			  FA_CATEGORIES_B FC ,
			  FA_BOOK_CONTROLS FBC ,
			  FA_DEPRN_PERIODS FDP1 ,
			  FA_DEPRN_PERIODS FDP2 ,
			  GL_LEDGERS LGR ,
			  FA_SYSTEM_CONTROLS FSC ,
        FA_LOOKUPS FL,
			  FA_LOOKUPS_TL LO
			WHERE FBC.BOOK_TYPE_CODE        = FDP1.BOOK_TYPE_CODE
			AND FBC.BOOK_CLASS              = 'CORPORATE'
			AND FBC.DATE_INEFFECTIVE       IS NULL
			AND FBC.SET_OF_BOOKS_ID         = LGR.LEDGER_ID
			AND LGR.OBJECT_TYPE_CODE        = 'L'
			AND NVL(LGR.COMPLETE_FLAG, 'Y') = 'Y'
			AND FBC.LAST_PERIOD_COUNTER     = FDP1.PERIOD_COUNTER
			AND FBC.BOOK_TYPE_CODE          = FDP2.BOOK_TYPE_CODE
			AND FBC.LAST_PERIOD_COUNTER+1   = FDP2.PERIOD_COUNTER
			AND FBC.DATE_INEFFECTIVE       IS NULL
			AND MA.BOOK_TYPE_CODE           = FBC.BOOK_TYPE_CODE
			AND MA.ASSET_CATEGORY_ID        = FC.CATEGORY_ID (+)
			AND MA.PROJECT_ID               = PJ.PROJECT_ID ( + )
			AND MA.TASK_ID                  = PT.TASK_ID (    + )
			AND MA.PO_VENDOR_ID             = PO.VENDOR_ID (  + )
			AND MA.PARENT_ASSET_ID          = AD.ASSET_ID (   + )
			AND MA.WARRANTY_ID              = WAR.WARRANTY_ID (+)
			AND GAD.ASSET_ID (+)            = MA.GROUP_ASSET_ID
			AND NVL(MA.POSTING_STATUS, 'A')  not in   ('POSTED','SPLIT')
			 AND ma.queue_name = lo.lookup_code
			 AND lo.LOOKUP_TYPE   = 'QUEUE NAME'
       AND FL.LOOKUP_TYPE = lo.LOOKUP_TYPE
       AND FL.lookup_code = lo.lookup_code
			 and FL.enabled_flag='Y'
			AND MA.POST_BATCH_ID           IS NULL
			And ( (  to_date( to_char(Nvl(Ma.Last_Update_Date,Ma.Creation_Date),'DD-MON-RR HH24:MI:SS'),'DD-MON-RR HH24:MI:SS')    &gt;= to_date('27-APR-20','DD-MON-RR HH24:MI:SS')
			AND  NVL(MA.LAST_UPDATE_DATE,MA.CREATION_DATE)         &lt; SYSDATE )) and LO.language in ('US') )
      PIVOT (max(TRANS_STATUS) as TRANS_STATUS,
             max(TRANSFER_TYPE) as TRANSFER_TYPE,
             max(CHANGE_TYPE) as CHANGE_TYPE
            for LANGUAGE in ('US' "US"))</t>
  </si>
  <si>
    <t>SELECT mt.CONCURRENT_REQUEST_ID
						  ||'-'
						  ||mt.MASS_TRANSFER_ID AS ECC_SPEC_ID
						FROM FA_MASS_TRANSFERS mt,
						  FA_BOOK_CONTROLS bc,
						  FND_CONC_REQ_SUMMARY_V rs
						WHERE mt.book_type_code                         = bc.book_type_code
						AND bc.book_class                               = 'CORPORATE'
						AND bc.date_ineffective                        IS NULL
						AND mt.CONCURRENT_REQUEST_ID                    = rs.request_id
						AND NVL(rs.USER_CONCURRENT_PROGRAM_NAME, '$$') = 'Mass Transfer'
						And ( ( to_date(to_char(Rs.Actual_Completion_Date,'DD-MON-RR HH24:MI:SS'),'DD-MON-RR HH24:MI:SS')  &gt;=  to_date('27-APR-20','DD-MON-RR HH24:MI:SS')
						AND rs.ACTUAL_COMPLETION_DATE                   &lt; sysdate ))
						UNION ALL
						SELECT NVL(mr.last_request_id,0)
						  ||'-'
						  ||mr.mass_reval_id
						  ||'-'
						  ||mrr.ASSET_ID AS ECC_SPEC_ID
						  FROM fa_mass_revaluations mr,
						  FA_BOOK_CONTROLS bc,
						   FA_MASS_REVALUATION_RULES  mrr
						WHERE mr.book_type_code      = bc.book_type_code
						AND bc.book_class            = 'CORPORATE'
						AND bc.date_ineffective     IS NULL
						AND mr.status              = ('COMPLETED')
						and mr.mass_reval_id = mrr.mass_reval_id(+)
						And ( ( to_date(to_char(Mr.Last_Update_Date,'DD-MON-RR HH24:MI:SS'),'DD-MON-RR HH24:MI:SS') &gt;=  to_date('27-APR-20','DD-MON-RR HH24:MI:SS')
						AND mr.last_update_date      &lt; sysdate ))
						UNION ALL
						SELECT
						  NVL(mc.concurrent_request_id,0)
						  ||'-'
						  ||mc.mass_change_id AS ECC_SPEC_ID
						From Fa_Mass_Changes Mc,
						FA_BOOK_CONTROLS bc
						WHERE mc.book_type_code      = bc.book_type_code
						AND bc.book_class            = 'CORPORATE'
						AND bc.date_ineffective     IS NULL
						AND mc.status               = 'COMPLETED'
						And ( ( to_date(to_char(Mc.Last_Update_Date,'DD-MON-RR HH24:MI:SS'),'DD-MON-RR HH24:MI:SS') &gt;=  to_date('27-APR-20','DD-MON-RR HH24:MI:SS')
						AND mc.last_update_date     &lt; sysdate ))
						UNION ALL
						SELECT NVL(mr.concurrent_request_id, 0)
						  ||'-'
						  ||mr.MASS_RECLASS_ID AS ECC_SPEC_ID
						FROM FA_MASS_RECLASS mr,
						  FA_BOOK_CONTROLS bc
						WHERE mr.BOOK_TYPE_CODE      = bc.BOOK_TYPE_CODE
						AND bc.book_class            = 'CORPORATE'
						AND bc.date_ineffective     IS NULL
						AND mr.status              = 'COMPLETED'
						And ( ( to_date(to_char(Mr.Last_Update_Date,'DD-MON-RR HH24:MI:SS'),'DD-MON-RR HH24:MI:SS') &gt;=  to_date('27-APR-20','DD-MON-RR HH24:MI:SS')
						AND mr.last_update_date     &lt; sysdate))
						UNION ALL
						-- Asset Mass Retirements
						SELECT
						  NVL(mt.RETIRE_REQUEST_ID,0)
						  ||'-'
						  ||mt.MASS_RETIREMENT_ID AS ECC_SPEC_ID
						FROM FA_MASS_RETIREMENTS mt,
						  FA_BOOK_CONTROLS bc
						WHERE mt.BOOK_TYPE_CODE      = bc.BOOK_TYPE_CODE
						AND bc.book_class            = 'CORPORATE'
						AND bc.date_ineffective     IS NULL
						AND mt.status               = 'COMPLETED'
						And ( ( to_date(to_char(Mt.Last_Update_Date,'DD-MON-RR HH24:MI:SS'),'DD-MON-RR HH24:MI:SS') &gt;=  to_date('27-APR-20','DD-MON-RR HH24:MI:SS')
						AND mt.last_update_date      &lt; sysdate ))
						UNION ALL
						SELECT distinct ma.MASS_ADDITION_ID
						  || '' AS ECC_SPEC_ID
						FROM fa_mass_additions ma ,
						  FA_BOOK_CONTROLS fbc ,
						  FA_DEPRN_PERIODS fdp1 ,
						  FA_DEPRN_PERIODS fdp2 ,
						  GL_LEDGERS LGR
						WHERE ma.book_type_code         = fbc.book_type_code
						AND MA.POSTING_STATUS              IN  ('POSTED','SPLIT')
						AND fbc.book_class              = 'CORPORATE'
						AND fbc.date_ineffective       IS NULL
						AND fbc.set_of_books_id         = LGR.LEDGER_ID
						AND LGR.OBJECT_TYPE_CODE        = 'L'
						AND NVL(LGR.COMPLETE_FLAG, 'Y') = 'Y'
						AND fbc.last_period_counter     = fdp1.period_counter
						AND fbc.book_type_code          = fdp2.book_type_code
						AND fbc.last_period_counter+1   = fdp2.period_counter
						AND fbc.date_ineffective       IS NULL
            AND MA.post_batch_id           IS NULL
						And ( ( to_date(to_char(Ma.Last_Update_Date,'DD-MON-RR HH24:MI:SS'),'DD-MON-RR HH24:MI:SS')   &gt;=  to_date('27-APR-20','DD-MON-RR HH24:MI:SS')
						AND ma.last_update_date         &lt; sysdate ))</t>
  </si>
  <si>
    <t>Field Service</t>
  </si>
  <si>
    <t>csf-tasks</t>
  </si>
  <si>
    <t>Field Service Tasks</t>
  </si>
  <si>
    <t>select * from (select tmp.ECC_SPEC_ID,dfv.*, tmp.TASK_ID,tmp.TASK_NUMBER,tmp.TASK_NAME,tmp.DESCRIPTION,tmp.LAST_UPDATE_DATE
,tmp.TASK_TYPE,tmp.TASK_STATUS,tmp.TASK_PRIORITY,tmp.PLANNED_START_DATE,tmp.PLANNED_END_DATE,tmp.SCHEDULED_START_DATE,tmp.SCHEDULED_END_DATE
,tmp.TASK_CONFIRMATION_STATUS,tmp.TASK_CONFIRMATION_COUNTER,tmp.SOURCE_OBJECT_TYPE_CODE,tmp.SOURCE_OBJECT_NAME,tmp.TASK_CREATION_DATE
,tmp.TASK_TYPE_RULE,tmp.DAY_OF_WEEK,tmp.WEEK,tmp.MONTH,tmp.YEAR_MONTH,tmp.YEAR,tmp.CUSTOMER_NAME,tmp.CITY,tmp.POSTAL_CODE
,tmp.STATE,tmp.COUNTRY,tmp.ADDRESS,tmp.ITEM,tmp.ITEM_DESCRIPTION,tmp.CATEGORY,tmp.INCIDENT_ID ,tmp.SERVICE_REQUEST_NUMBER,tmp.SUMMARY,tmp.INCIDENT_DATE,tmp.INCIDENT_OCCURRED_DATE
,tmp.RESOLUTION_SUMMARY,tmp.SERVICE_REQUEST_STATUS,tmp.REQUEST_TYPE,tmp.SEVERITY,tmp.RESPOND_BY,tmp.RESOLVE_BY,tmp.RESOLVED_ON,tmp.RESPONDED_ON,tmp.ACTUAL_RESOLUTION_DATE
,tmp.SR_DATE_CLOSED,tmp.AFTER_HOURS_FLAG,tmp.AFTER_HOURS,tmp.ACCESS_HOURS_FLAG,tmp.ACCESS_HOURS,tmp.CLOSED_FLAG,tmp.CLOSED,tmp.OWNER_TYPE,tmp.OWNER,tmp.ACTUAL_START_DATE
,tmp.ACTUAL_END_DATE,tmp.START_ON_TIME_CODE,tmp.START_ON_TIME,tmp.FINISH_ON_TIME_CODE,tmp.FINISH_ON_TIME,tmp.START_DIFFERENCE,tmp.FINISH_DIFFERENCE
,tmp.RESOLUTION_TYPE,tmp.PROBLEM_TYPE,tmp.SERIAL_NUMBER,tmp.INSTANCE_NUMBER,tmp.TAG_NUMBER,tmp.SERVICE_REQUEST_OWNER,tmp.SR_ASSIGNED_GROUP
,tmp.CUSTOMER_CONFIRMATION_FLAG,tmp.CUSTOMER_CONFIRMATION,tmp.GEOMETRY,tmp.PLANNED_EFFORT_W_UOM,tmp.ACTUAL_EFFORT_W_UOM,tmp.EFFORT,tmp.EFFORT_DIFFERENCE,tmp.TASK_ASSIGNMENT_ID
,tmp.RESOURCE_NAMES,tmp.SCHED_TRAVEL_DISTANCE,tmp.SCHED_TRAVEL_DURATION,tmp.SCHED_TRAVEL_DURATION_UOM,tmp.ACTUAL_TRAVEL_DISTANCE,tmp.ACTUAL_TRAVEL_DURATION
,tmp.ACTUAL_TRAVEL_DURATION_UOM,tmp.MORE_TRAVEL_DISTANCE,tmp.MORE_TRAVEL_TIME,tmp.FIRST_TIME_FIX_CODE,tmp.FIRST_TIME_FIX,tmp.RESCHEDULE_COUNT
,tmp.ASSIGNMENT_CREATION_DATE,tmp.SCHEDULE_TIME,tmp.REQUIRED_PARTS,tmp.REQUIRED_SKILLS,tmp.LANGUAGE,tmp.COMPLETED_FLAG,tmp.WORKING_FLAG
,tmp.PLANNED_EFFORT,tmp.PLANNED_EFFORT_UOM,tmp.ACTUAL_EFFORT,tmp.ACTUAL_EFFORT_UOM,tmp.T_SCHD_TRVL_DUR_W_UOM,tmp.T_ACTL_TRVL_DUR_W_UOM ,tmp.INCIDENT_TYPE_ID
,tmp.INCIDENT_OWNER_ID,tmp.OWNER_GROUP_ID,tmp.STARTED_ON_TIME_Y,tmp.STARTED_ON_TIME_YN,tmp.FINISHED_ON_TIME_Y,tmp.FINISHED_ON_TIME_YN
,tmp.FIRST_TIME_FIX_Y,tmp.FIRST_TIME_FIX_YN,tmp.RSTC_PRESENT,tmp.RESOURCE_IDS,tmp.PARTS_PRESENT_FLAG,tmp.SKILLS_REQ_FLAG
,tmp.TASK_AT_RISK_FLAG ,tmp.OVERDUE_TASK_FLAG,tmp.UNSCHEDULED_TASK_FLAG,tmp.UNASSIGNED_TASK_FLAG
FROM CSF_ECC_TASK_TEMP TMP , JTF_TASKS_B JTB  , (select 'JTB_ROW_ID','JTB_CONTEXT_VALUE','JTB_TASK_COMPLETION','JTB_CONCATENATED_SEGMENTS' from dual where 1=2  union select ROWIDTOCHAR(ROW_ID),CONTEXT_VALUE,TASK_COMPLETION,CONCATENATED_SEGMENTS from JTF_TASKS_B_DFV) dfv  WHERE JTB.rowid = dfv."'JTB_ROW_ID'"(+) AND TMP.task_id=JTB.task_id    AND  LANGUAGE in ('US') )
PIVOT(
   MAX(TASK_NAME) AS TASK_NAME,
   MAX(DESCRIPTION) AS DESCRIPTION,
   MAX(TASK_TYPE) AS TASK_TYPE,
   MAX(TASK_STATUS) AS TASK_STATUS,
   MAX(TASK_PRIORITY) AS TASK_PRIORITY,
   MAX(DAY_OF_WEEK) AS DAY_OF_WEEK,
   MAX(MONTH) AS MONTH,
   MAX(CITY) AS CITY,
   MAX(ITEM_DESCRIPTION) AS ITEM_DESCRIPTION,
   MAX(SUMMARY) AS SUMMARY,
   MAX(RESOLUTION_SUMMARY) AS RESOLUTION_SUMMARY,
   MAX(SERVICE_REQUEST_STATUS) AS SERVICE_REQUEST_STATUS,
   MAX(REQUEST_TYPE) AS REQUEST_TYPE,
   MAX(SEVERITY) AS SEVERITY,
   MAX(AFTER_HOURS) AS AFTER_HOURS,
   MAX(ACCESS_HOURS) AS ACCESS_HOURS,
   MAX(CLOSED) AS CLOSED,
   MAX(OWNER) AS OWNER,
   MAX(START_ON_TIME) AS START_ON_TIME,
   MAX(FINISH_ON_TIME) AS FINISH_ON_TIME,
   MAX(RESOLUTION_TYPE) AS RESOLUTION_TYPE,
   MAX(PROBLEM_TYPE)AS PROBLEM_TYPE,
   MAX(SERVICE_REQUEST_OWNER) AS SERVICE_REQUEST_OWNER,
   MAX(SR_ASSIGNED_GROUP) AS SR_ASSIGNED_GROUP,
   MAX(CUSTOMER_CONFIRMATION) AS  CUSTOMER_CONFIRMATION,
   MAX(PLANNED_EFFORT_W_UOM) AS PLANNED_EFFORT_W_UOM,
   MAX(ACTUAL_EFFORT_W_UOM) AS ACTUAL_EFFORT_W_UOM,
   MAX(RESOURCE_NAMES) AS RESOURCE_NAMES,
   MAX(FIRST_TIME_FIX) AS FIRST_TIME_FIX,
   MAX(T_SCHD_TRVL_DUR_W_UOM) AS T_SCHD_TRVL_DUR_W_UOM,
   MAX(T_ACTL_TRVL_DUR_W_UOM) AS T_ACTL_TRVL_DUR_W_UOM
for LANGUAGE in ('US' "US"))</t>
  </si>
  <si>
    <t>Service</t>
  </si>
  <si>
    <t>cs-task</t>
  </si>
  <si>
    <t>Service Task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</si>
  <si>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to_date(to_char(to_timestamp('27-APR-20 06.48.12.000000 AM'),'DD-MON-YY HH24.MI.SS'),'DD-MON-YY HH24.MI.SS') </t>
  </si>
  <si>
    <t>cs-service</t>
  </si>
  <si>
    <t>Service Request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</si>
  <si>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to_date(to_char(to_timestamp('27-APR-20 06.48.12.000000 AM'),'DD-MON-YY HH24.MI.SS'),'DD-MON-YY HH24.MI.SS') </t>
  </si>
  <si>
    <t>Receivables</t>
  </si>
  <si>
    <t>ar-period-close</t>
  </si>
  <si>
    <t>AR Closing</t>
  </si>
  <si>
    <t>select * from (SELECT   ECC_SPEC_ID,
 RECORD_TYPE,
 PERIOD_NAME,
 PERIOD_YEAR,
 CLOSING_STATUS,
 ledger_id,
 ledger_name,
 ledger_currency,
 operating_unit,
 org_id,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 gl_date,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AE_HEADER_ID,
 line_definition_code,
 line_definition_desc,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XLA_ACC_CODE ,
 XLA_ACC_DESCRIPTION,
 CURRENCY_CODE,
 ENTERED_DR,
 ENTERED_CR,
 ACCOUNTED_DR,
 ACCOUNTED_CR,
 LINES_DESCRIPTION,
 ecc_last_update_date,
 language
 FROM  (  select /*+ leading(ps) */
   acra.cash_receipt_id||'-'||acrha.CASH_RECEIPT_HISTORY_ID||'-'||xe.EVENT_ID||'-'||xe.event_number||'-'||XAH.AE_HEADER_ID||'-'||xal.AE_LINE_NUM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acra.RECEIPT_DATE transaction_date,
   acra.STATUS receipt_status,
      (select meaning from fnd_lookup_values where view_application_id =222 and lookup_type = 'PAYMENT_TYPE' and language=org.language and lookup_code = acra.STATUS)   receipt_status_desc,
   acra.TYPE transaction_type,
   acra.currency_code transaction_currency,
   acra.CONFIRMED_FLAG,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acrha.GL_DATE,
   xe.event_id,
    xe.EVENT_NUMBER,
    xe.EVENT_DATE,
   xe.EVENT_STATUS_CODE,
      (select meaning from fnd_lookup_values where view_application_id =602 and lookup_type = 'XLA_EVENT_STATUS' and language=org.language and lookup_code = xe.EVENT_STATUS_CODE)   EVENT_STATUS_DESC,
   DECODE(xe.PROCESS_STATUS_CODE,'Z','I',xe.PROCESS_STATUS_CODE) PROCESS_STATUS_CODE,
      (select meaning from fnd_lookup_values where view_application_id =602 and lookup_type = 'XLA_EVENT_PROCESS_STATUS' and language=org.language and lookup_code = DECODE(xe.PROCESS_STATUS_CODE,'Z','I',xe.PROCESS_STATUS_CODE) )
    	  PROCESS_STATUS_DESC ,
   xah.EVENT_TYPE_CODE,
      (select NAME from XLA_EVENT_TYPES_TL ett where application_id =222 and language=org.language AND xah.EVENT_TYPE_CODE = ett. EVENT_TYPE_CODE AND xte.ENTITY_CODE = ett.ENTITY_CODE)   EVENT_TYPE_DESC,
   xte.ENTITY_ID,
   xte.entity_code,
   xte.SOURCE_ID_INT_1,
     xdl.ACCOUNTING_LINE_CODE,
	  (select NAME from XLA_ACCT_LINE_TYPES_TL alt where application_id =222 and language=org.language AND xdl.ACCOUNTING_LINE_CODE = alt.ACCOUNTING_LINE_CODE)   ACCOUNTING_LINE_DESC,
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xah.AE_HEADER_ID,
   xah.GL_TRANSFER_STATUS_CODE,
       (select meaning from fnd_lookup_values where view_application_id =602 and lookup_type = 'GL_TRANSFER_FLAG' and language=org.language and lookup_code = xah.GL_TRANSFER_STATUS_CODE) GL_TRANSFER_STATUS_DESC,
   xah.ACCOUNTING_ENTRY_STATUS_CODE,
       (select meaning from fnd_lookup_values where view_application_id =602 and lookup_type = 'XLA_ACCOUNTING_ENTRY_STATUS' and language=org.language and lookup_code = xah.ACCOUNTING_ENTRY_STATUS_CODE) ACCOUNTING_ENTRY_STATUS_DESC,
   xah.ACCOUNTING_ENTRY_TYPE_CODE,
       (select meaning from fnd_lookup_values where view_application_id =602 and lookup_type = 'XLA_ACCOUNTING_ENTRY_TYPE' and language=org.language and lookup_code = xah.ACCOUNTING_ENTRY_TYPE_CODE) ACCOUNTING_ENTRY_TYPE_DESC,
   xah.JE_CATEGORY_NAME,
       (select DESCRIPTION from GL_JE_CATEGORIES_TL jct where language=org.language and xah.JE_CATEGORY_NAME = jct.JE_CATEGORY_NAME) JE_CATEGORY_NAME_DESC,
   xah.DESCRIPTION HEADER_DESCRIPTION,
   xah.BALANCE_TYPE_CODE,
       (select meaning from fnd_lookup_values where view_application_id =602 and lookup_type = 'XLA_BALANCE_TYPE' and language=org.language and lookup_code = xah.BALANCE_TYPE_CODE) BALANCE_TYPE_DESC,
   xah.PERIOD_NAME gl_period_name,
   xal.ACCOUNTING_DATE,
   xal.AE_LINE_NUM,
   xal.DISPLAYED_LINE_NUMBER,
   xal.ACCOUNTING_CLASS_CODE,
       (select meaning from fnd_lookup_values where view_application_id =602 and lookup_type = 'XLA_ACCOUNTING_CLASS'  and language=org.language and lookup_code = xal.ACCOUNTING_CLASS_CODE) ACCOUNTING_CLASS_DESC,
   xal.BUSINESS_CLASS_CODE,
       (select meaning from fnd_lookup_values where view_application_id =602 and lookup_type = 'XLA_BUSINESS_FLOW_CLASS'  and language=org.language and lookup_code = xal.BUSINESS_CLASS_CODE) BUSINESS_CLASS_DESC,
   xal.CODE_COMBINATION_ID,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cc,
   hr_all_organization_units_tl org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acra.org_id =org.Organization_Id
  AND xal.CODE_COMBINATION_ID = cc.CODE_COMBINATION_ID
  and led.CHART_OF_ACCOUNTS_ID = cc.CHART_OF_ACCOUNTS_ID
  and cc.ENABLED_FLAG = 'Y'  AND ( xe.last_update_date    &gt;= to_date('27-APR-20','DD-MON-RR HH24:MI:SS') )  ) acc_unappld_rcpt where acc_unappld_rcpt.language in ('US')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EVENT_TYPE_DESC,MAX ( accounting_line_desc ) AS accounting_line_desc,
   max(GL_TRANSFER_STATUS_DESC) as GL_TRANSFER_STATUS_DESC, max(ACCOUNTING_ENTRY_STATUS_DESC) as ACCOUNTING_ENTRY_STATUS_DESC, max(EVENT_CLASS_DESC) as EVENT_CLASS_DESC,MAX ( line_definition_desc ) AS line_definition_desc,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</si>
  <si>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ECC_SPEC_ID,
 RECORD_TYPE,
 PERIOD_NAME,
 PERIOD_YEAR,
 CLOSING_STATUS,
 ledger_id,
 ledger_name,
 ledger_currency,
 org_id,
 operating_unit,
 set_of_books_id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-- RECEIVABLE_APPLICATION_ID,
 GL_DATE,
 XLA_ACC_CODE ,
 XLA_ACC_DESCRIPTION,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LINE_DEFINITION_CODE,
 LINE_DEFINITION_DESC,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ecc_last_update_date,
 language
 FROM (  select  /*+ leading(ps) */
       acra.cash_receipt_id||'-'||acrha.CASH_RECEIPT_HISTORY_ID||'-'||xe.EVENT_ID||'-'||xe.EVENT_NUMBER||'-'||XAl.AE_HEADER_ID||'-'||XAL.AE_LINE_NUM  as ECC_SPEC_ID,
       'RCPT' RECORD_TYPE,
	   ps.PERIOD_NAME,
       ps.PERIOD_YEAR,
       ps.CLOSING_STATUS,
       led.ledger_id,
       led.name ledger_name,
       led.currency_code ledger_currency,
       acra.org_id,
       org.name operating_unit,
       acra.set_of_books_id,
       acra.CASH_RECEIPT_ID,
       acra.AMOUNT,
       acra.amount * Nvl(acra.exchange_rate, 1) accounted_amount,
       acra.RECEIPT_NUMBER transaction_number,
       acra.RECEIPT_DATE transaction_date,
       acra.STATUS receipt_status,
       (select meaning from fnd_lookup_values where view_application_id =222 and lookup_type = 'PAYMENT_TYPE'  and language=org.language and lookup_code = acra.STATUS)   receipt_status_desc,
       acra.TYPE transaction_type,
       acra.currency_code transaction_currency,
       acra.CONFIRMED_FLAG,
       acrha.CASH_RECEIPT_HISTORY_ID,
       acrha.STATUS rcpt_hstry_status,
	   (select meaning from fnd_lookup_values where view_application_id =222 and lookup_type = 'RECEIPT_CREATION_STATUS'  and language=org.language and lookup_code = acrha.STATUS)   rcpt_hstry_status_desc,
       acrha.CREATED_FROM,
       acrha.REVERSAL_CREATED_FROM,
--        arp.RECEIVABLE_APPLICATION_ID,
        acrha.GL_DATE,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xe.event_id,
      xe.EVENT_NUMBER,
      xe.EVENT_DATE,
     xte.ENTITY_ID,
     xte.ENTITY_CODE,
     xte.SOURCE_ID_INT_1,
      xe.EVENT_STATUS_CODE,
      (select meaning from fnd_lookup_values where view_application_id =602 and lookup_type = 'XLA_EVENT_STATUS'
               and language=org.language and lookup_code = xe.EVENT_STATUS_CODE)   EVENT_STATUS_DESC,
      DECODE(xe.PROCESS_STATUS_CODE,'Z','I',xe.PROCESS_STATUS_CODE) PROCESS_STATUS_CODE,
      (select meaning from fnd_lookup_values where view_application_id =602 and lookup_type = 'XLA_EVENT_PROCESS_STATUS'
               and language=org.language and lookup_code = DECODE(xe.PROCESS_STATUS_CODE,'Z','I',xe.PROCESS_STATUS_CODE) )   PROCESS_STATUS_DESC ,
    xah.EVENT_TYPE_CODE,
      (select NAME from XLA_EVENT_TYPES_TL ett where application_id =222 and language=org.language AND xah.EVENT_TYPE_CODE = ett. EVENT_TYPE_CODE AND xte.ENTITY_CODE = ett.ENTITY_CODE)   EVENT_TYPE_DESC,
 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(select meaning from fnd_lookup_values where view_application_id =602 and lookup_type = 'GL_TRANSFER_FLAG'  and language=org.language and lookup_code = xah.GL_TRANSFER_STATUS_CODE) GL_TRANSFER_STATUS_DESC,
    xah.ACCOUNTING_ENTRY_STATUS_CODE,
      (select meaning from fnd_lookup_values where view_application_id =602 and lookup_type = 'XLA_ACCOUNTING_ENTRY_STATUS'  and language=org.language and lookup_code = xah.ACCOUNTING_ENTRY_STATUS_CODE) ACCOUNTING_ENTRY_STATUS_DESC,
    xah.ACCOUNTING_ENTRY_TYPE_CODE,
      (select meaning from fnd_lookup_values where view_application_id =602 and lookup_type = 'XLA_ACCOUNTING_ENTRY_TYPE'  and language=org.language and lookup_code = xah.ACCOUNTING_ENTRY_TYPE_CODE) ACCOUNTING_ENTRY_TYPE_DESC,
    xah.JE_CATEGORY_NAME,
      (select DESCRIPTION from GL_JE_CATEGORIES_TL jct where language=org.language and xah.JE_CATEGORY_NAME = jct.JE_CATEGORY_NAME) JE_CATEGORY_NAME_DESC,
    xah.DESCRIPTION HEADER_DESCRIPTION,
    xah.BALANCE_TYPE_CODE,
      (select meaning from fnd_lookup_values where view_application_id =602 and lookup_type = 'XLA_BALANCE_TYPE' and language=org.language and lookup_code = xah.BALANCE_TYPE_CODE) BALANCE_TYPE_DESC,
    xah.PERIOD_NAME gl_period_name,
    xal.ACCOUNTING_DATE,
    xal.AE_LINE_NUM,
    xal.DISPLAYED_LINE_NUMBER,
    xal.ACCOUNTING_CLASS_CODE,
      (select meaning from fnd_lookup_values where view_application_id =602 and lookup_type = 'XLA_ACCOUNTING_CLASS'  and language=org.language and lookup_code = xal.ACCOUNTING_CLASS_CODE) ACCOUNTING_CLASS_DESC,
    xal.BUSINESS_CLASS_CODE,
      (select meaning from fnd_lookup_values where view_application_id =602 and lookup_type = 'XLA_BUSINESS_FLOW_CLASS' 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   GL_CODE_COMBINATIONS cc,
   -- XLA
   xla_distribution_links xdl,
   xla_transaction_entities xte,
   xla_events xe,
   xla_ae_headers xah,
   xla_ae_lines xal,
   gl_ledgers led,
   hr_all_organization_units_tl org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 -- new condition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   AND xah.GL_TRANSFER_STATUS_CODE &lt;&gt; 'Y'
   AND XAH.EVENT_ID = XE.EVENT_ID
   AND XAH.APPLICATION_ID = XE.APPLICATION_ID
   and xal.DISPLAYED_LINE_NUMBER &gt;=0 -- new concition
   AND Led.Ledger_Id  = acra.Set_Of_Books_Id
   and acra.org_id =ORG.Organization_Id
   AND xal.CODE_COMBINATION_ID = cc.CODE_COMBINATION_ID
   and led.CHART_OF_ACCOUNTS_ID = cc.CHART_OF_ACCOUNTS_ID
   and cc.ENABLED_FLAG = 'Y'  AND ( xe.last_update_date    &gt;= to_date('27-APR-20','DD-MON-RR HH24:MI:SS') )  ) acc_appld_rcpt where acc_appld_rcpt.language in ('US') 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
   max(ACCOUNTING_LINE_DESC) as ACCOUNTING_LINE_DESC, max(EVENT_CLASS_DESC) as EVENT_CLASS_DESC, max(LINE_DEFINITION_DESC) as LINE_DEFINITION_DESC,
  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</si>
  <si>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 ECC_SPEC_ID,
 RECORD_TYPE,
 PERIOD_NAME,
 PERIOD_YEAR,
 CLOSING_STATUS,
 ledger_id,
 ledger_name,
 ledger_currency,
 org_id,
 operating_unit,
 set_of_books_id,
 CASH_RECEIPT_ID,
 AMOUNT,
 accounted_amount,
 transaction_number,
 transaction_date,
 receipt_status,
 receipt_status_desc,
  transaction_type,
 transaction_currency,
 CONFIRMED_FLAG,
 GL_DATE,
 cash_receipt_history_id,
 rcpt_hstry_status,
 rcpt_hstry_status_desc,
 CREATED_FROM,
 REVERSAL_CREATED_FROM,
 event_id,
 EVENT_NUMBER,
 EVENT_DATE,
 EVENT_TYPE_CODE,
 EVENT_TYPE_DESC,
 EVENT_STATUS_CODE,
 EVENT_STATUS_DESC,
 PROCESS_STATUS_CODE ,
 PROCESS_STATUS_DESC,
 ENTITY_ID,
 ENTITY_CODE,
 source_id_int_1,
 ecc_last_update_date,
 language
 FROM  (  select  /*+ leading(ps)*/
   acra.cash_receipt_id||'-'||acrha.CASH_RECEIPT_HISTORY_ID||'-'||xe.EVENT_ID||'-'||xe.EVENT_NUMBER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acra.currency_code transaction_currency,
   acra.receipt_date transaction_date,
   acra.STATUS receipt_status,
       (select meaning from fnd_lookup_values where view_application_id =222 and lookup_type = 'PAYMENT_TYPE'  and language=org.language and lookup_code = acra.STATUS)   receipt_status_desc,
   acra.TYPE transaction_type,
   acra.CONFIRMED_FLAG,
   acrha.GL_DATE,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xe.event_id,
   xe.EVENT_NUMBER,
   xe.EVENT_DATE,
   xe.EVENT_TYPE_CODE,
   	   (select NAME from XLA_EVENT_TYPES_TL ett where application_id =222 and language=org.language AND xe.EVENT_TYPE_CODE = ett. EVENT_TYPE_CODE AND xte.ENTITY_CODE = ett.ENTITY_CODE)   EVENT_TYPE_DESC,
   xe.EVENT_STATUS_CODE,
      (select meaning from fnd_lookup_values where view_application_id =602 and lookup_type = 'XLA_EVENT_STATUS' and language=org.language and lookup_code = xe.EVENT_STATUS_CODE)   EVENT_STATUS_DESC,
   xe.PROCESS_STATUS_CODE,
      (select meaning from fnd_lookup_values where view_application_id =602 and lookup_type = 'XLA_EVENT_PROCESS_STATUS'  and language=org.language and lookup_code = xe.PROCESS_STATUS_CODE )   PROCESS_STATUS_DESC ,
   xte.ENTITY_ID,
   xte.ENTITY_CODE,
   xte.SOURCE_ID_INT_1,
 --  arp.RECEIVABLE_APPLICATION_ID
   xe.last_update_date ecc_last_update_date,
   org.language
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	AND xe.event_status_code = 'U'
    and xe.PROCESS_STATUS_CODE = 'U'
    AND xte.ENTITY_ID = xe.ENTITY_ID
    AND Led.Ledger_Id  = acra.Set_Of_Books_Id
    and acra.org_id =org.Organization_Id
	and xe.application_id  = xte.application_id  AND ( xe.last_update_date    &gt;= to_date('27-APR-20','DD-MON-RR HH24:MI:SS') )  )  unacc_rcpt where unacc_rcpt.language in ('US')  )
	 PIVOT(max(OPERATING_UNIT) as OPERATING_UNIT, max(EVENT_STATUS_DESC) as EVENT_STATUS_DESC, max(PROCESS_STATUS_DESC) as PROCESS_STATUS_DESC,max(EVENT_TYPE_DESC) as EVENT_TYPE_DESC,
  max(receipt_status_desc) as receipt_status_desc, max(rcpt_hstry_status_desc) as rcpt_hstry_status_desc
  for LANGUAGE in ('US' "US"))</t>
  </si>
  <si>
    <t>select * from (SELECT  ECC_SPEC_ID,
 RECORD_TYPE,
 PERIOD_NAME,
 PERIOD_YEAR,
 CLOSING_STATUS,
 ledger_id,
 ledger_name,
 ledger_currency,
 org_id,
operating_unit,
 set_of_books_id,
 customer_trx_id,
 amount,
 accounted_amount,
 transaction_number,
 transaction_date,
 transaction_currency,
 transaction_type,
 invoicing_rule_id,
 invoicing_rule,
 XLA_ACC_CODE ,
 XLA_ACC_DESCRIPTION,
 CUST_TRX_LINE_GL_DIST_ID,
 bill_to_customer_id,
 account_number,
 bill_to_customer,
 bill_to_location,
 payment_schedule_id,
 gl_date,
 event_id,
 event_number,
 event_date,
 EVENT_STATUS_CODE,
 EVENT_STATUS_DESC,
 PROCESS_STATUS_CODE,
 PROCESS_STATUS_DESC,
 ACCOUNTING_LINE_CODE,
 ACCOUNTING_LINE_DESC,
 SOURCE_DISTRIBUTION_TYPE,
 EVENT_CLASS_CODE,
 EVENT_CLASS_DESC,
 LINE_DEFINITION_CODE,
 LINE_DEFINITION_DESC,
 EVENT_TYPE_CODE,
 EVENT_TYPE_DESC,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ENTITY_ID,
 ENTITY_CODE,
 SOURCE_ID_INT_1,
 ecc_last_update_date,
 language
 FROM ( select  /*+ leading (ps)*/
       rct.customer_trx_id||'-'||ragd.CUST_TRX_LINE_GL_DIST_ID||'-'||xe.EVENT_ID||'-'||xe.EVENT_NUMBER||'-'||XAL.AE_HEADER_ID||'-'||XAL.AE_LINE_NUM as ECC_SPEC_ID,
       'TRX' RECORD_TYPE,
       ps.PERIOD_NAME,
       ps.PERIOD_YEAR,
       ps.CLOSING_STATUS,
       led.ledger_id,
       led.name ledger_name,
       led.currency_code ledger_currency,
       rct.org_id,
       org.name operating_unit,
       rct.set_of_books_id,
       rct.customer_trx_id,
       arp.AMOUNT_DUE_ORIGINAL amount,
       arp.amount_due_original*nvl(arp.exchange_rate,1) ACCOUNTED_AMOUNT,
       rct.TRX_NUMBER transaction_number,
       rct.TRX_DATE transaction_date,
       rctt.name transaction_type,
       rct.INVOICE_CURRENCY_CODE transaction_currency,
       rct.INVOICING_RULE_ID,
	   rr.NAME invoicing_rule,
      rct.bill_to_customer_id,
      b_bill.account_number account_number,
      b_bill_party.party_name bill_to_customer,
      u_bill.location bill_to_location,
      arp.PAYMENT_SCHEDULE_ID,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ragd.CUST_TRX_LINE_GL_DIST_ID,
      arp.gl_date,
      xe.event_id,
    xe.EVENT_NUMBER,
    xe.EVENT_DATE,
    xe.EVENT_STATUS_CODE,
      (select meaning from fnd_lookup_values where view_application_id =602 and lookup_type = 'XLA_EVENT_STATUS'  and language=org.language and lookup_code = xe.EVENT_STATUS_CODE)   EVENT_STATUS_DESC,
    DECODE(xe.PROCESS_STATUS_CODE,'Z','I',xe.PROCESS_STATUS_CODE) PROCESS_STATUS_CODE,
      (select meaning from fnd_lookup_values where view_application_id =602 and lookup_type = 'XLA_EVENT_PROCESS_STATUS'  and language=org.language and lookup_code = DECODE(xe.PROCESS_STATUS_CODE,'Z','I',xe.PROCESS_STATUS_CODE))
    	  PROCESS_STATUS_DESC ,
    xah.EVENT_TYPE_CODE,
      (select NAME from XLA_EVENT_TYPES_TL ett where application_id =222 and language=org.language AND xah.EVENT_TYPE_CODE = ett. EVENT_TYPE_CODE AND xte.ENTITY_CODE = ett.ENTITY_CODE)   EVENT_TYPE_DESC,
    xte.ENTITY_ID,
    xte.ENTITY_CODE,
    xte.SOURCE_ID_INT_1,
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 (select meaning from fnd_lookup_values where view_application_id =602 and lookup_type = 'GL_TRANSFER_FLAG' and language=org.language and lookup_code = xah.GL_TRANSFER_STATUS_CODE) GL_TRANSFER_STATUS_DESC,
    xah.ACCOUNTING_ENTRY_STATUS_CODE,
       (select meaning from fnd_lookup_values where view_application_id =602 and lookup_type = 'XLA_ACCOUNTING_ENTRY_STATUS' and language=org.language and lookup_code = xah.ACCOUNTING_ENTRY_STATUS_CODE) ACCOUNTING_ENTRY_STATUS_DESC,
    xah.ACCOUNTING_ENTRY_TYPE_CODE,
       (select meaning from fnd_lookup_values where view_application_id =602 and lookup_type = 'XLA_ACCOUNTING_ENTRY_TYPE' and language=org.language and lookup_code = xah.ACCOUNTING_ENTRY_TYPE_CODE) ACCOUNTING_ENTRY_TYPE_DESC,
    xah.JE_CATEGORY_NAME,
       (select DESCRIPTION from GL_JE_CATEGORIES_TL jct where language=org.language and xah.JE_CATEGORY_NAME = jct.JE_CATEGORY_NAME) JE_CATEGORY_NAME_DESC,
    xah.DESCRIPTION HEADER_DESCRIPTION,
    xah.BALANCE_TYPE_CODE,
       (select meaning from fnd_lookup_values where view_application_id =602 and lookup_type = 'XLA_BALANCE_TYPE'   and language=org.language and lookup_code = xah.BALANCE_TYPE_CODE) BALANCE_TYPE_DESC,
    xah.PERIOD_NAME gl_period_name,
    xal.ACCOUNTING_DATE,
    xal.AE_LINE_NUM,
    xal.DISPLAYED_LINE_NUMBER,
    xal.ACCOUNTING_CLASS_CODE,
        (select meaning from fnd_lookup_values where view_application_id =602 and lookup_type = 'XLA_ACCOUNTING_CLASS'  and language=org.language and lookup_code = xal.ACCOUNTING_CLASS_CODE) ACCOUNTING_CLASS_DESC,
    xal.BUSINESS_CLASS_CODE,
        (select meaning from fnd_lookup_values where view_application_id =602 and lookup_type = 'XLA_BUSINESS_FLOW_CLASS'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 gl_period_statuses ps,
    -- Receivables Tables
    ra_customer_trx_all rct,
    ra_cust_trx_line_gl_dist_all ragd,
	ra_cust_trx_types_all rctt,
    AR_PAYMENT_SCHEDULES_ALL arp,
    -- XLA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hr_all_organization_units_tl org,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   AND xah.GL_TRANSFER_STATUS_CODE &lt;&gt; 'Y'
	and xah.ACCOUNTING_ENTRY_STATUS_CODE &lt;&gt; 'N'
    and xal.DISPLAYED_LINE_NUMBER &gt;=0
    AND XE.EVENT_ID = XAH.EVENT_ID
    AND XAH.APPLICATION_ID = XE.APPLICATION_ID
    AND Led.Ledger_Id  = rct.Set_Of_Books_Id
    and rct.org_id =org.Organization_Id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to_date('27-APR-20','DD-MON-RR HH24:MI:SS') )  )  acc_trx where acc_trx.language in ('US')  )
    PIVOT(max(OPERATING_UNIT) as OPERATING_UNIT, max(EVENT_STATUS_DESC) as EVENT_STATUS_DESC, max(PROCESS_STATUS_DESC) as PROCESS_STATUS_DESC,
   max(ACCOUNTING_LINE_DESC) as ACCOUNTING_LINE_DESC, max(EVENT_CLASS_DESC) as EVENT_CLASS_DESC, max(LINE_DEFINITION_DESC) as LINE_DEFINITION_DESC,
   max(EVENT_TYPE_DESC) as EVENT_TYPE_DESC,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</si>
  <si>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 xml:space="preserve">select * from (SELECT ECC_SPEC_ID,
RECORD_TYPE,
PERIOD_NAME,
PERIOD_YEAR,
CLOSING_STATUS,
LEDGER_ID,
LEDGER_NAME,
LEDGER_CURRENCY,
ORG_ID,
OPERATING_UNIT,
set_of_books_id,
BILL_TO_CUSTOMER_ID,
ACCOUNT_NUMBER,
BILL_TO_CUSTOMER,
BILL_TO_LOCATION,
CUSTOMER_TRX_ID,
PAYMENT_SCHEDULE_ID,
TRANSACTION_TYPE,
transaction_number,
transaction_date,
transaction_currency,
INVOICING_RULE_ID,
INVOICING_RULE,
AMOUNT,
ACCOUNTED_AMOUNT,
GL_DATE,
EVENT_ID,
EVENT_NUMBER,
EVENT_DATE,
EVENT_TYPE_CODE,
EVENT_TYPE_DESC,
EVENT_STATUS_DESC,
EVENT_STATUS_CODE,
PROCESS_STATUS_CODE,
PROCESS_STATUS_DESC,
ENTITY_ID,
ENTITY_CODE,
SOURCE_ID_INT_1,
ECC_LAST_UPDATE_DATE,
LANGUAGE
FROM (  select -- /*+ leading (ps)*/
    rct.customer_trx_id||'-'||arp.PAYMENT_SCHEDULE_ID||'-'||xe.event_id||'-'||xe.EVENT_NUMBER as ECC_SPEC_ID,
	'TRX' RECORD_TYPE,
    ps.PERIOD_NAME,
    ps.PERIOD_YEAR,
    ps.CLOSING_STATUS,
    led.ledger_id,
    led.name ledger_name,
    led.currency_code ledger_currency,
    rct.org_id,
    ORG.name operating_unit,
    rct.bill_to_customer_id,
    b_bill.account_number,
    b_bill_party.party_name bill_to_customer,
    u_bill.location bill_to_location,
    rct.customer_trx_id,
    arp.PAYMENT_SCHEDULE_ID,
    rctt.name transaction_type,
    rct.set_of_books_id,
    rct.TRX_NUMBER transaction_number,
    rct.TRX_DATE transaction_date,
    rct.INVOICE_CURRENCY_CODE transaction_currency,
    rct.INVOICING_RULE_ID,
    rr.NAME invoicing_rule,
    arp.AMOUNT_DUE_ORIGINAL amount,
    arp.amount_due_original*nvl(arp.exchange_rate,1) ACCOUNTED_AMOUNT,
    arp.gl_date,
    xe.event_id,
    xe.EVENT_NUMBER,
    xe.EVENT_DATE,
    xe.EVENT_TYPE_CODE,
	   (select NAME from XLA_EVENT_TYPES_TL ett where application_id =222 and language=org.language AND xe.EVENT_TYPE_CODE = ett. EVENT_TYPE_CODE AND xte.ENTITY_CODE = ett.ENTITY_CODE)   EVENT_TYPE_DESC,
	xe.EVENT_STATUS_CODE,
    EVENT_STATUS.meaning EVENT_STATUS_DESC,
	xe.PROCESS_STATUS_CODE,
    PROCESS_STATUS.meaning PROCESS_STATUS_DESC,
    xte.ENTITY_ID,
    xte.ENTITY_CODE,
    xte.SOURCE_ID_INT_1,
    xe.last_update_date ecc_last_update_date,
    ORG.LANGUAGE
from
    gl_period_statuses ps,
    ra_customer_trx_all rct,
    ra_cust_trx_types_all rctt,
    AR_PAYMENT_SCHEDULES_ALL arp,
    xla_transaction_entities xte,
    xla_events xe,
    gl_ledgers led,
    hr_all_organization_units_tl org,
    hz_cust_accounts b_bill,
    hz_parties b_bill_party,
    HZ_CUST_SITE_USES_ALL u_bill,
    RA_RULES rr  ,
    FND_LOOKUP_VALUES    EVENT_STATUS,
    FND_LOOKUP_VALUES    PROCESS_STATUS
where
    ps.application_id=222
    AND ps.SET_OF_BOOKS_ID = rct.SET_OF_BOOKS_ID
    AND xe.EVENT_DATE between ps.START_DATE and ps.END_DATE
    AND ps.CLOSING_STATUS = 'O'
    and rct.complete_flag = 'Y'
    and rct.CUSTOMER_TRX_ID = arp.CUSTOMER_TRX_ID
    AND rct.cust_trx_type_id = rctt.cust_trx_type_id
    and rr.RULE_ID (+)= rct.INVOICING_RULE_ID
    AND rct.org_id = rctt.org_id
    and xe.application_id = 222
    AND xte.ENTITY_ID = xe.ENTITY_ID
    and xe.application_id = xte.application_id
    AND xe.EVENT_STATUS_CODE  = 'U'
    AND xe.PROCESS_STATUS_CODE = 'U'
    and xte.source_application_id = 222
    AND rct.CUSTOMER_TRX_ID = xte.SOURCE_ID_INT_1
    AND Led.Ledger_Id  = rct.Set_Of_Books_Id
    and rct.org_id = ORG.Organization_Id
    AND rct.bill_to_customer_id = b_bill.cust_account_id
    AND b_bill.party_id = b_bill_party.party_id
    AND rct.bill_to_site_use_id = u_bill.site_use_id
    AND rct.org_id = u_bill.org_id
    AND EVENT_STATUS.lookup_code = XE.EVENT_STATUS_CODE
    and EVENT_STATUS.language = ORG.language
    and EVENT_STATUS.VIEW_APPLICATION_ID  = 602
    and EVENT_STATUS.lookup_type = 'XLA_EVENT_STATUS'
    and process_status.lookup_code = xe.PROCESS_STATUS_CODE
    and PROCESS_STATUS.language = ORG.language
    and PROCESS_STATUS.VIEW_APPLICATION_ID  = 602
    and process_status.lookup_type = 'XLA_EVENT_PROCESS_STATUS'  AND ( xe.last_update_date    &gt;= to_date('27-APR-20','DD-MON-RR HH24:MI:SS') )  ) unacc_trx where unacc_trx.language in ('US')  )
    	PIVOT(max(OPERATING_UNIT) as OPERATING_UNIT, max(EVENT_STATUS_DESC) as EVENT_STATUS_DESC, max(PROCESS_STATUS_DESC) as PROCESS_STATUS_DESC
        , max(EVENT_TYPE_DESC) as EVENT_TYPE_DESC
  for LANGUAGE in ('US' "US"))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</si>
  <si>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--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xal.CODE_COMBINATION_ID = cc.CODE_COMBINATION_ID
  and led.CHART_OF_ACCOUNTS_ID = cc.CHART_OF_ACCOUNTS_ID
  and cc.ENABLED_FLAG = 'Y' AND ( xe.last_update_date    &gt;= to_date('27-APR-20','DD-MON-RR HH24:MI:SS') 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</si>
  <si>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   GL_CODE_COMBINATIONS cc,
   xla_distribution_links xdl,
   xla_transaction_entities xte,
   xla_events xe,
   xla_ae_headers xah,
   xla_ae_lines xal,
   gl_ledgers led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--   AND xah.GL_TRANSFER_STATUS_CODE &lt;&gt; 'Y'
   AND XAH.EVENT_ID = XE.EVENT_ID
   AND XAH.APPLICATION_ID = XE.APPLICATION_ID
   and xal.DISPLAYED_LINE_NUMBER &gt;=0
   AND Led.Ledger_Id  = acra.Set_Of_Books_Id
   AND xal.CODE_COMBINATION_ID = cc.CODE_COMBINATION_ID
   and led.CHART_OF_ACCOUNTS_ID = cc.CHART_OF_ACCOUNTS_ID
   and cc.ENABLED_FLAG = 'Y'  AND ( xe.last_update_date    &gt;= to_date('27-APR-20','DD-MON-RR HH24:MI:SS') ) </t>
  </si>
  <si>
    <t xml:space="preserve"> SELECT acra.cash_receipt_id||'-'||acrha.CASH_RECEIPT_HISTORY_ID||'-'||xe.EVENT_ID||'-'||xe.EVENT_NUMBER as ECC_SPEC_ID
    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--	AND xe.event_status_code = 'U'
    AND xe.process_status_code &lt;&gt; 'U'
    AND xte.ENTITY_ID = xe.ENTITY_ID
    AND Led.Ledger_Id  = acra.Set_Of_Books_Id
    and acra.org_id =org.Organization_Id
	and xe.application_id  = xte.application_id  AND ( xe.last_update_date    &gt;= to_date('27-APR-20','DD-MON-RR HH24:MI:SS') ) </t>
  </si>
  <si>
    <t xml:space="preserve">SELECT /*+ LEADING(ps) */
                                 'ECC_SPEC_ID' as ATTRIBUTE_NAME,
                                   rct.customer_trx_id as ATTRIBUTE_VALUE,
                                  'LIKE' AS OPERATOR  from
    gl_period_statuses ps,
    ra_customer_trx_all rct,
    ra_cust_trx_line_gl_dist_all ragd,
	ra_cust_trx_types_all rctt,
    AR_PAYMENT_SCHEDULES_ALL arp,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--   AND xah.GL_TRANSFER_STATUS_CODE &lt;&gt; 'Y'
	and xah.ACCOUNTING_ENTRY_STATUS_CODE &lt;&gt; 'N'
    and xal.DISPLAYED_LINE_NUMBER &gt;=0
    AND XE.EVENT_ID = XAH.EVENT_ID
    AND XAH.APPLICATION_ID = XE.APPLICATION_ID
    AND Led.Ledger_Id  = rct.Set_Of_Books_Id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to_date('27-APR-20','DD-MON-RR HH24:MI:SS') ) </t>
  </si>
  <si>
    <t xml:space="preserve">SELECT
                      rct.customer_trx_id||'-'||arp.PAYMENT_SCHEDULE_ID||'-'||xe.event_id||'-'||xe.EVENT_NUMBER as ECC_SPEC_ID
                    FROM
                    gl_period_statuses             ps,
                    ra_customer_trx_all            rct,
                    ra_cust_trx_types_all          rctt,
                    ar_payment_schedules_all       arp,
                    xla_transaction_entities   xte,
                    xla_events                 xe,
                    gl_ledgers                     led,
                    hz_cust_accounts               b_bill,
                    hz_parties                     b_bill_party,
                    hz_cust_site_uses_all          u_bill,
                    ra_rules                       rr
                WHERE
                    ps.application_id = 222
                    AND ps.set_of_books_id = rct.set_of_books_id
                    AND xe.event_date BETWEEN ps.start_date AND ps.end_date
                    AND ps.closing_status = 'O'
                    AND rct.complete_flag = 'Y'
                    AND rct.customer_trx_id = arp.customer_trx_id
                    AND rct.cust_trx_type_id = rctt.cust_trx_type_id
                    AND rr.rule_id (+) = rct.invoicing_rule_id
                    AND rct.org_id = rctt.org_id
                    AND xe.application_id = 222
                    AND xte.entity_id = xe.entity_id
                    AND xe.application_id = xte.application_id
                 --   AND xe.event_status_code = 'U'
                    AND xe.process_status_code &lt;&gt; 'U'
                    AND xte.source_application_id = 222
                    AND rct.customer_trx_id = xte.source_id_int_1
                    AND led.ledger_id = rct.set_of_books_id
                    AND rct.bill_to_customer_id = b_bill.cust_account_id
                    AND b_bill.party_id = b_bill_party.party_id
                    AND rct.bill_to_site_use_id = u_bill.site_use_id
                    AND rct.org_id = u_bill.org_id  AND ( xe.last_update_date    &gt;= to_date('27-APR-20','DD-MON-RR HH24:MI:SS') ) </t>
  </si>
  <si>
    <t>ar-pmtproc</t>
  </si>
  <si>
    <t>Payment Process</t>
  </si>
  <si>
    <t>SELECT record_type || '-' || id as ECC_SPEC_ID
FROM ar_ecc_process_t
WHERE delete_flag = 'Y'
AND record_type in ('ARCASHRCPT','ARRCPTBATCH','ARRMITBATCH', 'ARLOCKBOX')</t>
  </si>
  <si>
    <t>select * from (SELECT transmis_v.OPERATING_UNIT
, transmis_v.LEDGER_CURRENCY
, transmis_v.LEDGER_CURRENCY_CODE
, transmis_v.LEDGER
, transmis_v.TRANSMISSION_NAME
, transmis_v.CREATION_DATE
, transmis_v.STATUS
, transmis_v.LOCKBOX_NUMBER
, transmis_v.NUMBER_OF_ERRORS
, transmis_v.ORG_ID
, transmis_v.TRANSMISSION_ID
, transmis_v.ECC_SPEC_ID
, transmis_v.ECC_LAST_UPDATE_DATE
, transmis_v.RECORD_TYPE
, transmis_v.LANGUAGE
  FROM ar_ecc_transmission_error_v transmis_v, ar_ecc_process_t process_t
 WHERE transmis_v.transmission_id = process_t.id
   AND process_t.record_type = 'ARLOCKBOX'
   AND process_t.incremental_flag = 'Y' AND transmis_v.LANGUAGE in ('US'))
   PIVOT(max(OPERATING_UNIT) as OPERATING_UNIT, max(LEDGER_CURRENCY) as LEDGER_CURRENCY, max(STATUS) as STATUS
   for LANGUAGE in ('US' "US"))</t>
  </si>
  <si>
    <t>select * from (SELECT /*+ leading(rmtbatch_v.temp.process_t) full(rmtbatch_v.temp.process_t) */ rmtbatch_v.OPERATING_UNIT
, rmtbatch_v.LEDGER_CURRENCY
, rmtbatch_v.LEDGER_CURRENCY_CODE
, rmtbatch_v.LEDGER
, rmtbatch_v.RECEIPT_METHOD
, rmtbatch_v.REMITTANCE_BATCH_NUMBER
, rmtbatch_v.REMITTANCE_METHOD
, rmtbatch_v.REMIT_BATCH_PROCESS_STATUS
, rmtbatch_v.MEDIA_REFERENCE
, rmtbatch_v.BANK_NAME
, rmtbatch_v.BANK_BRANCH
, rmtbatch_v.BANK_ACCOUNT_NUMBER
, rmtbatch_v.REMITTANCE_BATCH_DATE
, rmtbatch_v.REMITTANCE_ACTUAL_COUNT
, rmtbatch_v.REMITTANCE_CONTROL_COUNT
, rmtbatch_v.REMITTANCE_BATCH_CURRENCY
, rmtbatch_v.REMITTANCE_BATCH_ID
, rmtbatch_v.ORG_ID
, rmtbatch_v.ECC_SPEC_ID
, rmtbatch_v.ECC_LAST_UPDATE_DATE
, rmtbatch_v.RECORD_TYPE
, rmtbatch_v.LANGUAGE
  FROM ar_ecc_remittance_batch_v rmtbatch_v
  where rmtbatch_v.incremental_flag = 'Y' and rmtbatch_v.language in ('US'))
   PIVOT(max(OPERATING_UNIT) as OPERATING_UNIT, max(LEDGER_CURRENCY) as LEDGER_CURRENCY, max(REMITTANCE_METHOD) as REMITTANCE_METHOD,
   max(REMIT_BATCH_PROCESS_STATUS) as REMIT_BATCH_PROCESS_STATUS, max(REMITTANCE_BATCH_CURRENCY) as REMITTANCE_BATCH_CURRENCY
   for LANGUAGE in ('US' "US"))</t>
  </si>
  <si>
    <t>select * from (SELECT /*+ leading(rcptbatch_v.temp.process_t) full(rcptbatch_v.temp.process_t) */ rcptbatch_v.OPERATING_UNIT
, rcptbatch_v.LEDGER_CURRENCY
, rcptbatch_v.LEDGER_CURRENCY_CODE
, rcptbatch_v.LEDGER
, rcptbatch_v.RECEIPT_METHOD
, rcptbatch_v.RECEIPT_BATCH_NUMBER
, rcptbatch_v.RECEIPT_BATCH_SOURCE
, rcptbatch_v.RECEIPT_BATCH_DATE
, rcptbatch_v.RECEIPT_BATCH_STATUS
, rcptbatch_v.RECEIPT_BATCH_PROCESS_STATUS as RCPT_BATCH_PROC_STAT
, rcptbatch_v.RECEIPT_BATCH_TYPE
, rcptbatch_v.RECEIPT_BATCH_CURRENCY
, rcptbatch_v.RECEIPT_BATCH_CURRENCY_CODE
, rcptbatch_v.RECIPT_CONTROL_COUNT
, rcptbatch_v.RECIPT_ACTUAL_COUNT
, rcptbatch_v.ORG_ID
, rcptbatch_v.RECEIPT_BATCH_ID
, rcptbatch_v.ECC_SPEC_ID
, rcptbatch_v.ECC_LAST_UPDATE_DATE
, rcptbatch_v.RECORD_TYPE
, rcptbatch_v.LANGUAGE
  FROM ar_ecc_receipt_batch_v rcptbatch_v
   where rcptbatch_v.incremental_flag = 'Y' and rcptbatch_v.language in ('US'))
   PIVOT(max(OPERATING_UNIT) as OPERATING_UNIT, max(LEDGER_CURRENCY) as LEDGER_CURRENCY, max(RECEIPT_BATCH_CURRENCY) as RECEIPT_BATCH_CURRENCY,
   max(RECEIPT_BATCH_STATUS) as RECEIPT_BATCH_STATUS,max(RCPT_BATCH_PROC_STAT) as RCPT_BATCH_PROC_STAT,
   max(RECEIPT_BATCH_TYPE) as RECEIPT_BATCH_TYPE
   for LANGUAGE in ('US' "US"))</t>
  </si>
  <si>
    <t>SELECT * from (SELECT /*+ leading(rcpt_v.tmp.process_t) full(rcpt_v.tmp.process_t) */ rcpt_v.OPERATING_UNIT,
rcpt_v.LEDGER,rcpt_v.LEDGER_CURRENCY,rcpt_v.LEDGER_CURRENCY_CODE,rcpt_v.RECEIPT_METHOD,rcpt_v.ACCOUNT_NUMBER,
rcpt_v.CUSTOMER,rcpt_v.CUSTOMER_LOCATION,rcpt_v.RECEIPT_NUMBER,rcpt_v.RECEIPT_CURRENCY,rcpt_v.RECEIPT_CURRENCY_CODE,
rcpt_v.RECEIPT_AMOUNT,rcpt_v.RECEIPT_DATE,rcpt_v.UNAPPLIED_AMOUNT,rcpt_v.RECEIPT_STATUS_CODE,rcpt_v.RECEIPT_STATUS,
rcpt_v.RECEIPT_STATE_CODE,rcpt_v.RECEIPT_STATE,rcpt_v.RECEIPT_ACCOUNTED_AMOUNT,rcpt_v.UNAPPLIED_ACCOUNTED_AMOUNT,rcpt_v.ORG_ID,
rcpt_v.CASH_RECEIPT_ID,rcpt_v.ECC_SPEC_ID,rcpt_v.ECC_LAST_UPDATE_DATE,rcpt_v.RECORD_TYPE,rcpt_v.ATTRIBUTE_CATEGORY,rcpt_v.ATTRIBUTE1,
rcpt_v.ATTRIBUTE2,rcpt_v.ATTRIBUTE3,rcpt_v.ATTRIBUTE4,rcpt_v.ATTRIBUTE5,rcpt_v.ATTRIBUTE6,rcpt_v.ATTRIBUTE7,rcpt_v.ATTRIBUTE8,rcpt_v.ATTRIBUTE9,
rcpt_v.ATTRIBUTE10,rcpt_v.ATTRIBUTE11,rcpt_v.ATTRIBUTE12,rcpt_v.ATTRIBUTE13,rcpt_v.ATTRIBUTE14,rcpt_v.ATTRIBUTE15,rcpt_v.LANGUAGE
  FROM ar_ecc_receipt_v rcpt_v
 WHERE rcpt_v.incremental_flag = 'Y' and rcpt_v.language in ('US'))
   PIVOT(max(OPERATING_UNIT) as OPERATING_UNIT, max(LEDGER_CURRENCY) as LEDGER_CURRENCY, max(RECEIPT_CURRENCY) as RECEIPT_CURRENCY,
          max(RECEIPT_STATUS) as RECEIPT_STATUS, max(RECEIPT_STATE) as RECEIPT_STATE
          for LANGUAGE in ('US' "US"))</t>
  </si>
  <si>
    <t>ar-trx</t>
  </si>
  <si>
    <t>Outstanding Receivables</t>
  </si>
  <si>
    <t>select 'TRX-' || payment_schedule_id as ECC_SPEC_ID from ari_ecc_trx_process_t
where customer_trx_id  in (select customer_trx_id from ra_customer_trx_all where complete_flag='N' )</t>
  </si>
  <si>
    <t>SELECT 'TRX-' || payment_schedule_id as ECC_SPEC_ID FROM ari_ecc_trx_process_t WHERE status = 'CL'</t>
  </si>
  <si>
    <t>select * from (SELECT /*+ leading(trx_v.temp.trx_t) full(trx_v.temp.trx_t) */ trx_v.ACCOUNT_NUMBER,trx_v.BILL_TO_CUSTOMER,
trx_v.BILL_TO_LOCATION,trx_v.SHIP_TO_CUSTOMER,trx_v.SHIP_TO_LOCATION,trx_v.COLLECTOR,trx_v.PROFILE_CLASS,trx_v.TRANSACTION_NUMBER,
trx_v.TRANSACTION_CLASS,trx_v.TRANSACTION_TYPE,trx_v.TRANSACTION_SOURCE,trx_v.CURRENCY_CODE,trx_v.CURRENCY,trx_v.PURCHASE_ORDER_NUMBER,
trx_v.SALES_ORDER_NUMBER,trx_v.SALESPERSON,trx_v.OPERATING_UNIT,trx_v.TRANSACTION_CONTEXT,trx_v.TRANSACTION_REFERENCE,
trx_v.TRANSACTION_CURRENCY_CODE,trx_v.TRANSACTION_CURRENCY,trx_v.LEDGER_CURRENCY_CODE,trx_v.LEDGER_CURRENCY,trx_v.LEDGER,
trx_v.DUE_ACCOUNTED_AMOUNT,trx_v.ACCOUNTED_AMOUNT,trx_v.DUE_DATE,trx_v.TRANSACTION_DATE,trx_v.ACCOUNTING_DATE,trx_v.PURCHASE_ORDER_DATE,
trx_v.ECC_SPEC_ID,trx_v.PAYMENT_SCHEDULE_ID,trx_v.INSTALLMENT,trx_v.TRANSACTION_CLASS_CODE,trx_v.TRANSACTION_AMOUNT,trx_v.DUE_AMOUNT,
trx_v.APPLIED_AMOUNT,trx_v.STATUS,trx_v.TRANSACTION_ID,trx_v.CREDIT_MEMO_REASON_CODE,trx_v.CREDIT_MEMO_REASON,trx_v.COMMENTS,
trx_v.INTERNAL_NOTES,trx_v.SPECIAL_INSTRUCTION,trx_v.SHIP_TO_CUSTOMER_NUMBER,trx_v.ORG_ID,trx_v.BILL_TO_CUSTOMER_ID,
trx_v.BILL_TO_SITE_USE_ID,trx_v.BILL_TO_CONTACT,trx_v.ECC_LAST_UPDATE_DATE,trx_v.RECORD_TYPE,trx_v.ATTRIBUTE_CATEGORY,trx_v.ATTRIBUTE1,
trx_v.ATTRIBUTE2,trx_v.ATTRIBUTE3,trx_v.ATTRIBUTE4,trx_v.ATTRIBUTE5,trx_v.ATTRIBUTE6,trx_v.ATTRIBUTE7,trx_v.ATTRIBUTE8,trx_v.ATTRIBUTE9,
trx_v.ATTRIBUTE10,trx_v.ATTRIBUTE11,trx_v.ATTRIBUTE12,trx_v.ATTRIBUTE13,trx_v.ATTRIBUTE14,trx_v.ATTRIBUTE15, idfv.*,
trx_v.aging_buckets,trx_v.ar_aging_buckets,trx_v.discount_expiration_date,trx_v.discount_flag,trx_v.discount_amount,trx_v.LANGUAGE
  FROM ari_ecc_trx_v            trx_v  , (select 'ARINT_ROW_ID','ARINT_CONTEXT_VALUE','ARINT_DEBIT_MEMO_NUMBER','ARINT_DEBIT_MEMO_LINE_NO','ARINT_FINANCE_CHARGE_TYPE','ARINT_INV_PAYMENT_SCHEDULE_ID','ARINT_CLAIM_NUMBER','ARINT_CUSTOMER_REFERENCE','ARINT_CUSTOMER_REASON','ARINT_CLAIM_REASON','ARINT_BILLING_PARTY_ID','ARINT_BILLING_SITE_USE_ID','ARINT_BILLING_INTERFACE_REQUEST_ID','ARINT_BILLING_PERIOD','ARINT_BILL_TO_PARTY_ID','ARINT_INTEREST_INVOICE_BATCH_ID','ARINT_INTEREST_INVOICE_ID','ARINT_PAYMENT_SCHEDULE_ID','ARINT_LINE_NUMBER','ARINT_PRIVATE_LABEL','ARINT_INVOICE_GROUP','ARINT_INVOICE_TYPE','ARINT_TERMINATION_QUOTE_NUMBER','ARINT_OKL_SOURCE_BILLING_TRANSACTION','ARINT_PROJECT_NUM___CONSOLIDATED_BG','ARINT_DRAFT_INVOICE_NUMBER','ARINT_AGREEMENT_NUMBER','ARINT_PROJECT_ORGANIZATION','ARINT_PROJECT_MANAGER','ARINT_PERIODICS_H','ARINT_PERIODICS_S','ARINT_DRAFT_CONSOLIDATED_INVOICE_NUM','ARINT_RISK_CLASS','ARINT_CONCATENATED_SEGMENTS' from dual where 1=2  union select ROWIDTOCHAR(ROW_ID),CONTEXT_VALUE,DEBIT_MEMO_NUMBER,to_char(DEBIT_MEMO_LINE_NO),FINANCE_CHARGE_TYPE,to_char(INV_PAYMENT_SCHEDULE_ID),CLAIM_NUMBER,CUSTOMER_REFERENCE,CUSTOMER_REASON,CLAIM_REASON,BILLING_PARTY_ID,BILLING_SITE_USE_ID,BILLING_INTERFACE_REQUEST_ID,BILLING_PERIOD,BILL_TO_PARTY_ID,INTEREST_INVOICE_BATCH_ID,INTEREST_INVOICE_ID,PAYMENT_SCHEDULE_ID,LINE_NUMBER,PRIVATE_LABEL,INVOICE_GROUP,INVOICE_TYPE,TERMINATION_QUOTE_NUMBER,OKL_SOURCE_BILLING_TRANSACTION,PROJECT_NUM___CONSOLIDATED_BG,DRAFT_INVOICE_NUMBER,AGREEMENT_NUMBER,PROJECT_ORGANIZATION,PROJECT_MANAGER,PERIODICS_H,PERIODICS_S,DRAFT_CONSOLIDATED_INVOICE_NUM,RISK_CLASS,CONCATENATED_SEGMENTS from RA_CUSTOMER_TRX_ALL2_DFV) idfv   WHERE trx_v.row_id = idfv."'ARINT_ROW_ID'"(+)
 And trx_v.incremental_flag = 'Y' and trx_v.language in ('US'))
   PIVOT (max(SALESPERSON) as SALESPERSON, max(AGING_BUCKETS) as AGING_BUCKETS, max(AR_AGING_BUCKETS) as AR_AGING_BUCKETS,max(TRANSACTION_CLASS) as TRANSACTION_CLASS,max(CREDIT_MEMO_REASON) as CREDIT_MEMO_REASON, max(OPERATING_UNIT) as OPERATING_UNIT,
          max(TRANSACTION_CURRENCY) as TRANSACTION_CURRENCY, max(LEDGER_CURRENCY) as LEDGER_CURRENCY, max(CURRENCY) as CURRENCY
          for LANGUAGE in ('US' "US"))</t>
  </si>
  <si>
    <t>ar-dispute</t>
  </si>
  <si>
    <t>Disputes</t>
  </si>
  <si>
    <t>select * from (SELECT  /*+ leading(cmreq_v.temp.process_t) full(cmreq_v.temp.process_t) */ DISPUTE_NUMBER
, DISPUTE_REASON
, DISPUTE_REASON_CODE
, DISPUTE_STATUS
, DISPUTE_REQUESTOR
, CURRENCY
, CURRENCY_CODE
, TRANSACTION_NUMBER
, SALESPERSON
, SALES_ORDER
, OPERATING_UNIT
, ACCOUNT_NUMBER
, BILL_TO_CUSTOMER
, BILL_TO_LOCATION
, COLLECTOR
, PROFILE_CLASS
, DISPUTE_DATE
, TRANSACTION_DATE
, DUE_DATE
, ECC_SPEC_ID
, DISPUTE_STATUS_CODE
, DISPUTE_AMOUNT
, TRANSACTION_CLASS
, TRANSACTION_CLASS_CODE
, TRANSACTION_ID
, ECC_LAST_UPDATE_DATE
, ORG_ID
, STATUS
, BILL_TO_CUSTOMER_ID
, BILL_TO_SITE_USE_ID
, TRANSACTION_AMOUNT
, BILL_TO_CONTACT
, SHIP_TO_CUSTOMER
, SHIP_TO_LOCATION
, PURCHASE_ORDER_NUMBER
, DUE_AMOUNT
, PURCHASE_ORDER_DATE
, RECORD_TYPE
, LANGUAGE
  FROM ari_ecc_cmreq_v
  WHERE ( ( to_date(to_char(ECC_LAST_UPDATE_date,'DD-MON-RR HH24:MI:SS'),'DD-MON-RR HH24:MI:SS')   &gt;=  to_date('27-APR-20','DD-MON-RR HH24:MI:SS')
       AND ECC_LAST_UPDATE_DATE &lt; sysdate)) and language in ('US'))
PIVOT(max(SALESPERSON) as SALESPERSON, max(OPERATING_UNIT) as OPERATING_UNIT, max(CURRENCY) as CURRENCY, max(DISPUTE_REASON) as DISPUTE_REASON,
   max(DISPUTE_STATUS) as DISPUTE_STATUS,max(TRANSACTION_CLASS) as TRANSACTION_CLASS
   for LANGUAGE in ('US' "US"))</t>
  </si>
  <si>
    <t>ar-history</t>
  </si>
  <si>
    <t>Payment History</t>
  </si>
  <si>
    <t>SELECT record_type || '-' || id as ECC_SPEC_ID
FROM ar_ecc_process_t
WHERE delete_flag = 'Y'
AND record_type in ('ARTRXHSTRY' ,'ARRCIPTHSTRY')</t>
  </si>
  <si>
    <t>select * from (SELECT /*+ leading(rcpt_hist_v.process_t) full(rcpt_hist_v.process_t) */
rcpt_hist_v.OPERATING_UNIT,rcpt_hist_v.LEDGER_CURRENCY,rcpt_hist_v.LEDGER_CURRENCY_CODE,rcpt_hist_v.LEDGER,rcpt_hist_v.CUSTOMER,
rcpt_hist_v.ACCOUNT_NUMBER,rcpt_hist_v.RECEIPT_NUMBER,rcpt_hist_v.RECEIPT_CURRENCY,rcpt_hist_v.RECEIPT_CURRENCY_CODE,rcpt_hist_v.RECEIPT_AMOUNT,
rcpt_hist_v.RECEIPT_DATE,rcpt_hist_v.APPLICATION_DATE,rcpt_hist_v.RECEIPT_CLASS,rcpt_hist_v.RECEIPT_METHOD,rcpt_hist_v.RECEIPT_STATUS,rcpt_hist_v.RECEIPT_STATUS_CODE,
rcpt_hist_v.ACCOUNTED_AMOUNT,rcpt_hist_v.TRANSACTION_NUMBER,rcpt_hist_v.ORG_ID,rcpt_hist_v.CASH_RECEIPT_ID,rcpt_hist_v.ECC_SPEC_ID,rcpt_hist_v.ECC_LAST_UPDATE_DATE,
rcpt_hist_v.RECORD_TYPE,rcpt_hist_v.ATTRIBUTE_CATEGORY,rcpt_hist_v.ATTRIBUTE1,rcpt_hist_v.ATTRIBUTE2,rcpt_hist_v.ATTRIBUTE3,rcpt_hist_v.ATTRIBUTE4,rcpt_hist_v.ATTRIBUTE5,
rcpt_hist_v.ATTRIBUTE6,rcpt_hist_v.ATTRIBUTE7,rcpt_hist_v.ATTRIBUTE8,rcpt_hist_v.ATTRIBUTE9,rcpt_hist_v.ATTRIBUTE10,rcpt_hist_v.ATTRIBUTE11,rcpt_hist_v.ATTRIBUTE12,
rcpt_hist_v.ATTRIBUTE13,rcpt_hist_v.ATTRIBUTE14,rcpt_hist_v.ATTRIBUTE15,rcpt_hist_v.LANGUAGE
  FROM ar_ecc_receipt_history_v rcpt_hist_v
 WHERE rcpt_hist_v.incremental_flag = 'Y' and rcpt_hist_v.language in ('US'))
   PIVOT(max(OPERATING_UNIT) as OPERATING_UNIT, max(LEDGER_CURRENCY) as LEDGER_CURRENCY, max(RECEIPT_CURRENCY) as RECEIPT_CURRENCY,
   max(RECEIPT_STATUS) as RECEIPT_STATUS
   for LANGUAGE in ('US' "US"))</t>
  </si>
  <si>
    <t>select * from (SELECT /*+ leading(trx_v.temp.process_t) full(trx_v.temp.process_t) */
trx_v.OPERATING_UNIT, trx_v.LEDGER_CURRENCY_CODE,
trx_v.LEDGER_CURRENCY, trx_v.LEDGER, trx_v.CUSTOMER, trx_v.ACCOUNT_NUMBER, trx_v.TRANSACTION_NUMBER,
trx_v.TRANSACTION_CURRENCY_CODE,
trx_v.TRANSACTION_CURRENCY, trx_v.TRANSACTION_CLASS, trx_v.TRANSACTION_TYPE, trx_v.TRANSACTION_DATE, trx_v.TRANSACTION_AMOUNT,
trx_v.DISCOUNT_TAKEN_AMOUNT, trx_v.PAID_DATE, trx_v.TRANSACTION_SOURCE, trx_v.PURCHASE_ORDER_NUMBER,
trx_v.SALES_ORDER_NUMBER, trx_v.SALESPERSON,
trx_v.TRANSACTION_CONTEXT, trx_v.TRANSACTION_REFERENCE, trx_v.BILL_TO_LOCATION, trx_v.SHIP_TO_CUSTOMER,
trx_v.SHIP_TO_LOCATION, trx_v.COLLECTOR,
trx_v.PROFILE_CLASS, trx_v.AVERAGE_DAYS_PAID, trx_v.AVERAGE_DAYS_DELINQUENT, trx_v.ACCOUNTED_AMOUNT,
trx_v.ADJUSTED_AMOUNT, trx_v.INSTALLMENT,
trx_v.TRANSACTION_ID, trx_v.DUE_DATE, trx_v.TRANSACTION_CLASS_CODE, trx_v.ORG_ID,
trx_v.PAYMENT_SCHEDULE_ID, trx_v.ECC_SPEC_ID,
trx_v.ECC_LAST_UPDATE_DATE, trx_v.RECORD_TYPE, trx_v.ATTRIBUTE_CATEGORY, trx_v.ATTRIBUTE1,
trx_v.ATTRIBUTE2, trx_v.ATTRIBUTE3,
trx_v.ATTRIBUTE4, trx_v.ATTRIBUTE5, trx_v.ATTRIBUTE6, trx_v.ATTRIBUTE7, trx_v.ATTRIBUTE8,
trx_v.ATTRIBUTE9, trx_v.ATTRIBUTE10,
trx_v.ATTRIBUTE11, trx_v.ATTRIBUTE12, trx_v.ATTRIBUTE13, trx_v.ATTRIBUTE14, trx_v.ATTRIBUTE15,idfv.*, trx_v.LANGUAGE
  FROM ar_ecc_trx_history_v trx_v  , (select 'ARINT_ROW_ID','ARINT_CONTEXT_VALUE','ARINT_DEBIT_MEMO_NUMBER','ARINT_DEBIT_MEMO_LINE_NO','ARINT_FINANCE_CHARGE_TYPE','ARINT_INV_PAYMENT_SCHEDULE_ID','ARINT_CLAIM_NUMBER','ARINT_CUSTOMER_REFERENCE','ARINT_CUSTOMER_REASON','ARINT_CLAIM_REASON','ARINT_BILLING_PARTY_ID','ARINT_BILLING_SITE_USE_ID','ARINT_BILLING_INTERFACE_REQUEST_ID','ARINT_BILLING_PERIOD','ARINT_BILL_TO_PARTY_ID','ARINT_INTEREST_INVOICE_BATCH_ID','ARINT_INTEREST_INVOICE_ID','ARINT_PAYMENT_SCHEDULE_ID','ARINT_LINE_NUMBER','ARINT_PRIVATE_LABEL','ARINT_INVOICE_GROUP','ARINT_INVOICE_TYPE','ARINT_TERMINATION_QUOTE_NUMBER','ARINT_OKL_SOURCE_BILLING_TRANSACTION','ARINT_PROJECT_NUM___CONSOLIDATED_BG','ARINT_DRAFT_INVOICE_NUMBER','ARINT_AGREEMENT_NUMBER','ARINT_PROJECT_ORGANIZATION','ARINT_PROJECT_MANAGER','ARINT_PERIODICS_H','ARINT_PERIODICS_S','ARINT_DRAFT_CONSOLIDATED_INVOICE_NUM','ARINT_RISK_CLASS','ARINT_CONCATENATED_SEGMENTS' from dual where 1=2  union select ROWIDTOCHAR(ROW_ID),CONTEXT_VALUE,DEBIT_MEMO_NUMBER,to_char(DEBIT_MEMO_LINE_NO),FINANCE_CHARGE_TYPE,to_char(INV_PAYMENT_SCHEDULE_ID),CLAIM_NUMBER,CUSTOMER_REFERENCE,CUSTOMER_REASON,CLAIM_REASON,BILLING_PARTY_ID,BILLING_SITE_USE_ID,BILLING_INTERFACE_REQUEST_ID,BILLING_PERIOD,BILL_TO_PARTY_ID,INTEREST_INVOICE_BATCH_ID,INTEREST_INVOICE_ID,PAYMENT_SCHEDULE_ID,LINE_NUMBER,PRIVATE_LABEL,INVOICE_GROUP,INVOICE_TYPE,TERMINATION_QUOTE_NUMBER,OKL_SOURCE_BILLING_TRANSACTION,PROJECT_NUM___CONSOLIDATED_BG,DRAFT_INVOICE_NUMBER,AGREEMENT_NUMBER,PROJECT_ORGANIZATION,PROJECT_MANAGER,PERIODICS_H,PERIODICS_S,DRAFT_CONSOLIDATED_INVOICE_NUM,RISK_CLASS,CONCATENATED_SEGMENTS from RA_CUSTOMER_TRX_ALL2_DFV) idfv  WHERE trx_v.trx_row_id = idfv."'ARINT_ROW_ID'"(+)
 and trx_v.incremental_flag = 'Y' and trx_v.language in ('US'))
   PIVOT(max(SALESPERSON) as SALESPERSON,max(OPERATING_UNIT) as OPERATING_UNIT, max(LEDGER_CURRENCY) as LEDGER_CURRENCY, max(TRANSACTION_CURRENCY) as TRANSACTION_CURRENCY,
   max(TRANSACTION_CLASS) as TRANSACTION_CLASS
   for LANGUAGE in ('US' "US"))</t>
  </si>
  <si>
    <t>ar-billproc</t>
  </si>
  <si>
    <t>Billing Process</t>
  </si>
  <si>
    <t>SELECT record_type || '-' || id as ECC_SPEC_ID
FROM ar_ecc_process_t
WHERE delete_flag = 'Y'
AND record_type in ('ARIMCPTRX','ARADJUST')</t>
  </si>
  <si>
    <t>select * from (SELECT ERROR_COUNT
, TYPE
, MESSAGE
, ORG_ID
, OPERATING_UNIT
, LEDGER_CURRENCY
, LEDGER
, ECC_SPEC_ID
, RECORD_TYPE
, LANGUAGE
  FROM ar_ecc_interface_error_v
 WHERE EXISTS
 (SELECT 1
          FROM fnd_concurrent_requests
         WHERE concurrent_program_id = 33048
           AND program_application_id = 222
And ( ( to_date(to_char(actual_completion_date,'DD-MON-RR HH24:MI:SS'),'DD-MON-RR HH24:MI:SS')   &gt;=  to_date('27-APR-20','DD-MON-RR HH24:MI:SS')
       AND actual_completion_date &lt; sysdate))
) and language in ('US')) PIVOT(max(OPERATING_UNIT) as OPERATING_UNIT, max(LEDGER_CURRENCY) as LEDGER_CURRENCY
   for LANGUAGE in ('US' "US"))</t>
  </si>
  <si>
    <t>select * from (SELECT /*+ leading(trx_v.temp.process_t) full(trx_v.temp.process_t) */ trx_v.OPERATING_UNIT
, trx_v.LEDGER_CURRENCY
, trx_v.LEDGER_CURRENCY_CODE
, trx_v.LEDGER
, trx_v.ACCOUNT_NUMBER
, trx_v.BILL_TO_CUSTOMER
, trx_v.BILL_TO_LOCATION
, trx_v.SHIP_TO_CUSTOMER
, trx_v.SHIP_TO_LOCATION
, trx_v.ADJUSTMENT_NUMBER
, trx_v.ADJUSTMENT_AMOUNT
, trx_v.ADJUSTMENT_DATE
, trx_v.RECEIVABLE_ACTIVITY
, trx_v.ADJUSTMENT_STATUS
, trx_v.ADJUSTMENT_STATUS_CODE
, trx_v.ADJUSTMENT_TYPE
, trx_v.ADJUSTMENT_TYPE_CODE
, trx_v.ADJUSTMENT_REASON
, trx_v.ADJUSTMENT_REASON_CODE
, trx_v.TRANSACTION_NUMBER
, trx_v.TRANSACTION_AMOUNT
, trx_v.TRANSACTION_SOURCE
, trx_v.ADJUSTMENT_ACCOUNTED_AMOUNT
, trx_v.TRANSACTION_ID
, trx_v.TRANSACTION_CURRENCY
, trx_v.TRANSACTION_CURRENCY_CODE
, trx_v.ADJUSTMENT_ID
, trx_v.ORG_ID
, trx_v.ECC_SPEC_ID
, trx_v.ECC_LAST_UPDATE_DATE
, trx_v.RECORD_TYPE
, idfv.*, trx_v.LANGUAGE
  FROM ar_ecc_adjustment_v trx_v  , (select 'ARINT_ROW_ID','ARINT_CONTEXT_VALUE','ARINT_DEBIT_MEMO_NUMBER','ARINT_DEBIT_MEMO_LINE_NO','ARINT_FINANCE_CHARGE_TYPE','ARINT_INV_PAYMENT_SCHEDULE_ID','ARINT_CLAIM_NUMBER','ARINT_CUSTOMER_REFERENCE','ARINT_CUSTOMER_REASON','ARINT_CLAIM_REASON','ARINT_BILLING_PARTY_ID','ARINT_BILLING_SITE_USE_ID','ARINT_BILLING_INTERFACE_REQUEST_ID','ARINT_BILLING_PERIOD','ARINT_BILL_TO_PARTY_ID','ARINT_INTEREST_INVOICE_BATCH_ID','ARINT_INTEREST_INVOICE_ID','ARINT_PAYMENT_SCHEDULE_ID','ARINT_LINE_NUMBER','ARINT_PRIVATE_LABEL','ARINT_INVOICE_GROUP','ARINT_INVOICE_TYPE','ARINT_TERMINATION_QUOTE_NUMBER','ARINT_OKL_SOURCE_BILLING_TRANSACTION','ARINT_PROJECT_NUM___CONSOLIDATED_BG','ARINT_DRAFT_INVOICE_NUMBER','ARINT_AGREEMENT_NUMBER','ARINT_PROJECT_ORGANIZATION','ARINT_PROJECT_MANAGER','ARINT_PERIODICS_H','ARINT_PERIODICS_S','ARINT_DRAFT_CONSOLIDATED_INVOICE_NUM','ARINT_RISK_CLASS','ARINT_CONCATENATED_SEGMENTS' from dual where 1=2  union select ROWIDTOCHAR(ROW_ID),CONTEXT_VALUE,DEBIT_MEMO_NUMBER,to_char(DEBIT_MEMO_LINE_NO),FINANCE_CHARGE_TYPE,to_char(INV_PAYMENT_SCHEDULE_ID),CLAIM_NUMBER,CUSTOMER_REFERENCE,CUSTOMER_REASON,CLAIM_REASON,BILLING_PARTY_ID,BILLING_SITE_USE_ID,BILLING_INTERFACE_REQUEST_ID,BILLING_PERIOD,BILL_TO_PARTY_ID,INTEREST_INVOICE_BATCH_ID,INTEREST_INVOICE_ID,PAYMENT_SCHEDULE_ID,LINE_NUMBER,PRIVATE_LABEL,INVOICE_GROUP,INVOICE_TYPE,TERMINATION_QUOTE_NUMBER,OKL_SOURCE_BILLING_TRANSACTION,PROJECT_NUM___CONSOLIDATED_BG,DRAFT_INVOICE_NUMBER,AGREEMENT_NUMBER,PROJECT_ORGANIZATION,PROJECT_MANAGER,PERIODICS_H,PERIODICS_S,DRAFT_CONSOLIDATED_INVOICE_NUM,RISK_CLASS,CONCATENATED_SEGMENTS from RA_CUSTOMER_TRX_ALL2_DFV) idfv  WHERE trx_v.row_id = idfv."'ARINT_ROW_ID'"(+)
   and trx_v.incremental_flag = 'Y' and trx_v.language in ('US'))
   PIVOT(max(OPERATING_UNIT) as OPERATING_UNIT, max(LEDGER_CURRENCY) as LEDGER_CURRENCY, max(TRANSACTION_CURRENCY) as TRANSACTION_CURRENCY,
   max(ADJUSTMENT_REASON) as ADJUSTMENT_REASON,max(ADJUSTMENT_TYPE) as ADJUSTMENT_TYPE,max(ADJUSTMENT_STATUS) as ADJUSTMENT_STATUS
   for LANGUAGE in ('US' "US"))</t>
  </si>
  <si>
    <t>select * from (SELECT /*+ leading(trx_v.process_t) full(trx_v.process_t) */ trx_v.OPERATING_UNIT,trx_v.LEDGER_CURRENCY,trx_v.LEDGER_CURRENCY_CODE,
trx_v.LEDGER,trx_v.ACCOUNT_NUMBER,trx_v.BILL_TO_CUSTOMER,trx_v.BILL_TO_LOCATION,trx_v.SHIP_TO_CUSTOMER,trx_v.SHIP_TO_LOCATION,
trx_v.INCOMPLETE_TRANSACTION_NUMBER,trx_v.TRANSACTION_CURRENCY_CODE,trx_v.TRANSACTION_CURRENCY,trx_v.TRANSACTION_CLASS,trx_v.TRANSACTION_TYPE,
trx_v.TRANSACTION_DATE,trx_v.INCOMPLETE_TRANSACTION_SOURCE,trx_v.INCOMPLETE_TRANSACTION_AMOUNT,trx_v.PURCHASE_ORDER_NUMBER,trx_v.TRANSACTION_CLASS_CODE,
trx_v.TRANSACTION_ID,trx_v.ORG_ID,trx_v.ECC_SPEC_ID,trx_v.ECC_LAST_UPDATE_DATE,trx_v.RECORD_TYPE,trx_v.ATTRIBUTE_CATEGORY,trx_v.ATTRIBUTE1,trx_v.ATTRIBUTE2,
trx_v.ATTRIBUTE3,trx_v.ATTRIBUTE4,trx_v.ATTRIBUTE5,trx_v.ATTRIBUTE6,trx_v.ATTRIBUTE7,trx_v.ATTRIBUTE8,trx_v.ATTRIBUTE9,trx_v.ATTRIBUTE10,trx_v.ATTRIBUTE11,
trx_v.ATTRIBUTE12,trx_v.ATTRIBUTE13,trx_v.ATTRIBUTE14,trx_v.ATTRIBUTE15, idfv.*, trx_v.LANGUAGE
  FROM ar_ecc_incomplete_trx_v trx_v   , (select 'ARINT_ROW_ID','ARINT_CONTEXT_VALUE','ARINT_DEBIT_MEMO_NUMBER','ARINT_DEBIT_MEMO_LINE_NO','ARINT_FINANCE_CHARGE_TYPE','ARINT_INV_PAYMENT_SCHEDULE_ID','ARINT_CLAIM_NUMBER','ARINT_CUSTOMER_REFERENCE','ARINT_CUSTOMER_REASON','ARINT_CLAIM_REASON','ARINT_BILLING_PARTY_ID','ARINT_BILLING_SITE_USE_ID','ARINT_BILLING_INTERFACE_REQUEST_ID','ARINT_BILLING_PERIOD','ARINT_BILL_TO_PARTY_ID','ARINT_INTEREST_INVOICE_BATCH_ID','ARINT_INTEREST_INVOICE_ID','ARINT_PAYMENT_SCHEDULE_ID','ARINT_LINE_NUMBER','ARINT_PRIVATE_LABEL','ARINT_INVOICE_GROUP','ARINT_INVOICE_TYPE','ARINT_TERMINATION_QUOTE_NUMBER','ARINT_OKL_SOURCE_BILLING_TRANSACTION','ARINT_PROJECT_NUM___CONSOLIDATED_BG','ARINT_DRAFT_INVOICE_NUMBER','ARINT_AGREEMENT_NUMBER','ARINT_PROJECT_ORGANIZATION','ARINT_PROJECT_MANAGER','ARINT_PERIODICS_H','ARINT_PERIODICS_S','ARINT_DRAFT_CONSOLIDATED_INVOICE_NUM','ARINT_RISK_CLASS','ARINT_CONCATENATED_SEGMENTS' from dual where 1=2  union select ROWIDTOCHAR(ROW_ID),CONTEXT_VALUE,DEBIT_MEMO_NUMBER,to_char(DEBIT_MEMO_LINE_NO),FINANCE_CHARGE_TYPE,to_char(INV_PAYMENT_SCHEDULE_ID),CLAIM_NUMBER,CUSTOMER_REFERENCE,CUSTOMER_REASON,CLAIM_REASON,BILLING_PARTY_ID,BILLING_SITE_USE_ID,BILLING_INTERFACE_REQUEST_ID,BILLING_PERIOD,BILL_TO_PARTY_ID,INTEREST_INVOICE_BATCH_ID,INTEREST_INVOICE_ID,PAYMENT_SCHEDULE_ID,LINE_NUMBER,PRIVATE_LABEL,INVOICE_GROUP,INVOICE_TYPE,TERMINATION_QUOTE_NUMBER,OKL_SOURCE_BILLING_TRANSACTION,PROJECT_NUM___CONSOLIDATED_BG,DRAFT_INVOICE_NUMBER,AGREEMENT_NUMBER,PROJECT_ORGANIZATION,PROJECT_MANAGER,PERIODICS_H,PERIODICS_S,DRAFT_CONSOLIDATED_INVOICE_NUM,RISK_CLASS,CONCATENATED_SEGMENTS from RA_CUSTOMER_TRX_ALL2_DFV) idfv  WHERE trx_v.row_id = idfv."'ARINT_ROW_ID'"(+)
   and trx_v.incremental_flag = 'Y' and trx_v.language in ('US'))
   PIVOT(max(OPERATING_UNIT) as OPERATING_UNIT, max(LEDGER_CURRENCY) as LEDGER_CURRENCY, max(TRANSACTION_CURRENCY) as TRANSACTION_CURRENCY,
   max(TRANSACTION_CLASS) as TRANSACTION_CLASS
   for LANGUAGE in ('US' "US"))</t>
  </si>
  <si>
    <t>Lease Contracts</t>
  </si>
  <si>
    <t>okl-ar-cm-appl</t>
  </si>
  <si>
    <t>Credit Memo Applications</t>
  </si>
  <si>
    <t>SELECT  * FROM    (
					SELECT  cmv.*,trx_t.org_id
					FROM    okl_ar_cm_appl_v cmv
							,okl_ecc_trx_process_t trx_t
					WHERE   cmv.payment_schedule_id = trx_t.payment_schedule_id
					)</t>
  </si>
  <si>
    <t>okl-ar-trx-appl</t>
  </si>
  <si>
    <t>Lease Invoice Applications</t>
  </si>
  <si>
    <t>SELECT * from (SELECT  /*+cardinality(trx_t 100) */ trx_appl.*,trx_t.org_id org_id
						 FROM okl_ar_inv_appl_v        trx_appl,
							  okl_ecc_trx_process_t    trx_t
						 WHERE trx_appl.payment_schedule_id = trx_t.payment_schedule_id
						    AND trx_t.incremental_flag = 'N'
						   AND language in ('US') )
						   PIVOT (max(CURRENCY) as CURRENCY
						 for LANGUAGE in ('US' "US"))</t>
  </si>
  <si>
    <t>okl-ar-trx-lines</t>
  </si>
  <si>
    <t>Lease Invoice Lines</t>
  </si>
  <si>
    <t>SELECT * from (SELECT /*+cardinality(trxl_v.trx 10) */ trxl_v.*
			  FROM okl_ari_ecc_trxl_v        trxl_v,
				   okl_ecc_trx_process_t    trx_t
			 WHERE trxl_v.payment_schedule_id = trx_t.payment_schedule_id
			  AND trx_t.incremental_flag = 'N'
			   AND language in ('US') )
			 PIVOT (max(STREAM_TYPE) as STREAM_TYPE,
					max(STREAM_PURPOSE_MEANING) as STREAM_PURPOSE_MEANING
					for LANGUAGE in ('US' "US"))</t>
  </si>
  <si>
    <t>okl-ar-trx</t>
  </si>
  <si>
    <t>25s</t>
  </si>
  <si>
    <t>Lease Outstanding Receivables</t>
  </si>
  <si>
    <t>SELECT * from (SELECT
                /*+ leading(trx_v.trx, ps) full(trx_v.trx)
		cardinality(trx_v.trx 10)
              index(trx_v.org, HR_ALL_ORGANIZATION_UNTS_TL_PK)
              index(trx_v.ps, AR_PAYMENT_SCHEDULES_N2)
              index(trx_v.u_bill, HZ_CUST_SITE_USES_U1)
              index(trx_v.u_ship, HZ_CUST_SITE_USES_U1)
              index(trx_v.types, RA_CUST_TRX_TYPES_U1)
                         */
                trx_v.*,
			   to_number(trx_v.CREDIT_APPLIED_DATE-trx_v.TRANSACTION_DATE) app_Date_diff,
			   trx_t.aging_bucket as aging_buckets,
			   trx_t.ar_aging_bucket as ar_aging_buckets,
			   To_Char(trx_t.discount_amt,
					   fnd_currency.get_format_mask(trx_v.currency_code, 40)) discount_amount_f,
			   trx_t.discount_date discount_expiration_date,
			   trx_t.discount_flag,
			   trx_t.discount_amt discount_amount,
                           (nvl(trx_v.accounted_amount_applied,0) - (nvl(trx_v.accounted_amount_credited,0) + nvl(trx_v.accounted_amount_adjusted,0))) closed_amount,  -- Added by kgopiset 30869903
 			   To_Char(Nvl(ps.amount_in_dispute, To_Number(0)),
					   fnd_currency.get_format_mask(trx_v.transaction_currency_code, 40)) open_disputed_amount_f
			  FROM okl_ari_ecc_trx_v        trx_v,
				   okl_ecc_trx_process_t    trx_t,
				   ar_payment_schedules_all ps
			 WHERE trx_v.payment_schedule_id = trx_t.payment_schedule_id
			   AND ps.payment_schedule_id = trx_t.payment_schedule_id
         		   AND language in ('US') )
			 PIVOT (max(TRANSACTION_CLASS) as TRANSACTION_CLASS,
					max(CREDIT_MEMO_REASON) as CREDIT_MEMO_REASON,
					max(OPERATING_UNIT) as OPERATING_UNIT,
					max(TRANSACTION_CURRENCY) as TRANSACTION_CURRENCY,
					max(LEDGER_CURRENCY) as LEDGER_CURRENCY,
					max(CURRENCY) as CURRENCY
					  for LANGUAGE in ('US' "US"))</t>
  </si>
  <si>
    <t>23s</t>
  </si>
  <si>
    <t>okl-unapp-cash_inv</t>
  </si>
  <si>
    <t>Lease Unapplied Cash Invoices</t>
  </si>
  <si>
    <t>SELECT * from (SELECT rcpt_v.*
  FROM OKL_ECC_OPEN_ITEMS_INV_V rcpt_v , okl_ecc_trx_process_t process_t
 WHERE rcpt_v.payment_schedule_id = process_t.payment_schedule_id
   AND language in ('US')  )
   PIVOT(
          max(STREAM_PURPOSE_MEANING) as STREAM_PURPOSE_MEANING,
          max(ASSET_NUMBER) as ASSET_NUMBER
          for LANGUAGE in ('US' "US"))</t>
  </si>
  <si>
    <t>okl-unapp-cash</t>
  </si>
  <si>
    <t>Lease Unapplied Cash</t>
  </si>
  <si>
    <t>SELECT * from (SELECT rcpt_v.*,trx_t.org_id org_id,
                                    trx_t.aging_bucket as receipt_aging
  FROM OKL_ECC_OPEN_ITEMS_V rcpt_v, okl_ecc_process_t process_t,
       okl_ecc_trx_process_t trx_t
 WHERE rcpt_v.transaction_id = process_t.id
    AND rcpt_v.payment_schedule_id = trx_t.payment_schedule_id
    AND trx_t.incremental_flag = 'N'
    AND language in ('US')
    AND process_t.record_type = 'ARCASHRCPT'
                                        )
   PIVOT(max(OPERATING_UNIT) as OPERATING_UNIT, max(LEDGER_CURRENCY) as LEDGER_CURRENCY, max(CUSTOMER) as CUSTOMER,
          max(TXN_TYPE) as TXN_TYPE,
          max(TRANSACTION_CURRENCY) as TRANSACTION_CURRENCY
          for LANGUAGE in ('US' "US"))</t>
  </si>
  <si>
    <t>okl-cash-alloc</t>
  </si>
  <si>
    <t>Lease Receipt Allocations</t>
  </si>
  <si>
    <t>SELECT * from (SELECT appl.*, process_t.org_id org_id
		   FROM okl_rcpt_allocations_uv appl,
				okl_ecc_process_t process_t
		 WHERE appl.cash_receipt_id = process_t.id
       		   AND language in ('US')
		   AND process_t.incremental_flag = 'N'
		   AND process_t.record_type = 'ARCASHRCPT')
		 PIVOT (max(CURRENCY) as CURRENCY
			  for LANGUAGE in ('US' "US"))</t>
  </si>
  <si>
    <t>okl-cash-appl</t>
  </si>
  <si>
    <t>Lease Receipt Applications</t>
  </si>
  <si>
    <t>SELECT * from (SELECT appl.*,process_t.org_id org_id
		   FROM okl_rcpt_applications_uv appl,
				okl_ecc_process_t process_t
		 WHERE appl.cash_receipt_id = process_t.id
       		   AND language in ('US')
		   AND process_t.incremental_flag = 'N'
		   AND process_t.record_type = 'ARCASHRCPT')
		PIVOT (max(CURRENCY) as CURRENCY
			  for LANGUAGE in ('US' "US"))</t>
  </si>
  <si>
    <t>FAILURE</t>
  </si>
  <si>
    <t>okl-cash</t>
  </si>
  <si>
    <t>Lease Receipts</t>
  </si>
  <si>
    <t xml:space="preserve">Failed as one of the load rules failed which is [id =  35,171,  OKL_AR_ECC_UTIL_PVT.GET_ECC_DATA_LOAD_INFO]. Please check the load rule audit entry for more details.. </t>
  </si>
  <si>
    <t xml:space="preserve">There is SQLException while applying load rule for dataset okl-cash for job 64,147.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</si>
  <si>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okl-mtr-errors</t>
  </si>
  <si>
    <t>Lease Meter Errors</t>
  </si>
  <si>
    <t>SELECT  *
FROM    ( SELECT  DISTINCT
                to_char (a.id)
                || to_char (a.ocr_id)
                || to_char (a.error_seq_number) ecc_spec_id
               ,a.error_seq_number
               ,a.error_type
               ,a.error_code
               ,CASE
                WHEN    b.trx_status_code = 'DISCARDED'
                        THEN    NULL
                ELSE    a.error_current_yn END error_current_yn
               ,a.message_text
               ,(SELECT  batch_name
                FROM    okl_ctr_reading_batches_all
                WHERE   id = b.ocb_id) batch_name
               ,(SELECT  source_type_code
                FROM    okl_ctr_reading_batches_all
                WHERE   id = b.ocb_id) channel
               ,b.contract_number
               ,cct.name counter_name
               ,to_char (nvl (okl_meter_util_pvt.get_usage_end_period_date (b.counter_id
                                                                           ,b.khr_id
                                                                           ,b.kle_id
                                                                           ,b.value_timestamp)
                             ,b.value_timestamp)
                        ,'yyyy-mm') reading_period
               ,(SELECT  vendor_name
                FROM    po_vendors
                WHERE   vendor_id = oeu.vendor_id) vendor_name
               ,mit.description usage_item_name
               ,mit.language language_code
               ,mit.organization_id org_id
               ,(
                SELECT  fa.manufacturer_name manufacturer_name
                FROM    fa_categories_b cat
                       ,fa_book_controls fbc
                       ,fa_books fb
                       ,fa_additions_b fa
                       ,fa_methods fm
                       ,okc_k_lines_b cle
                       ,okc_k_items item
                WHERE   item.cle_id = cle.id
                AND     fa.asset_id = to_number (item.object1_id1)
                AND     cat.category_id = fa.asset_category_id
                AND     fbc.book_type_code = fb.book_type_code
                AND     nvl (trunc (fbc.date_ineffective)
                            ,trunc (sysdate) + 1) &gt; trunc (sysdate)
                AND     fb.asset_id = fa.asset_id
                AND     fb.transaction_header_id_out IS NULL
                AND     fb.date_ineffective IS NULL
                AND     fb.deprn_method_code = fm.method_code
                AND     fb.life_in_months = fm.life_in_months
                AND     book_class = 'CORPORATE'
                AND     cle.cle_id = b.kle_id
                ) manufacturer_name
        FROM    okl_ctr_reading_errors a
               ,okl_counter_readings b
               ,okl_ecc_usage_vendor_v oeu
               ,csi_counters_tl cct
               ,mtl_system_items_tl mit
        WHERE   a.ocr_id = b.id
        AND     b.khr_id = oeu.contract_id (+)
        AND     nvl(b.value_timestamp,sysdate)&gt;(sysdate -365*nvl(fnd_profile.value ('OKL_ECC_MM_HIST_YEARS'),1))
        AND     cct.counter_id = b.counter_id
        AND     mit.inventory_item_id = b.usage_item_id
        AND     mit.language = cct.language
	AND     mit.language in ('US')
        AND     (((oeu.asset_line_id IS NULL) OR (b.kle_id = oeu.asset_line_id)) AND
                ((oeu.usage_item_id IS NULL) OR (b.usage_item_id = oeu.usage_item_id)))
        AND     a.ocr_id IN (
                SELECT  oce.ocr_id
                FROM    okl_ctr_reading_errors oce
                       ,okl_counter_readings ocr
                WHERE   oce.ocr_id = ocr.id
		AND   (to_Date(oce.last_update_Date,'dd-mon-yyyy') &gt;=  to_Date('27-APR-20','dd-mon-yyyy') or to_Date(ocr.last_update_Date,'dd-mon-yyyy') &gt;=  to_Date('27-APR-20','dd-mon-yyyy') or (SELECT max(to_date(last_update_date,'dd-mon-yyyy')) FROM csi_counter_readings WHERE counter_id = ocr.counter_id) &gt;=to_Date('27-APR-20','dd-mon-yyyy')
         ))
        ORDER BY ecc_spec_id ASC
                ,error_seq_number ASC
        ) pivot (max(usage_item_name) as usage_item_name, max(counter_name) as counter_name for language_code in('US' "US"))</t>
  </si>
  <si>
    <t>okl-ecc-reads</t>
  </si>
  <si>
    <t>Lease Meter Readings Information</t>
  </si>
  <si>
    <t>SELECT  *
FROM    (SELECT  ecv.contract_id|| '-'|| ecv.contract_line_id|| '-'|| ecv.counter_id|| '-'|| ecv.vendor_site|| '-'|| ecv.period_number|| '-'|| nvl (ecv.id,0) ecc_spec_id
               ,ecv.language_code language_code
               ,ecv.counter_name counter_name
               ,ecv.ubb_price_name ubb_price_name
               ,ecv.price_list_description price_list_description
               ,ecv.usage_item_name1 usage_item_name1
               ,ecv.asset_number asset_number
               ,ecv.item_name item_name
               ,ecv.cons_counter_name cons_counter_name
               ,ecv.counter_description counter_description
               ,ecv.operating_unit operating_unit
               ,ecv.operating_unit_short_code operating_unit_short_code
               ,ecv.contract_status contract_status
               ,decode(ecv.contract_status_code ,'TERMINATED',1,'EXPIRED',1,0) contract_termination_status
               ,ecv.line_status line_status
               ,ecv.contract_number contract_number
               ,ecv.contract_id contract_id
               ,ecv.contract_operating_unit_id contract_operating_unit_id
               ,ecv.org_id org_id
               ,ecv.contract_status_code contract_status_code
               ,ecv.contract_currency contract_currency
               ,ecv.contract_template_indicator contract_template_indicator
               ,ecv.contract_template_name contract_template_name
               ,ecv.contract_signed_date contract_signed_date
               ,ecv.contract_termination_date contract_termination_date
               ,ecv.contract_start_date contract_start_date
               ,ecv.contract_end_date contract_end_date
               ,ecv.customer_account_id customer_account_id
               ,ecv.cust_bill_to_site_use_id cust_bill_to_site_use_id
               ,ecv.contract_orig_system_source contract_orig_system_source
               ,ecv.vendor_program vendor_program
               ,ecv.khr_id khr_id
               ,ecv.contract_line_id contract_line_id
               ,ecv.vendor_program_id vendor_program_id
               ,ecv.contract_financial_product_id contract_financial_product_id
               ,ecv.contract_financial_product contract_financial_product
               ,ecv.contract_fin_prod_desc contract_fin_prod_desc
               ,ecv.contract_legal_entity_id contract_legal_entity_id
               ,ecv.contract_status_type_code contract_status_type_code
               ,ecv.total_number_of_assets total_number_of_assets
               ,ecv.functional_currency functional_currency
               ,ecv.ledger_id ledger_id
               ,ecv.ledger ledger
               ,ecv.contract_sales_rep contract_sales_rep
               ,ecv.legal_entity legal_entity
               ,ecv.customer_party_number customer_party_number
               ,ecv.customer_party_name customer_party_name
               ,ecv.customer_party_type customer_party_type
               ,ecv.customer_sic_code customer_sic_code
               ,ecv.customer_duns_number customer_duns_number
               ,ecv.customer_alias customer_alias
               ,ecv.customer_country customer_country
               ,ecv.customer_address1 customer_address1
               ,ecv.customer_address2 customer_address2
               ,ecv.customer_address3 customer_address3
               ,ecv.customer_address4 customer_address4
               ,ecv.customer_city customer_city
               ,ecv.customer_postal_code customer_postal_code
               ,ecv.customer_state customer_state
               ,ecv.customer_province customer_province
               ,ecv.customer_county customer_county
               ,ecv.customer_sic_code_type customer_sic_code_type
               ,ecv.customer_url customer_url
               ,ecv.customer_email customer_email
               ,ecv.customer_phone customer_phone
               ,ecv.customer_fax customer_fax
               ,ecv.customer_prim_phone_purpose customer_prim_phone_purpose
               ,ecv.customer_prim_phone_type customer_prim_phone_type
               ,ecv.customer_prim_ph_country_code customer_prim_ph_country_code
               ,ecv.customer_prim_ph_area_code customer_prim_ph_area_code
               ,ecv.customer_prim_phone_number customer_prim_phone_number
               ,ecv.customer_prim_phone_extn customer_prim_phone_extn
               ,ecv.customer_home_country customer_home_country
               ,ecv.customer_status customer_status
               ,ecv.customer_party_id customer_party_id
               ,ecv.customer_account_number customer_account_number
               ,ecv.customer_acc_dff_category customer_acc_dff_category
               ,ecv.customer_account_status customer_account_status
               ,ecv.customer_type customer_type
               ,ecv.customer_sales_channel customer_sales_channel
               ,ecv.customer_acc_estab_date customer_acc_estab_date
               ,ecv.customer_account_name customer_account_name
               ,ecv.customer_account_comments customer_account_comments
               ,ecv.customer_last_status_upd_dt customer_last_status_upd_dt
               ,ecv.serial_number serial_number
               ,ecv.counter_id counter_id
               ,ecv.counter_group_id counter_group_id
               ,tl.description frequency
               ,ecv.counter_value_id counter_value_id
               ,ecv.value_timestamp value_timestamp
               ,ecv.counter_reading counter_reading
               ,ecv.net_reading net_reading
               ,ecv.period_number period_number
               ,ecv.period_name period_name
               ,ecv.period_meter_read period_meter_read
               ,ecv.period_due_date period_due_date
               ,ecv.read_received_flag read_received_flag
               ,ecv.period_last_read_dt period_last_read_dt
               ,ecv.last_update_date last_update_date
               ,ecv.asset_id asset_id
               ,ecv.ubb_price_list_id ubb_price_list_id
               ,ecv.usage_line_id usage_line_id
               ,ecv.usage_item_id usage_item_id
               ,ecv.request_id request_id
               ,ecv.last_read_date last_read_date
               ,ecv.usage_period_start_date usage_period_start_date
               ,ecv.usage_period_end_date usage_period_end_date
               ,ecv.missed_read missed_read
               ,ecv.usage_line_start_date usage_line_start_date
               ,ecv.usage_line_end_date usage_line_end_date
               ,ecv.srvc_usage_line_start_date srvc_usage_line_start_date
               ,ecv.srvc_usage_line_end_date srvc_usage_line_end_date
               ,ecv.line_status_code line_status_code
               ,ecv.ctr_period_num ctr_period_num
               ,ecv.usage_item_name usage_item_name
               ,ecv.allowance allowance
               ,ecv.accured_allowance accured_allowance
               ,ecv.overage overage
               ,ecv.overage_rate overage_rate
               ,
                (
                SELECT  count (DISTINCT counter_id)
                FROM    okl_ecc_sch_meters_t esm
                WHERE   esm.contract_id = ecv.contract_id
                GROUP BY contract_id
                ) no_of_counters
               ,ecv.id id
               ,ecv.ocb_id ocb_id
               ,ecv.instance_number instance_number
               ,ecv.tag_number tag_number
               ,ecv.cons_counter_id cons_counter_id
               ,ecv.okl_value_timestamp okl_value_timestamp
               ,ecv.reading_uom_code reading_uom_code
               ,ecv.counter_reading_type counter_reading_type
               ,ecv.okl_counter_reading okl_counter_reading
               ,ecv.counter_meter_type counter_meter_type
               ,ecv.source_transaction_date source_transaction_date
               ,ecv.okl_counter_value_id okl_counter_value_id
               ,ecv.reset_mode reset_mode
               ,ecv.reset_reason reset_reason
               ,ecv.adjustment_type adjustment_type
               ,ecv.adjustment_reading adjustment_reading
               ,ecv.okl_net_reading okl_net_reading
               ,ecv.trx_status_code trx_status
               ,(select meaning from fnd_lookup_values where 	LOOKUP_TYPE ='OKL_METER_READS_STATUS_TYPE' and nvl(END_DATE_ACTIVE,sysdate+1) &gt;= sysdate and LOOKUP_CODE = ecv.trx_status_code and language = language_code ) trx_status_code
               ,ecv.ocr_id ocr_id
               ,ecv.prior_ocb_id prior_ocb_id
               ,ecv.comments comments
               ,ecv.security_group_id security_group_id
               ,ecv.object_version_number object_version_number
               ,ecv.processed_reads processed_reads
               ,ecv.error_reads error_reads
               ,ecv.okl_last_read_date okl_last_read_date
               ,ecv.okl_last_meter_read okl_last_meter_read
               ,ecv.batch_name batch_name
               ,(select meaning from fnd_lookup_values where 	LOOKUP_TYPE ='OKL_METER_READS_STATUS_TYPE' and nvl(END_DATE_ACTIVE,sysdate+1) &gt;= sysdate and LOOKUP_CODE = ecv.batch_status_code and language = language_code )batch_status_code
               ,ecv.batch_date batch_date
               ,CASE
                WHEN    crb.batch_reference_external IS NULL
                        THEN (select meaning from fnd_lookup_values where LOOKUP_TYPE = 'OKL_ECC_MM_SRC_MAPING' and nvl(END_DATE_ACTIVE,sysdate+1) &gt;= sysdate and LOOKUP_CODE = crb.source_type_code and language = language_code)
                ELSE    crb.batch_reference_external END source_type_code
               ,ecv.customer_address customer_address
               ,ecv.state state
               ,ecv.country country
               ,ecv.city city
               ,ecv.address1 address1
               ,ecv.email_address email_address
               ,ecv.primary_phone_line_type primary_phone_line_type
               ,ecv.vendor_phone vendor_phone
               ,ecv.vendor_site vendor_site
               ,ecv.vendor_address vendor_address
               ,ecv.vendor_email vendor_email
               ,ecv.zip zip
               ,ecv.fax fax
               ,ecv.vendor_name vendor_name
               ,ecv.vendor_number vendor_number
               ,ecv.fa_corp_category fa_corp_category
               ,ecv.asset_category asset_category
               ,ecv.manufacturer_name manufacturer_name
               ,ecv.model model
               ,ecv.due_read due_read
               ,ecv.rd_missed_read rd_missed_read
               ,
                (
                SELECT  1
                FROM    dual
                WHERE   ecv.read_received_flag = 'Y'
                AND     ecv.period_due_date &lt;= nvl ((okl_meter_util_pvt.get_usage_end_period_date (ecv.counter_id
                                                                                                      ,ecv.contract_id
                                                                                                      ,ecv.contract_line_id
                                                                                                      ,sysdate))
                                                   ,sysdate)
                ) received_read
               ,ecv.schedule_reads schedule_reads
               ,flv2.description enter_action
               ,flv1.description update_action
        FROM    okl_ecc_mtr_reads_v ecv
               ,mtl_units_of_measure_tl tl
               ,okl_ctr_reading_batches_all crb
               ,fnd_lookup_values flv1
               ,fnd_lookup_Values flv2
        WHERE   tl.uom_code = frequency
        AND     ecv.ocb_id = crb.id (+)
  	AND     flv1.LOOKUP_TYPE ='OKL_ECC_ACTION_EVENTS'
	AND     flv1.LOOKUP_CODE = 'UPDATE'
	AND  nvl(flv1.END_DATE_ACTIVE,sysdate+1) &gt;= sysdate
	AND     flv2.LOOKUP_TYPE ='OKL_ECC_ACTION_EVENTS'
	AND     flv2.LOOKUP_CODE = 'ENTER'
	AND  nvl(flv2.END_DATE_ACTIVE,sysdate+1) &gt;= sysdate
        AND     flv1.language = ecv.language_code
        AND     flv1.language = flv2.language
        AND     tl.language = ecv.language_code
	AND     ecv.language_code in ('US')
        ) PIVOT (MAX(ITEM_NAME) AS ITEM_NAME, MAX(FREQUENCY) AS FREQUENCY, MAX(CONTRACT_STATUS) AS CONTRACT_STATUS,
		 MAX(COUNTER_NAME) AS COUNTER_NAME, MAX(COUNTER_DESCRIPTION) AS COUNTER_DESCRIPTION, MAX(UBB_PRICE_NAME) AS UBB_PRICE_NAME ,
		 MAX(PRICE_LIST_DESCRIPTION) AS PRICE_LIST_DESCRIPTION , MAX(CONS_COUNTER_NAME) AS CONS_COUNTER_NAME , MAX(OPERATING_UNIT) AS OPERATING_UNIT,
		 MAX(OPERATING_UNIT_SHORT_CODE) AS OPERATING_UNIT_SHORT_CODE, MAX(USAGE_ITEM_NAME1) AS USAGE_ITEM_NAME1, MAX(LINE_STATUS) AS LINE_STATUS,
                 MAX(ENTER_ACTION) AS ENTER_ACTION,MAX(UPDATE_ACTION) AS UPDATE_ACTION,MAX(SOURCE_TYPE_CODE) AS SOURCE_TYPE_CODE,
                 MAX(TRX_STATUS_CODE) AS TRX_STATUS_CODE,MAX(BATCH_STATUS_CODE) AS BATCH_STATUS_CODE
		for language_code in  ('US' "US"))</t>
  </si>
  <si>
    <t>select distinct ecc_spec_id from (
select ecv1.contract_id||'-'|| ecv1.contract_line_id||'-'|| ecv1.counter_id||'-'|| ecv1.vendor_site||'-'|| ecv1.period_number||'-'||0 ecc_spec_id from okl_ecc_mtr_Reads_v ecv1
union
select ecv.contract_id||'-'|| ecv.contract_line_id||'-'|| ecv.counter_id||'-'|| ecv.vendor_site||'-'|| ecv.period_number||'-'||nvl(ecv.id,0) ecc_spec_id
from okl_ecc_mtr_Reads_v ecv)</t>
  </si>
  <si>
    <t>okl-couter-ar</t>
  </si>
  <si>
    <t>Lease Invoice Information</t>
  </si>
  <si>
    <t>select * from (SELECT  distinct
      oec.ecc_spec_id
     ,oec.invoice_num
     ,oec.customer_name
     ,oec.site_use_id
     ,oec.currency_code
     ,oec.due_date
     ,oec.amount
     ,oec.balance
     ,oec.ar_invoice_id
     ,oec.usage_period
     ,oec.invoice_date
	   ,oec.bill_to_site_use_id
  	 ,oec.customer_acct_id
     ,oec.org_id
     ,oec.CUSTOMER_NUMBER
     ,oec.contract_number
     ,oec.asset_number
     ,payout_basis.description payout_basis
     ,payment_basis.description payment_basis
     ,payout_basis.language
     ,oec.contract_id
   	 ,oec.invoice_line_number
     ,oec.line_type
     ,oec.line_amount
     ,oec.tax_amount
	   ,oec.revenue_amount
  	 ,oec.amount_due_remaining
     ,oec.receivable_application_id
     ,oec.cash_receipt_id
     ,oec.customer_trx_id
     ,oec.customer_trx_line_id
     ,oec.invoice_number
     ,oec.stream_type
		 ,oec.due_date_receipt
     ,oec.balance_amount
     ,oec.applied_amount
     ,oec.line_applied
     ,oec.tax_applied
     ,oec.line_balance
     ,oec.tax_balance
     ,oec.original_applied_amount
     ,oec.total_line_amount
     ,oec.gl_date
		 ,oec.invoice_currency_code
     ,oec.receipt_number
		 ,oec.TAX_CURRENT_AMOUNT_DUE
		 ,oec.ORIGINAL_LINE_APPLIED
		 ,oec.ORIGINAL_TAX_APPLIED
		 ,oec.ORIGINAL_GL_DATE
     ,oec.vendor
     ,oec.vendor_site
		 ,oec.ar_link
     ,oec.ap_inv_num
     ,oec.invoice_amount
     ,oec.line_number
     ,oec.ap_line_amount
     ,oec.ap_tax_amount
     ,oec.payment_date
     ,oec.payment_number
     ,oec.ap_inv_date
     ,oec.paid_amount
     ,oec.receipt_date
FROM  okl_ecc_charges_data oec
       ,fnd_lookup_values payout_basis
       ,fnd_lookup_values payment_basis
WHERE   payout_basis.lookup_code = oec.payout_basis
AND     payout_basis.lookup_type = 'OKL_PAYOUT_BASIS'
AND     payment_basis.lookup_code = oec.payment_basis
AND     payment_basis.lookup_type = 'OKL_PAYMENT_BASIS'
AND     payment_basis.language = payout_basis.language
AND     payment_basis.language in ('US')
AND     oec.spec_flag ='I')
 PIVOT
			        (MAX(payout_basis) AS payout_basis,
							 MAX(payment_basis) AS payment_basis
			         for language in('US' "US"))</t>
  </si>
  <si>
    <t>select ecc_spec_id
  from OKL_ECC_CHARGES_DATA
  where spec_flag = 'D'</t>
  </si>
  <si>
    <t>okl-batch-details</t>
  </si>
  <si>
    <t>Lease Batch Details</t>
  </si>
  <si>
    <t>select * from (
				SELECT  'OKL - '|| to_char (ccr.khr_id)|| to_char (crb.id) ecc_spec_id
				       ,'OKL' record_type
				       ,ccr.contract_number
				       ,ccr.khr_id
				       ,crb.id batch_id
				       ,crb.batch_name
				       ,crb.batch_reference_external
				       ,crb.batch_date
				       ,flv.meaning batch_status_code
                		       ,decode (crb.batch_reference_external,NULL,flv2.lookup_code ,crb.batch_reference_external) reading_source_code
				       ,crb.batch_status_code batch_status
				       ,decode(crb.batch_reference_external,null,flv2.meaning,crb.batch_reference_external) source_type_code
				       ,pov.vendor_name
				       ,oeu.vendor_id vendor_id
				       ,pov.segment1 vendor_number
				       ,(SELECT count(1) FROM okl_counter_readings ccr WHERE ccr.ocb_id = crb.id) total_reads
				       ,(SELECT count(1) FROM okl_counter_readings ccr WHERE ccr.ocb_id = crb.id AND ccr.trx_status_code = 'PROCESSED') total_passed
				       ,(SELECT count(1) FROM okl_counter_readings ccr WHERE ccr.ocb_id = crb.id AND ccr.trx_status_code = 'ERROR') total_error
				       ,(SELECT count(1) FROM okl_counter_readings ccr WHERE ccr.ocb_id = crb.id AND ccr.trx_status_code IN ('PASSED','PENDING')) total_pending
				       ,(SELECT count(1) FROM okl_counter_readings ccr WHERE ccr.ocb_id = crb.id AND ccr.trx_status_code = ('DISCARDED')) total_discarded
				       ,(SELECT count(1) FROM okl_counter_readings ccr WHERE ccr.ocb_id = crb.id AND ccr.trx_status_code = ('WARNING')) total_warning
				       ,flv1.description update_reads
				       ,(SELECT  inv_organization_id FROM    okc_k_headers_all_b  WHERE   id = ccr.khr_id) org_id
				        ,flv.language language_code
				FROM    okl_ctr_reading_batches_all crb
				       ,okl_counter_readings ccr
				       ,okl_ecc_usage_vendor_v oeu
				       ,po_vendors pov
				       ,fnd_lookup_values flv
				       ,fnd_lookup_values flv1
				       ,fnd_lookup_values flv2
				WHERE   crb.id (+) = ccr.ocb_id
				AND     oeu.contract_id (+) = ccr.khr_id
				AND     oeu.asset_line_id (+) = ccr.kle_id
				AND     pov.vendor_id (+) = oeu.vendor_id
				AND     flv.LOOKUP_TYPE ='OKL_METER_READS_STATUS_TYPE'
				AND     flv.LOOKUP_CODE = crb.batch_status_code
				and     nvl(flv.END_DATE_ACTIVE,sysdate+1) &gt;= sysdate
				AND     flv1.LOOKUP_TYPE ='OKL_ECC_ACTION_EVENTS'
				AND     flv1.LOOKUP_CODE = 'UPDATE'
				and     nvl(flv1.END_DATE_ACTIVE,sysdate+1) &gt;= sysdate
				AND     flv2.LOOKUP_TYPE = 'OKL_ECC_MM_SRC_MAPING'
				AND     flv2.LOOKUP_CODE = crb.source_type_code
				and     nvl(flv2.END_DATE_ACTIVE,sysdate+1) &gt;= sysdate
				AND     flv2.language = flv1.language
				AND     flv.language = flv1.language(+)
				AND     flv.language in ('US')
                                AND     nvl (ccr.value_timestamp,batch_date)&gt; (sysdate -365*nvl(fnd_profile.value ('OKL_ECC_MM_HIST_YEARS'),1))
				AND (to_date(CRB.last_update_Date,'dd-mon-yyyy') &gt;=  to_Date('27-APR-20','dd-mon-yyyy') or to_date(CCR.last_update_Date,'dd-mon-yyyy') &gt; to_date('27-APR-20','dd-mon-yyyy') or (select max(to_Date(last_update_Date,'dd-mon-yyyy')) from csi_counter_Readings where counter_id = ccr.counter_id) &gt;=  to_date('27-APR-20','dd-mon-yyyy') or (select max( to_Date(last_update_Date,'dd-mon-yyyy')) from okl_ctr_reading_errors where ocr_id = ccr.id)&gt;=  to_date('27-APR-20','dd-mon-yyyy'))
				GROUP BY ccr.contract_number
				        ,ccr.khr_id
				        ,crb.id
				        ,crb.batch_name
				        ,crb.batch_reference_external
				        ,crb.batch_date
				        ,flv.meaning
				        ,crb.source_type_code
				        ,pov.vendor_name
				        ,oeu.vendor_id
				       ,flv1.description
				       ,flv2.meaning
				       ,crb.batch_status_code
				       ,flv2.lookup_code
				       ,pov.segment1,flv.language)
					pivot
					(max(batch_status_code) as batch_status_code,
					max(source_type_code) as source_type_code ,
					max(update_reads) as update_reads for language_code in('US' "US"))</t>
  </si>
  <si>
    <t>okl-vcf-summary</t>
  </si>
  <si>
    <t>Lease Vendor Cash Summary</t>
  </si>
  <si>
    <t>SELECT * FROM
(SELECT
    contract_id||ovs.contract_number||cle_id||customer_trx_line_id||line_type ECC_SPEC_ID, --Bug 29994283 removed summarization date
    contract_id,
    ovs.contract_number,
    cle_id,
    customer_trx_line_id,
    line_type,
    ar_inv_number,
    nvl(asset_number,'  ') asset_number,  --bug 30047715 blanking out of consolidated tab
    ar_inv_line_amt,
    receipt_amt_applied,
    remaining_balance,
    ap_inv_line_amount,
    ap_line_amount_paid,
    summarization_date,
    nvl(sttl.name,'  ') PASSTHRU_STREAM_PURPOSE,
    stream_amount,
    nvl(sttl.language,'US') language_code,
    ovs.org_id,
    clawback_flag
FROM
    okl_ecc_vcf_summary_v ovs,
    okl_strm_type_tl sttl
WHERE  ovs.passthru_stream_type_id = sttl.id(+)
AND    sttl.language in('US')
AND    processing_status_flag='I')
PIVOT            (MAX(passthru_stream_purpose) AS passthru_stream_purpose
                  FOR language_code IN ('US' "US"))</t>
  </si>
  <si>
    <t>select contract_id||contract_number||cle_id||customer_trx_line_id||line_type ecc_spec_id
                               from okl_ecc_vcf_summary_v
                               where processing_status_flag='D'</t>
  </si>
  <si>
    <t>okl-vendor-cash</t>
  </si>
  <si>
    <t>Lease Vendor Cash Flow</t>
  </si>
  <si>
    <t>SELECT * FROM
( SELECT spec_id ECC_SPEC_ID,
        vcf.contract_id,
        vcf.contract_number,
        nvl(khr_sts.language,'  ') language_code,
        vcf.name,
        vcf.account_number,
        khr_sts.meaning  sts_code,
        vcf.currency_code,
        vcf.org_id,
        vcf.cle_id,
        vcf.p_cle_id,
        decode(vcf.lse_id,57,OKL_ECC_VCF_PVT.get_usage_line_name(vcf.p_cle_id,vcf.lse_id),49,OKL_ECC_VCF_PVT.get_usage_line_name(vcf.p_cle_id,vcf.lse_id),khr_line.name) line_name,
        vcf.line_id,
        vcf.lse_id,
        nvl(vcf.asset_number,'  ')  asset_number, --bug 30047715
        vcf.sel_id,
        vcf.passthru_stream_type_id,
        (SELECT nvl(max(sttl.name),'  ') name
        FROM okl_strm_type_tl sttl
        WHERE  sttl.id = vcf.passthru_stream_type_id
        AND sttl.language = khr_sts.language)
        passthru_stream_purpose,
        ( SELECT  fnd.meaning
          FROM    fnd_lookup_values fnd
          WHERE   fnd.lookup_type ='OKL_PAYOUT_BASIS'
          AND     fnd.lookup_code = vcf.payout_basis
          AND     fnd.language    = khr_sts.language
        ) payout_basis,
        ( SELECT  fnd.meaning
          FROM    fnd_lookup_values fnd
          WHERE   fnd.lookup_type = 'OKL_PAYMENT_BASIS'
          AND     fnd.lookup_code = vcf.payment_basis
          AND     fnd.language    = khr_sts.language
        ) payment_basis,
        vcf.line_start_date,
        vcf.line_end_date,
        vcf.line_type,
        vcf.vendor_name,
        vcf.vendor_id,
        to_number(decode(vcf.passthru_stream_type_purpose,'PASS_THROUGH_ADVANCE',to_number(0),vcf.stream_amount)) stream_amount,
        decode(vcf.passthru_stream_type_purpose,'PASS_THROUGH_ADVANCE',null,vcf.stream_period) stream_period,
        nvl(vcf.ap_period,to_char(aps.due_date,'MM-YYYY')) ap_period,
        vcf.ar_period,
        to_date(decode(vcf.passthru_stream_type_purpose,'PASS_THROUGH_ADVANCE',null,to_char(vcf.stream_element_date,'DD-MON-YYYY'))) STREAM_ELEMENT_DATE,
           ( SELECT  fnd.meaning
          FROM    fnd_lookup_values fnd
          WHERE   fnd.lookup_type = 'OKL_PASSTHROUGH_TERM'
          AND     fnd.lookup_code = vcf.passthru_term
          AND     fnd.language    = khr_sts.language
        ) passthru_term,
        ( SELECT  fnd.meaning
          FROM    fnd_lookup_values fnd
          WHERE   fnd.lookup_type = 'OKL_TRANSACTION_STATUS'
          AND     fnd.lookup_code = vcf.ar_pay_status_code
          AND     fnd.language    = khr_sts.language
        ) ar_pay_status_code,
        vcf.ar_inv_format_type,
        vcf.ar_inv_format_line_type,
        vcf.ar_inv_date_disbursed,
        vcf.ar_inv_date_invoiced,
        vcf.ar_inv_amount,
        vcf.tld_id,
        vcf.ar_inv_number,
        vcf.line_number,
        nvl(vcf.ar_inv_line_amt,0) ar_inv_line_amt, --bug 	29440712
        (to_number(decode(vcf.passthru_stream_type_purpose,'PASS_THROUGH_ADVANCE',to_number(0),vcf.stream_amount)) * nvl(vcf.number_of_vendors,1)) calc_strm_line_amt,
        (vcf.ar_inv_line_amt * nvl(vcf.number_of_vendors,1)) calc_ar_line_amt,
        (vcf.receipt_amt_applied * nvl(vcf.number_of_vendors,1)) calc_rec_appl_amt,
        vcf.customer_trx_id,
        vcf.customer_trx_line_id,
        vcf.receipt_number,
        vcf.receipt_amt_applied,
        vcf.remaining_balance,
        vcf.invoice_age,
        vcf.invoice_num,
        ( SELECT  fnd.meaning
          FROM    fnd_lookup_values fnd
          WHERE   fnd.lookup_type = 'OKL_TRANSACTION_STATUS'
          AND     fnd.lookup_code = vcf.ap_invoice_status
          AND     fnd.language    = khr_sts.language
        ) ap_invoice_status,
        ( SELECT  fnd.meaning
          FROM    fnd_lookup_values fnd
          WHERE   fnd.lookup_type = 'OKL_PAYABLES_INVOICE_TYPE'
          AND     fnd.lookup_code = vcf.ap_invoice_type_lookup_code
          AND     fnd.language    = khr_sts.language
        ) ap_invoice_type_lookup_code,
        vcf.invoice_date,
        (vcf.ap_inv_amount-vcf.ap_inv_total_tax_amt) ap_inv_amount, --Bug 29323538
        vcf.applied_inv_number,
        vcf.applied_inv_amount,
        vcf.check_number,
        vcf.check_date,
        vcf.check_amount,
        vcf.ap_invoice_age,
        vcf.number_of_vendors,
        vcf.vendor_site,
        vcf.expected_recv_flag,
        vcf.billed_flag,
        vcf.received_flag,
        vcf.disbursed_flag,
        vcf.clawback_flag,
        vcf.adjustment_flag,
        vcf.payment_status_flag,
        vcf.due_date,
        vcf.ap_pay_amt,
        vcf.hold_count,
        vcf.sel_last_update_date,
        vcf.ar_line_last_update_date,
        vcf.ap_line_last_update_date,
        vcf.payables_inv_number,
        vcf.pay_count,
        vcf.payment_number,
        vcf.payment_date,
        vcf.payment_amount,
        vcf.line_nxt_anniv,
        'Forced Pass-through'  action,
        vcf.receipt_date,
        vcf.payables_inv_date,
        vcf.ap_inv_total_tax_amt,
        vcf.invoice_id,
        nvl(vcf.installment,1) installment,
        vcf.inv_amount_paid,
        vcf.ap_invoice_balance Balance_ap_inv_amt, --Bug 29323538
        vcf.check_id,
        vcf.cash_receipt_id,
        vcf.receivable_application_id,
        vcf.invoice_payment_id,
        vcf.eligible_not_disb_amt,
        nvl(vcf.eligible_not_disb_flag,'u') eligible_not_disb_flag,
        vcf.sgn_code,
        (vcf.ap_inv_line_amount-nvl(ap_line_amount_paid,0)) open_payables,
        vcf.ap_inv_line_number,
        vcf.ap_inv_line_amount,
        vcf.ap_line_amount_paid,
        vcf.receipt_appl_date,
        nvl(vcf.ap_flag,'N') ap_flag,
        nvl(vcf.ap_inv_line_amount,0)-nvl(vcf.ap_line_amount_paid,0) Balance_ap_line_amount,
        nvl(vcf.ap_invoice_type_lookup_code,' ') ap_invoice_type_code
FROM    okl_ecc_vendor_cash_flow_v    vcf,
        okc_statuses_tl           khr_sts,
        okc_k_lines_tl            khr_line,
        ap_payment_schedules_all aps
WHERE   vcf.sts_code =   khr_sts.code
AND     vcf.line_id  =   khr_line.id
AND     vcf.invoice_id = aps.invoice_id(+)
AND     khr_sts.language  =  khr_line.language
AND     vcf.processing_status_flag ='I'
AND     khr_sts.language in('US')
)
PIVOT
         (MAX(sts_code) AS sts_code,
          MAX(line_name) AS line_name,
          MAX(passthru_stream_purpose) AS passthru_stream_purpose,
          MAX(payout_basis) AS payout_basis,
          MAX(payment_basis) AS payment_basis,
          MAX(passthru_term) AS passthru_term,
          MAX(ar_pay_status_code) AS ar_pay_status_code,
          MAX(ap_invoice_status) AS ap_invoice_status,
          MAX(ap_invoice_type_lookup_code) AS ap_invoice_type_lookup_code
          FOR language_code IN ('US' "US"))</t>
  </si>
  <si>
    <t>select spec_id ecc_spec_id
                               from okl_ecc_vendor_cash_flow_v
                               where processing_status_flag='D'</t>
  </si>
  <si>
    <t>okl_arcon_acct_bal</t>
  </si>
  <si>
    <t>Account Balances Summary</t>
  </si>
  <si>
    <t>SELECT * FROM
(SELECT  sum((case when trx_name = 'ACC_STM_BAL'
             then 0
             when trx_name = 'BILL_STM_BAL'
             then 0
             when account_group_code ='UNEARNED_REVENUE'
             then nvl(Entered_cr ,0) - nvl(entered_dr ,0)
             else nvl(entered_dr ,0) - nvl(entered_cr ,0)
        end)) subledger_balance
       ,ort.account_group_code||'-'||ecc.org_id ecc_spec_id
       ,sum (
             (
             SELECT  sum(nvl(amount,0))
             FROM    okl_streams str
                    ,okl_strm_elements ste
                    ,okl_strm_type_b sty
             WHERE   str.id = ste.stm_id
             AND     str.sty_id = sty.id
             AND     str.khr_id = ecc.contract_id
             AND     str.say_code = 'CURR'
             AND     sty.code = ecc.stream_code
             )) stream_full_value
       ,sum(ecc.stream_balance) stream_balance
         ,flv.meaning account_group_code
         ,org_id
         ,ledger_name
         ,ledger_currency
         ,flv.language language_code
         ,(sum((case when trx_name = 'ACC_STM_BAL'
             then 0
             when trx_name = 'BILL_STM_BAL'
             then 0
             when account_group_code ='UNEARNED_REVENUE'
             then nvl(entered_cr ,0) - nvl(entered_dr ,0)
             else nvl(entered_dr ,0) - nvl(entered_cr ,0)
        end))-sum(nvl(ecc.stream_balance,0))) reconciliation_balance
FROM    okl_ecc_acct_recon ecc
       ,okl_report_trx_params ort
       ,okl_reports_b orb
       ,okl_strm_type_b sty
       ,fnd_flex_values ffv
       ,fnd_lookup_values flv
WHERE   processing_status_flag IN ('N','I')
AND     ort.report_id = orb.report_id
AND     orb.report_type_code = 'RECONCILIATION'
AND     ort.sty_id (+) = sty.id
AND     ecc.sty_id = sty.id
AND     ecc.gl_account = ffv.flex_value
AND     ffv.flex_value_id(+) = ort.account_id
AND     flv.lookup_code = ort.account_group_code
AND     flv.lookup_type = 'OKL_REPORT_ACCNT_GROUP'
AND     flv.language in('US')
GROUP BY ort.account_group_code,org_id,ledger_name,ledger_currency,flv.language,flv.meaning)
PIVOT    (MAX(account_group_code) AS ACCOUNT_GROUP_CODE
         for language_code in ('US' "US"))</t>
  </si>
  <si>
    <t>okl_arcon_cont_summ</t>
  </si>
  <si>
    <t>Contract Account Balances Summary</t>
  </si>
  <si>
    <t>SELECT * from
(SELECT CONTRACT_NUMBER,
GL_ACCOUNT,
GL_ACCT_DESCRIPTION,
ENTERED_DR,
ENTERED_CR,
STREAM_CODE,
STREAM_FULL_VALUE,
subledger_balance,
spec_id  ecc_spec_id,
contract_status,
stream_type_purpose,
stream_balance,
flv.meaning account_group_code,
abs_subledger_balance,
org_id,
ledger_name,
ledger_currency,
conversion_rate_date,
conversion_type,
conversion_rate,
(stream_balance * nvl(conversion_rate,1)) acctd_stream_balance,
(stream_full_value * nvl(conversion_rate,1)) acctd_stream_full_value,
(subledger_balance * nvl(conversion_rate,1)) acctd_subledger_balance,
--sty_tl.description stream_description,
flv.language language_code,
flv.meaning account_group,
fundable_amount,
funded_amount,
fundable_remaining,
fundable_remaining * nvl(conversion_rate,1) acctd_fundable_amount,
ocs.account_group_code account_code,
decode(account_group_code,'UNBILLED_RECEIVABLES',(nvl(stream_balance,0)-nvl(subledger_balance,0))
                         ,'RESIDUAL',abs(nvl(stream_balance,0)-nvl(subledger_balance,0))
                         ,'UNEARNED_REVENUE',(nvl(stream_balance,0)-nvl(subledger_balance,0))
                         ,'FUNDABLE_ASSET',abs((nvl(stream_balance,0)-nvl(subledger_balance,0)))
                         ,nvl(stream_balance,0)) unbilled_receivable_bar,
decode(account_group_code,'UNBILLED_RECEIVABLES',(nvl(stream_balance,0)-nvl(subledger_balance,0))
                         ,'RESIDUAL',abs(nvl(stream_balance,0)-nvl(subledger_balance,0))
                         ,'UNEARNED_REVENUE',(nvl(stream_balance,0)-nvl(subledger_balance,0))
                         ,'FUNDABLE_ASSET',abs((nvl(stream_balance,0)-nvl(subledger_balance,0)))
                         ,nvl(stream_balance,0))* nvl(conversion_rate,1) acctd_recv_bar,
currency_code  --bug 30720770
from OKL_ECC_ARCON_CONTRACT_SUMM_V ocs,
     fnd_lookup_values flv
    where 1 =1
    and   flv.lookup_code = ocs.account_group_code
    and   flv.lookup_type = 'OKL_REPORT_ACCNT_GROUP'
    and   flv.language in ('US')
)
PIVOT
         ( --MAX(stream_description) AS stream_description,
          MAX(account_group_code) AS ACCOUNT_GROUP_CODE
        for language_code in ('US' "US"))</t>
  </si>
  <si>
    <t>okl_arcon_quote_summ</t>
  </si>
  <si>
    <t>Lease Quote Summary</t>
  </si>
  <si>
    <t>SELECT * FROM
(select contract_id, Contract_number,to_char(quote_number) quote_number,stream_code,
asset_number,gl_account,gl_acct_description,
sum(formula_value) forecasted_amount,
sum(remaining_balance) remaining_stream_bal,
sum(subledger_value) subledger_bal,
sum(remaining_balance)-sum(formula_value) Quote_adjustnment,
contract_id||'-'||quote_number||'-'||stream_code||'-'||asset_number||'-'||gl_account ecc_spec_id,
org_id,
ledger_name,
ledger_currency
--sty_tl.language language_code
from okl_ecc_arcon_quotes oaq
--okl_strm_type_tl     sty_tl
where processing_status_flag ='I'
and   quote_line_status &lt;&gt; 'CANCELLED'
--and oaq.stream_code = sty_tl.name
group by contract_id, Contract_number, quote_number,asset_number,gl_account,
gl_acct_description,ledger_name,ledger_currency,org_id,stream_code)</t>
  </si>
  <si>
    <t>okl_arcon_quote_dtls</t>
  </si>
  <si>
    <t>Lease Contract Quote Details</t>
  </si>
  <si>
    <t>SELECT * FROM
( SELECT                  CONTRACT_NUMBER,
                          to_char(QUOTE_NUMBER) QUOTE_NUMBER,
                          qte_sts.meaning QUOTE_STATUS,
                          EFFECTIVE_FROM,
                          LINE_NUMBER,
                          ASSET_NUMBER,
                          ASSET_QUANTITY,
                          QUOTE_QUANTITY,
                          AMOUNT,
                        --  UNBILLED_RECEIVABLES,
                        --  RESIDUAL_VALUE,
                          CONTRACT_ID,
                          QTP_CODE,
                          QRS_CODE,
                          QLT_CODE,
                          CURRENCY_CODE,
                          CURRENCY_CONVERSION_RATE,
                          CURRENCY_CONVERSION_TYPE,
                          CURRENCY_CONVERSION_DATE,
                          ltype.meaning line_type,
                          qtype.meaning quote_type,
                          qres.meaning  quote_reason,
                          spec_id ecc_spec_id,
                          ltype.language language_code,
                          khr_sts.meaning contract_status,
                          oaq.gl_account,
                          oaq.formula_name,
                          oaq.formula_value,
                          oaq.gl_acct_description,
                          stream_code,
                          stream_type_purpose,
                          stream_value,
                          subledger_value,
                          remaining_balance,
                          org_id,
                          ledger_name,
                          ledger_currency ,
                          qtl_sts.meaning quote_line_status  --	30897002
   FROM okl_ecc_arcon_quotes oaq,
        fnd_lookup_values    ltype,
        fnd_lookup_values    qtype,
        fnd_lookup_values    qres,
        fnd_lookup_values    qte_sts,
        fnd_lookup_values    qtl_sts,
        okc_statuses_tl           khr_sts--,
       -- okl_strm_type_tl     sty_tl
    where ltype.lookup_type = 'OKL_QUOTE_LINE_TYPE'
    and   ltype.lookup_code = oaq.qlt_code
    and   qtype.lookup_type = 'OKL_QUOTE_TYPE'
    and   qtype.lookup_code = oaq.qtp_code
    and   qres.lookup_type = 'OKL_QUOTE_REASON'
    and   qres.lookup_code = oaq.qrs_code
    and   ltype.language = qtype.language
    and   qtype.language = qres.language
    and   qte_sts.lookup_code = oaq.quote_status
    and   qte_sts.lookup_type = 'OKL_QUOTE_STATUS'
    and   qte_sts.language = ltype.language
    and   qtl_sts.lookup_code = oaq.quote_line_status
    and   qtl_sts.lookup_type = 'OKL_QUOTE_STATUS'
    and   qtl_sts.language = ltype.language
    and   khr_sts.code = oaq.contract_status
    and   khr_sts.language= qte_sts.language
    and   qres.language in('US')
   -- and   oaq.stream_code = sty_tl.name
    and   processing_status_flag ='I')
  PIVOT
         (MAX(line_type) AS line_type,
          MAX(quote_type) AS quote_type,
          MAX(quote_reason) AS quote_reason,
          MAX(quote_status) as quote_status,
          MAX(contract_status) as contract_status,
          MAX(quote_line_status) as quote_line_status
          --MAX(stream_description) AS stream_description
          for language_code in ('US' "US"))</t>
  </si>
  <si>
    <t>okl_arcon_contract_revenue</t>
  </si>
  <si>
    <t>12s</t>
  </si>
  <si>
    <t>Contract Exception Details</t>
  </si>
  <si>
    <t>9s</t>
  </si>
  <si>
    <t>SELECT * from
(SELECT CONTRACT_NUMBER,
UNACCRUED_REVENUE ,
UNBILLED_RENTS,
ACCRUING_YN,
UNINTERFACED_BILLS,
RECEIVABLE_INTERFACE_ERROR,
PAYABLES_INTERFACE_ERROR,
LEASE_UNACCOUNTED,
RECEIVABLES_UNACCOUNTED,
PAYABLE_UNACCOUNTED,
UNAPPROVED_PAYABLE_TRX,
UNPREPARED_PAYABLE_TRX,
UNINTERFACED_PAYABLE_TRX,
ELIGIBLE_PAYABLES_IMPORT,
contract_number ecc_spec_id,
contract_status,
org_id,
ledger_name,
ledger_currency,
unaccrued_revenue*conversion_rate acctd_unaccrued_revenue,
unbilled_rents*conversion_rate acctd_unbilled_rents,
decode(accruing_YN,NULL,NULL,acc.meaning) accruing_flag,
decode(RECEIVABLE_INTERFACE_ERROR,NULL,NULL,rie.meaning) recv_interface_trx_flag,
decode(UNAPPROVED_PAYABLE_TRX,NULL,NULL,uat.meaning) unapp_payable_trx_flag,
decode(UNPREPARED_PAYABLE_TRX,NULL,NULL,upt.meaning) unprep_payable_trx_flag,
decode(UNINTERFACED_PAYABLE_TRX,NULL,NULL,uit.meaning) unint_payable_trx_flag,
acc.language language_code,
unacctd_trans_flag,
unprocess_recv_flag,
unprocess_pay_flag
from okl_ecc_arcon_cont_revenue acr,
fnd_lookup_values acc,
fnd_lookup_values  rie,
fnd_lookup_values uat,
fnd_lookup_values upt,
fnd_lookup_values uit
where processing_status_flag='I'
and acc.lookup_type='YES_NO'
and acc.lookup_code(+) = nvl(acr.ACCRUING_YN,'N')
and acc.view_application_id = 0
and nvl(acr.receivable_interface_error,'N') = rie.lookup_code(+)
and rie.lookup_type = 'YES_NO'
and acc.view_application_id = rie.view_application_id
and uat.lookup_type = 'YES_NO'
and nvl(acr.unapproved_payable_trx,'N')=uat.lookup_code(+)
and acc.view_application_id = uat.view_application_id
and upt.lookup_type = 'YES_NO'
and nvl(acr.unprepared_payable_trx,'N')=upt.lookup_code(+)
and acc.view_application_id = upt.view_application_id
and nvl(acr.uninterfaced_payable_trx,'N')=uit.lookup_code(+)
and uit.lookup_type='YES_NO'
and acc.view_application_id = uit.view_application_id
and acc.language in ('US')
and acc.language = rie.language
and rie.language = uat.language
and uat.language = upt.language
and upt.language = uit.language)
PIVOT( MAX(accruing_flag) AS accruing_flag,
       MAX(recv_interface_trx_flag) AS recv_interface_trx_flag,
       MAX(unapp_payable_trx_flag) AS unapp_payable_trx_flag,
       MAX(unprep_payable_trx_flag) AS unprep_payable_trx_flag,
       MAX(unint_payable_trx_flag) AS unint_payable_trx_flag
       for language_code in ('US' "US"))</t>
  </si>
  <si>
    <t>There are 48 documents processed successfully and 0 documents failed to be processed.</t>
  </si>
  <si>
    <t>48</t>
  </si>
  <si>
    <t>okl_arcon_dtls</t>
  </si>
  <si>
    <t>Contract Details</t>
  </si>
  <si>
    <t>SELECT spec_id ecc_spec_id from okl_ecc_acct_recon
where processing_status_flag ='D'</t>
  </si>
  <si>
    <t>SELECT * FROM
( SELECT spec_id ECC_SPEC_ID,
        contract_id,
        contract_number,
        event_id,
        code_combination_id,
        gl_account,
        accounted_dr,
        accounted_cr,
        gl_acct_description,
        flv.meaning TRX_NAME,
        nvl(flv.language,'US') language_code,
        ear.customer_name,
        ear.stream_code,
        ear.transaction_number,
        currency_code,
        booked_amount,
        ear.party_id,
        ear.trx_type_id,
        khr_sts.meaning contract_status,
        stream_type_purpose,
        stream_balance,
        org_id,
        ledger_name,
        conversion_rate_date,
        conversion_type,
        conversion_rate,
        entered_dr,
        entered_cr,
        ledger_currency,
        decode(fund_req_num,'0',null,fund_req_num) fund_req_num,
        decode(funded_amount,0,null,funded_amount) funded_amount
FROM    okl_ecc_acct_recon    ear,
        fnd_lookup_values flv
        ,okc_statuses_tl           khr_sts  --bug 30786225
WHERE   flv.lookup_code(+) = ear.trx_name
AND     khr_sts.code = ear.contract_status
AND     flv.language= khr_sts.language
and    nvl(flv.lookup_type,'OKL_TRANSACTION_TYPE_CLASS') = 'OKL_TRANSACTION_TYPE_CLASS'
and    nvl(trx_type_id,1) &lt;&gt;0
and    nvl(flv.language,'US') in('US')
and    ear.processing_status_flag ='I'
UNION ALL  --bug 30907814
SELECT spec_id ECC_SPEC_ID,
        contract_id,
        contract_number,
        event_id,
        code_combination_id,
        gl_account,
        accounted_dr,
        accounted_cr,
        gl_acct_description,
        try.name TRX_NAME,
        nvl(khr_sts.language,'US') language_code,
        ear.customer_name,
        ear.stream_code,
        ear.transaction_number,
        currency_code,
        booked_amount,
        ear.party_id,
        ear.trx_type_id,
        khr_sts.meaning contract_status,
        stream_type_purpose,
        stream_balance,
        org_id,
        ledger_name,
        conversion_rate_date,
        conversion_type,
        conversion_rate,
        entered_dr,
        entered_cr,
        ledger_currency,
        decode(fund_req_num,'0',null,fund_req_num) fund_req_num,
        decode(funded_amount,0,null,funded_amount) funded_amount
FROM    okl_ecc_acct_recon    ear,
        okl_trx_types_tl try --,
        ,okc_statuses_tl           khr_sts  --bug 30786225
WHERE   try.name = ear.trx_name
AND     khr_sts.code = ear.contract_status
AND     try.language= khr_sts.language
AND     trx_type_id = 0
and    nvl(try.language,'US') in('US')
and    ear.processing_status_flag ='I')
PIVOT  (MAX(TRX_NAME) AS TRX_NAME,
        MAX(CONTRACT_STATUS) AS CONTRACT_STATUS
FOR language_code IN('US' "US"))</t>
  </si>
  <si>
    <t>okl-ast-ctr-dtls</t>
  </si>
  <si>
    <t>7s</t>
  </si>
  <si>
    <t>Contracts</t>
  </si>
  <si>
    <t>SELECT * FROM (SELECT a.*,a.language lang_code
                                                   ,to_char(asset_line_id) asset_id
                                                   ,interest_calculation_meaning inst_basis
                                                   ,to_char(end_date,'YYYY-MM') period
                                                FROM okl_ecc_am_cntr_details_t a
                            			WHERE  language in ('US') )
                                PIVOT (
                                                MAX(CONTRACT_DESCRIPTION) AS CONTRACT_DESCRIPTION ,
                                                MAX(CHR_STS_MEANING) AS CHR_STS_MEANING,
                                                MAX(ASSET_DESCRIPTION) AS ASSET_DESCRIPTION ,
                                                MAX(ITEM) AS ITEM,
                                                MAX(ASSET_STATUS) AS ASSET_STATUS,
                                                MAX(ASSET_TYPE) AS ASSET_TYPE,
                                                MAX(QUOTE_TYPE_MEANING) AS QUOTE_TYPE_MEANING,
                                                MAX(DAMAGE_TYPE) AS DAMAGE_TYPE,
                                                MAX(ASSET_CONDITION) AS ASSET_CONDITION,
                                                MAX(EXPIRE_TYPE_MEANING) AS EXPIRE_TYPE_MEANING,
                                                MAX(ASSET_RETURN_STATUS) AS ASSET_RETURN_STATUS,
 						MAX(INST_BASIS) AS INST_BASIS,
                                                MAX(INTEREST_CALCULATION_MEANING) AS INTEREST_CALCULATION_MEANING,
                                                MAX(BOOK_CLASS_MEANING) AS  BOOK_CLASS_MEANING,
                                                MAX(TAX_OWNER_MEANING) AS  TAX_OWNER_MEANING,
                                                MAX(ACCRUAL_STATUS_MEANING) AS ACCRUAL_STATUS_MEANING,
                                                MAX(EVERGREEN_ELIGIBLE_MEANING) AS EVERGREEN_ELIGIBLE_MEANING,
                                                MAX(EARLY_PUR_OPT_MEANING) AS EARLY_PUR_OPT_MEANING,
                                                MAX(EOT_PUR_OPT_MEANING) AS EOT_PUR_OPT_MEANING,
                                                MAX(INVESTOR_ASSIGNED_MEANING) AS INVESTOR_ASSIGNED_MEANING,
                                                MAX(REVENUE_RECOGNITION_MEANING) AS REVENUE_RECOGNITION_MEANING
                        FOR LANGUAGE IN ('US' "US"))</t>
  </si>
  <si>
    <t>okl-ast-qte-dts</t>
  </si>
  <si>
    <t>Quotes</t>
  </si>
  <si>
    <t>SELECT * FROM (SELECT a.*,
                               (a.asset_bbnp_amount+a.asset_contract_oblig_amount+
                                                a.asset_bill_adj_amount+a.asset_purchase_amount+a.asset_discount_amount
                        +a.asset_other_amounts+
                                                a.asset_financed_fee_amount+a.asset_rollover_fee_amount+
                        a.asset_service_fee_amount) asset_quote_amount,
                        to_char(a.quote_creation_date,'YYYY-MM') quote_creation_period,
                        to_char(quote_id) quote_id_string
                        FROM okl_ecc_am_quote_details_t a
                        WHERE  language in ('US'))
                                                PIVOT (
                                                MAX(quote_type) AS quote_type ,
                                                MAX(quote_status) AS quote_status,
                                                MAX(quote_reason) AS quote_reason ,
                                                MAX(currency) AS currency,
                                                MAX(quote_line_status) AS quote_line_status,
                                                MAX(contract_status) AS contract_status,
                                                MAX(asset_status) AS asset_status,
                                                MAX(early_termination) AS early_termination,
                                                MAX(partial_termination) AS partial_termination,
                                                MAX(asset_return_status) AS asset_return_status  FOR language IN  ('US' "US"))</t>
  </si>
  <si>
    <t>Projects</t>
  </si>
  <si>
    <t>pa-ds-cost-psi-summary</t>
  </si>
  <si>
    <t>Projects Costing: PSI Summary</t>
  </si>
  <si>
    <t xml:space="preserve">select * from
	(SELECT
        'PSI_PROJ_TASK_DS_SETUP' record_type,
        'PSI_PROJ_TASK_'
        || TO_CHAR(accum.org_id)
        || '-'
        || TO_CHAR(accum.project_id)
        || '-'
        || TO_CHAR(accum.task_id) ecc_spec_id,
        accum.project_id,
        accum.segment1 project_number,
        accum.name project_name,
        accum.org_id,
        accum.operating_unit,
        (
            SELECT
                name
            FROM
                hr_all_organization_units_tl o2
            WHERE
                o2.language = accum.language
                AND o2.organization_id = accum.proj_carry_out_org_id
        ) project_organization,
        accum.projfunc_currency_code currency,
        accum.project_status_name project_status,
        pa_utils.get_lookup_values('PROJECT_SYSTEM_STATUS',accum.project_system_status_code,accum.language) project_status_code,
        accum.project_type project_type,
        pa_utils.get_lookup_values('PROJECT TYPE CLASS',accum.project_type_class_code,accum.language) project_type_class,
        accum.project_type_class_code project_type_class_code,
        pa_project_parties_utils.get_project_manager_name(accum.project_id) project_manager,
        accum.start_date project_start_date,
        accum.completion_date project_completion_date,
        DECODE(accum.task_id,0,NULL,accum.task_id) task_id,
        accum.task_number,
        accum.task_name,
        accum.top_task_id,
        (
            SELECT
                task_name
            FROM
                pa_tasks pt1
            WHERE
                pt1.task_id = accum.top_task_id
        ) top_task_name,
        (
            SELECT
                task_number
            FROM
                pa_tasks pt1
            WHERE
                pt1.task_id = accum.top_task_id
        ) top_task_number,
        accum.parent_task_id,
        (
            SELECT
                task_number
            FROM
                pa_tasks pt2
            WHERE
                pt2.task_id = accum.parent_task_id
        ) parent_task_number,
        (
            SELECT
                task_name
            FROM
                pa_tasks pt2
            WHERE
                pt2.task_id = accum.parent_task_id
        ) parent_task_name,
        accum.wbs_level,
        DECODE(accum.task_id,0,NULL,DECODE(pa_task_utils.check_child_exists(accum.task_id),1,'Y',0,'N')) check_child_exists,
        accum.task_start_date,
        accum.task_completion_date,
        (
            SELECT
                per.full_name
            FROM
                per_all_people_f per
            WHERE
                per.person_id (+) = accum.task_manager_person_id
                AND trunc(SYSDATE) BETWEEN per.effective_start_date (+) AND per.effective_end_date (+)
        ) task_manager,
        (
            SELECT
                name
            FROM
                hr_all_organization_units_tl o3
            WHERE
                o3.language = accum.language
                AND o3.organization_id = accum.task_carry_out_org_id
        ) task_organization,
        accum.billable_flag billable_flag,
        (
            SELECT
                ind_rate_sch_name
            FROM
                pa_ind_rate_schedules
            WHERE
                ind_rate_sch_id = accum.cost_ind_rate_sch_id
        ) burden_schedule,
        DECODE(accum.project_type_class_code,'CONTRACT',pa_utils.get_lookup_values('YES_NO',accum.billable_flag,accum.language) ) is_task_billable,
        DECODE(accum.project_type_class_code,'CAPITAL',pa_utils.get_lookup_values('YES_NO',accum.billable_flag,accum.language) ) is_task_capitalizable,
        nvl(accum.expenditure_budget_tot,0) expenditure_budget_tot,
        nvl(accum.expenditure_budget_itd,0) expenditure_budget_itd,
        nvl(accum.raw_cost,0) raw_cost,
        nvl(accum.burdened_cost,0) burdened_cost,
        accum.labor_hrs labor_hours,
        DECODE(accum.project_type_class_code,'CAPITAL',DECODE(accum.capital_cost_type_code,'R',nvl(accum.billable_raw_cost,0),nvl(accum.billable_brdn_cost,0)) ) capitalizable_cost,
        nvl(accum.revenue_budget_tot,0) revenue_budget_tot,
        nvl(accum.revenue_budget_itd,0) revenue_budget_itd,
		nvl(accum.commitment_amount,0) commitment_amount,
        nvl(accum.billable_raw_cost,0) billable_raw_cost,
        nvl(accum.billable_brdn_cost,0) billable_burden_cost,
        DECODE(accum.capital_cost_type_code,'R',nvl(accum.billable_raw_cost,0),nvl(accum.billable_brdn_cost,0)) billable_cost,
        accum.fin_perc_cmplt,
        accum.est_to_cmplt,
        accum.budget_cost_variance,
        accum.summarization_exception,
		accum.last_update_date,
        accum.language
      FROM
     (
 SELECT
            p.org_id,
            p.project_id,
            p.project_type,
            p.name,
            p.segment1,
            p.pji_source_flag,
            p.project_status_code,
            p.carrying_out_organization_id proj_carry_out_org_id,
            p.start_date,
            p.completion_date,
            p.projfunc_currency_code,
            pah.task_id,
            NULL task_number,
            NULL task_name,
            NULL top_task_id,
            NULL parent_task_id,
            0 wbs_level,
            NULL task_start_date,
            NULL task_completion_date,
            NULL task_manager_person_id,
            NULL task_carry_out_org_id,
            NULL billable_flag,
            NULL 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            AND p.project_id = pah.project_id
            AND pah.resource_list_id = 0
			AND pah.task_id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(greatest(pah.last_update_date, nvl(paa.last_update_date,pah.last_update_date), nvl(m.last_update_date,pah.last_update_date),
			         nvl(pabc.last_update_date,pah.last_update_date), nvl(pabr.last_update_date,pah.last_update_date)) &gt;= '27-APR-20'
				OR exists (select 1 from pa_expenditure_items_all ei where ei.project_id = p.project_id and ei.last_update_date &gt;= '27-APR-20'))
        UNION
 SELECT
            p.org_id,
            p.project_id,
            p.project_type,
            p.name,
            p.segment1,
            p.pji_source_flag,
            p.project_status_code,
            p.carrying_out_organization_id,
            p.start_date,
            p.completion_date,
            p.projfunc_currency_code,
            t.task_id,
            t.task_number,
            t.task_name,
            t.top_task_id,
            t.parent_task_id,
            t.wbs_level,
            t.start_date task_start_date,
            t.completion_date task_completion_date,
            t.task_manager_person_id,
            t.carrying_out_organization_id task_carry_out_org_id,
            t.billable_flag billable_flag,
            t.cost_ind_rate_sch_id,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			pa_tasks t,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			AND p.project_id = t.project_id
            AND t.project_id = pah.project_id (+)
            AND t.task_id = pah.task_id (+)
            AND pah.resource_list_id (+)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(exists ( SELECT 1
						  FROM
						      pa_project_accum_headers pah1,
						      pa_project_accum_budgets pab1,
						      pa_project_accum_actuals paa1,
						      pa_project_accum_commitments m1
						  WHERE
						      pah1.project_id = p.project_id
						      AND pah1.resource_list_id = 0
						      AND pah1.task_id = 0
						      AND pah1.project_accum_id = pab1.project_accum_id (+)
						      AND pah1.project_accum_id = paa1.project_accum_id (+)
						      AND pah1.project_accum_id = m1.project_accum_id (+)
						      AND pab1.budget_type_code (+) in ('AC','AR')
						      AND greatest(pah1.last_update_date, nvl(paa1.last_update_date,pah1.last_update_date), nvl(m1.last_update_date,pah1.last_update_date),
						  	         nvl(pab1.last_update_date,pah1.last_update_date)) &gt;= '27-APR-20')
				OR exists (select 1 from pa_expenditure_items_all ei where ei.project_id = p.project_id and ei.last_update_date &gt;= '27-APR-20'))
			) accum
) PIVOT (
max(OPERATING_UNIT) as OPERATING_UNIT,
max(PROJECT_ORGANIZATION) as PROJECT_ORGANIZATION,
max(PROJECT_STATUS_CODE) as PROJECT_STATUS_CODE,
max(PROJECT_TYPE_CLASS) as PROJECT_TYPE_CLASS,
max(TASK_ORGANIZATION) as TASK_ORGANIZATION,
max(IS_TASK_BILLABLE) as IS_TASK_BILLABLE,
max(IS_TASK_CAPITALIZABLE) as IS_TASK_CAPITALIZABLE
for LANGUAGE in ('US' "US")) </t>
  </si>
  <si>
    <t>pa-ds-cost-eicdl</t>
  </si>
  <si>
    <t>Projects Costing: Transactions</t>
  </si>
  <si>
    <t>select * from (select
record_type,
ecc_spec_id,
tmp.expenditure_item_id,
tmp.expenditure_id,
tmp.project_id,
project_name,
project_number,
user_project_type,
project_type_class_code,
tmp.project_type,
project_manager,
project_start_date,
project_completion_date,
project_organization,
project_status_name,
project_status,
project_budget,
task_plan_capitalizable,
task_non_plan_capitalize,
proj_plan_capitalize,
proj_non_plan_capitalize,
tmp.proj_capitalizable,
actual_capitalizable,
actual_non_capitalizable,
actual_yet_to_capitalizable,
project_revenue_budget,
proj_grouping_method,
proj_grp_supplier_invoice,
proj_asset_cost_alloc_mhd,
proj_enbl_burden_cost_acc,
current_pa_period,
current_gl_period,
current_reporting_pa_period,
tmp.projfunc_currency_code,
tmp.number_of_assets,
tmp.proj_capitalized_cost,
(proj_capitalizable-proj_capitalized_cost)proj_cip_cost,
tmp.task_id,
tmp.task_number,
tmp.task_name,
tmp.top_task_id,
tmp.top_task_name,
tmp.top_task_number,
tmp.task_start_date,
tmp.task_finish_date,
tmp.task_manager,
tmp.task_organization,
tmp.task_burden_schedule,
tmp.task_billable_flag,
tmp.task_work_type,
tmp.expenditure_item_date,
tmp.expenditure_week_ending_date,
tmp.expenditure_type,
tmp.expenditure_category,
tmp.expenditure_type_class,
tmp.incurred_by_person_id,
tmp.employee_name,
tmp.employee_number,
tmp.location_code,
tmp.job_id,
tmp.job_name,
tmp.incurred_by_organization_id,
tmp.override_to_organization_id,
tmp.expenditure_organization_id,
tmp.expenditure_org_name,
tmp.non_labor_resource,
tmp.system_linkage_function,
tmp.transaction_source_code,
nvl (tmp.transaction_source,'Projects') transaction_source,
tmp.orig_transaction_ref,
tmp.expenditure_group,
tmp.ei_pend_burden_dist,
decode(tmp.ei_pend_burden_dist, 'Y', 1, 0) ei_pend_burden_dist_count,
tmp.ei_group_unreleased,
decode(tmp.ei_group_unreleased, 'Y', 1, 0) ei_group_unreleased_count,
tmp.ei_cost_exception,
decode(tmp.ei_cost_exception, 'Y', 1, 0) ei_cost_exception_count,
tmp.ei_uncosted,
decode(tmp.ei_uncosted, 'Y', 1, 0) ei_uncosted_count,
tmp.ei_costed,
decode(tmp.ei_costed, 'Y', 1, 0) ei_costed_count,
tmp.ei_costed_value,
tmp.quantity,
tmp.burden_cost,
tmp.ei_labor_cost,
tmp.ei_non_labor_cost,
tmp.unit_of_measure,
tmp.unit_of_measure_m,
tmp.raw_cost,
tmp.raw_cost_rate,
tmp.cost_distributed_flag,
tmp.cost_distributed,
tmp.cost_dist_rejection_code,
tmp.revenue_distributed,
tmp.revenue_distributed_flag,
tmp.billed,
tmp.billable_flag,
tmp.billable,
tmp.bill_hold_flag,
tmp.bill_hold,
tmp.billed_cost,
tmp.billable_unbilled_cost,
tmp.billable_onhold_cost,
tmp.bill_billable_cost,
tmp.bill_nonbilable_flag,
tmp.bill_nonbilable_cost,
tmp.bill_billhold_cost,
tmp.bill_billed_flag,
tmp.bill_billed_cost,
tmp.bill_not_billed_flag,
tmp.bill_not_billed_cost,
tmp.ei_work_burden_cost,
tmp.burdened_cost,
tmp.burdened_cost_rate,
tmp.denom_currency_code,
tmp.denom_raw_cost,
tmp.denom_burdened_cost,
tmp.acct_currency_code,
tmp.acct_rate_type,
tmp.acct_rate_date,
tmp.acct_exchange_rate,
tmp.acct_raw_cost,
tmp.acct_burdened_cost,
cip_cost,
tmp.project_currency_code,
tmp.project_raw_cost,
tmp.project_burdened_cost,
tmp.cost_bur_distributed_flag,
tmp.capitalizable_flag,
tmp.capitalizable,
tmp.asset_line_generated,
(decode(project_type_class_code,'CAPITAL',decode(capitalizable_flag,'N',tmp.cdl_amount,0),0))non_capitalizable_cost,
(decode(project_type_class_code,'CAPITAL',decode(capitalizable_flag,'Y',tmp.cdl_amount,0),0))capitalizable_cost,
(decode(project_type_class_code,'CAPITAL',decode(capitalized_flag,'Y',tmp.cdl_amount,0),0))capitalized_cost,
tmp.capitalized_flag,
tmp.capitalized,
tmp.capitalizable_cap_hold_flag,
tmp.capitalizable_cap_hold,
tmp.adjusted_expenditure_item_id,
tmp.net_zero_adjustment_flag,
tmp.net_zero_adjustment,
tmp.transferred_from_exp_item_id,
tmp.transferred_item_flag,
tmp.cc_cross_charge_code,
tmp.cc_cross_charge_type,
tmp.cc_bl_distributed_code,
tmp.org_id,
tmp.vendor_id,
tmp.vendor_name,
tmp.document_header_id,
tmp.document_distribution_id,
tmp.document_line_number,
tmp.document_payment_id,
tmp.document_type,
tmp.document_distribution_type,
tmp.Operating_Unit,
tmp.capital_cost_code_amt,
tmp.line_num,
tmp.line_type_code,
tmp.line_type,
tmp.reversed_flag,
tmp.transfer_status_code,
tmp.pa_date,
tmp.gl_date,
tmp.recvr_pa_date,
tmp.recvr_gl_date,
tmp.pa_period_name,
tmp.gl_period_name,
tmp.recvr_pa_period_name,
tmp.recvr_gl_period_name,
tmp.acct_event_id,
tmp.amount,
tmp.cdl_burdened_cost,
tmp.cdl_amount,
tmp.cdl_acct_status,
tmp.bl_acct_status,
tmp.exp_group_status_code,
tmp.exp_group_status,
tmp.expenditure_status,
tmp.precosting_status_code,
tmp.precosting_status,
asset_name,
tmp.work_type,
po_number,
po_line_number,
receipt_number,
receipt_line_number,
invoice_no,
invoice_line_number,
po_distribution_line_number,
invoice_distribution_line_no,
debit_account,
credit_account,
accounting_source,
transfer_status,
tmp.provider_le_name,
tmp.receiver_le_name,
tmp.receiver_operating_unit,
tmp.transfer_price,
tmp.labot_tp_sch_name,
tmp.non_labor_tp_sch_name,
accounting_status_code,
project_sla_acc_status,
sla_gl_acc_status,
pre_accounting_status,
tmp.project_exchange_rate,
tmp.project_rate_date,
tmp.project_rate_type,
tmp.revenue_accrued,
tmp.burden_schedule,
tmp.transfer_rejection_reason,
tmp.cc_rejection_reason,
alert_type,
alert_text,
cost_identifier,
unaccounted,
(decode(tmp.unaccounted,'Unaccounted','Y',null))ei_unaccounted,
(decode(tmp.unaccounted,'Unaccounted',1,0))ei_unaccounted_count,
(decode(tmp.unaccounted,'Unaccounted',tmp.raw_cost,null))ei_unaccounted_cost,
accounting_exception,
project_accounted,
sla_accounted,
gl_accounted,
(decode(nvl(tmp.project_accounted,'N'),'Y',tmp.amount,0))project_accounted_cost,
(decode(nvl(tmp.sla_accounted,'N'),'Y',tmp.amount,0))sla_accounted_cost,
(decode(nvl(tmp.gl_accounted,'N'),'Y',tmp.amount,0))gl_accounted_cost,
ei_account_exception,
(decode(nvl(tmp.ei_account_exception,'N'),'Y',tmp.amount,0))ei_account_exception_cost,
ei_accounted,
(decode(nvl(tmp.ei_accounted,'N'),'Y',tmp.amount,0))ei_accounted_cost,
sla_acct_code,
language,
NVL(tmp.sla_gl_acc_status,tmp.project_sla_acc_status) exp_accounting_stage,
( SELECT
nvl( pa_utils.get_lookup_values ( 'PA_EI_ACCOUNTING_STATUS',(CASE
WHEN(tmp.cost_distributed_flag = 'Y'
AND xea.gl_transfer_status_code = 'Y'
OR nvl(tmp.historical_flag, 'Y') = 'Y') THEN 'GL'
WHEN tmp.cost_distributed_flag = 'Y'
AND xea.gl_transfer_status_code &lt;&gt; 'Y'
AND pa_utils.iseifinalaccounted(cdl.expenditure_item_id, cdl.line_num) = 'Y' THEN 'PGL'
END), tmp.language),
pa_utils.get_lookup_values('PA_EI_ACCOUNTING_STATUS',(CASE
WHEN tmp.cost_distributed_flag = 'Y'
AND DECODE(cdl.transfer_status_code, 'X', 'PSLA', 'R', 'PSLA', 'P', 'PSLA', 'A', DECODE(pa_utils.iseifinalaccounted(cdl.expenditure_item_id, cdl.line_num), 'N', 'PSLA', 'SLA')) = 'PSLA'
THEN 'PSLA'
WHEN tmp.cost_distributed_flag = 'Y'
AND cdl.transfer_status_code NOT IN( 'V', 'G') THEN 'SLA'
END), tmp.language)
)
FROM
(
SELECT
        cd.*
    FROM
        (
            SELECT
                c.expenditure_item_id,
                c.transfer_status_code,
                c.acct_event_id,
                c.line_num
            FROM
                pa_cost_dist_lines_v c
            WHERE
                c.line_type IN (
                    'D'
                )
                AND c.creation_date &gt;= '27-APR-19'
				and (c.expenditure_item_id, c.line_num) in
				(select expenditure_item_id, max(line_num)
				from  pa_cost_dist_lines_v b
				where creation_date &gt;='27-APR-19'
				and line_type = 'D'
				group by b.expenditure_item_id
				)
        ) cd
) cdl,
xla_ae_headers xea
WHERE
tmp.cost_distributed_flag = 'Y'
AND cdl.expenditure_item_id = tmp.expenditure_item_id
and cdl.acct_event_id is not null
AND xea.balance_type_code (+) = 'A'
AND cdl.acct_event_id = xea.event_id(+)
AND tmp.set_of_books_id = xea.ledger_id(+)
) acct_status_tot_bur,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    and pa_utils.iseifinalaccounted(tmp.expenditure_item_id, cdl.line_num) = 'N'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'27-APR-19'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'27-APR-19'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pending_final_accounting,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	AND tmp.capitalized_flag = 'N'
    and pa_utils.iseifinalaccounted(tmp.expenditure_item_id, cdl.line_num) = 'Y'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'27-APR-19'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'27-APR-19'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proj_cost_pend_al_gen,
tmp.asset_asgn_exists_code,
DECODE(project_type_class_code, 'CAPITAL', pa_utils.get_lookup_values('PA_ASSET_ASG_LEVEL', tmp.asset_asgn_exists_code, tmp.language)) asset_assignment_exists,
tmp.grouped_task_id,
DECODE(project_type_class_code, 'CAPITAL', decode(tmp.grouped_task_id,-9999,NULL,(select task_number from pa_tasks where task_id = tmp.grouped_task_id))) grouped_task_number,
DECODE(project_type_class_code, 'CAPITAL', decode(tmp.grouped_task_id,-9999,NULL,(select task_name from pa_tasks where task_id = tmp.grouped_task_id))) grouped_task_name , dfv2.* 
from
(
SELECT DISTINCT
'PROJ_DS_EICDL' record_type,
'PROJ-'
|| TO_CHAR(ei.expenditure_item_id) ecc_spec_id,
ei.expenditure_item_id,
ei.expenditure_id,
ei.project_id,
ei.project_name,
ei.project_number,
ei.project_type user_project_type,
ei.project_type_class_code ,
ei.CAPITAL_COST_TYPE_CODE,
pa_utils.get_lookup_values('PROJECT TYPE CLASS', ei.project_type_class_code, ei.language) project_type,
ei.DERIVE_TOT_BURDEN_FLAG,
ei.project_manager,
ei.project_start_date,
ei.project_completion_date,
ei.project_organization,
ei.task_burden_schedule,
pa_utils.get_lookup_values('YES_NO',ei.task_billable_flag,ei.language) task_billable_flag,
ei.task_work_type,
ei.project_status_name,
ei.project_status,
(SELECT
        nvl(SUM(DECODE(ei.capital_cost_type_code, 'R', nvl(pbl.raw_cost, 0), nvl(pbl.burdened_cost, 0
        ))), 0)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project_budget,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'Y'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task_plan_capitalizable,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'N'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task_non_plan_capitalize,
(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
    WHERE
        pbv.project_id = ei.project_id
        AND pbv.budget_type_code = pbt.budget_type_code
        AND pbt.budget_amount_code = 'C'
        AND pbv.budget_status_code = 'B'
        AND pbv.current_flag = 'Y'
        AND pbv.budget_entry_method_code = bem.budget_entry_method_code
        and bem.entry_level_code = 'P'
        AND pra.budget_version_id = pbv.budget_version_id
        AND pra.project_id = pbv.project_id
        AND pbl.budget_version_id = pra.budget_version_id
        AND pbl.resource_assignment_id = pra.resource_assignment_id)
	+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'Y'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'L','T')
        AND pra.budget_version_id = pbv.budget_version_id
        AND pra.project_id = pbv.project_id
        AND pbl.budget_version_id = pra.budget_version_id
        AND pbl.resource_assignment_id = pra.resource_assignment_id)
) proj_plan_capitalize,
(
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'N'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 'T')
        AND pra.budget_version_id = pbv.budget_version_id
        AND pra.project_id = pbv.project_id
        AND pbl.budget_version_id = pra.budget_version_id
        AND pbl.resource_assignment_id = pra.resource_assignment_id
) proj_non_plan_capitalize,
DECODE(project_type_class_code, 'CAPITAL', nvl(
        (SELECT
            SUM(DECODE(ei.capital_cost_type_code, 'R', nvl(paie.raw_cost, 0), nvl(paie.burden_cost, 0) ))
        FROM
            pa_expenditure_items_all paie
        WHERE
            paie.project_id = ei.project_id
			AND paie.billable_flag = 'Y'
            AND paie.creation_date &gt;= '27-APR-19'
    ),0), 0)  proj_capitalizable,
(decode(project_type_class_code,'CAPITAL',decode(ei.capitalizable_flag,'Y',(nvl(DECODE(ei.capital_cost_type_code, 'R', nvl(ei.raw_cost, 0), nvl(ei.burdened_cost, 0
        )), 0)),0),0))actual_capitalizable,
(decode(project_type_class_code,'CAPITAL',decode(ei.capitalizable_flag,'N',(nvl(DECODE(ei.capital_cost_type_code, 'R', nvl(ei.raw_cost, 0), nvl(ei.burdened_cost, 0
        )), 0)),0),0))actual_non_capitalizable,
( DECODE(project_type_class_code, 'CAPITAL', DECODE(ei.capitalizable_flag, 'Y',decode(ei.capitalized_flag,'N',(nvl(DECODE(ei.capital_cost_type_code
, 'R', nvl(ei.raw_cost, 0), nvl(ei.burdened_cost, 0)), 0)),0), 0), 0) ) actual_yet_to_capitalizable,
(SELECT
        SUM(nvl(pbl.revenue,0))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'R'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)project_revenue_budget,
ei.proj_grouping_method,
ei.proj_grp_supplier_invoice,
ei.proj_asset_cost_alloc_mhd,
pa_utils.get_lookup_values('YES_NO', ei.total_burden_flag, ei.language) proj_enbl_burden_cost_acc,
(SELECT per.period_name FROM pa_periods_all per
 where start_date in
         (select max(start_date) from pa_periods_all per1
          where per1.status in ('O','F')
          and per1.org_id = ei.org_id)
      and per.org_id = ei.org_id) current_pa_period,
(SELECT per.gl_period_name FROM pa_periods_all per
 where start_date in
         (select max(start_date) from pa_periods_all per1
          where per1.status in ('O','F')
          and per1.org_id = ei.org_id)
      and per.org_id = ei.org_id) current_gl_period,
ei.current_pa_period current_reporting_pa_period,
ei.projfunc_currency_code,
(decode(project_type_class_code,'CAPITAL',(select count( project_asset_id ) from pa_project_assets_all ppaa where ppaa.project_id = ei.project_id),0)) number_of_assets,
(decode(project_type_class_code,'CAPITAL',nvl((select sum( current_asset_cost ) from pa_project_asset_lines_all ppal where ppal.project_id = ei.project_id and ppal.transfer_status_code = 'T'
                            		AND EXISTS(  SELECT   1
                     FROM pa_expenditure_items_all peia,pa_project_asset_line_Details ppald
                     WHERE peia.expenditure_item_id = ppald.expenditure_item_id
                     and  ppal.project_asset_line_detail_id = ppald.project_asset_line_detail_id
					 and peia.project_id = ei.project_id
                     AND peia.creation_date &gt;= '27-APR-19'
                  )),0),0)) proj_capitalized_cost,
ei.task_id,
ei.task_number,
ei.task_name,
ei.top_task_id,
ei.top_task_name,
ei.top_task_number,
ei.task_start_date,
ei.task_finish_date,
ei.task_manager,
ei.task_organization,
ei.expenditure_item_date,
ei.expenditure_ending_date expenditure_week_ending_date,
ei.expenditure_type,
ei.expenditure_category,
ei.expenditure_type_class,
ei.incurred_by_person_id,
ei.employee_name,
ei.employee_number,
ei.location_code,
ei.job_id,
ei.job_name,
ei.incurred_by_organization_id,
ei.override_to_organization_id,
ei.expenditure_organization_id,
ei.expenditure_org_name,
ei.non_labor_resource,
ei.system_linkage_function,
ei.transaction_source transaction_source_code,
ei.user_transaction_source transaction_source,
ei.orig_transaction_reference orig_transaction_ref,
ei.expenditure_group,
(CASE
WHEN ei.cost_distributed_flag = 'Y'
     AND ei.cost_burden_distributed_flag = 'N' THEN 'Y'
ELSE null
END)ei_pend_burden_dist,
( CASE
    WHEN ei.expenditure_group_status_code IN (
        'UPDATE_RELEASED',
        'RELEASED'
    ) THEN null
    ELSE 'Y'
END ) ei_group_unreleased,
(case when ei.cost_dist_rejection_code is not null then 'Y' else null end)ei_cost_exception,
(case when ei.expenditure_group_status_code IN (
        'UPDATE_RELEASED',
        'RELEASED'
    ) AND ei.cost_distributed_flag = 'N' then 'Y' else null end) ei_uncosted,
DECODE(ei.cost_distributed_flag, 'Y', 'Y', null) ei_costed,
DECODE(ei.cost_distributed_flag, 'Y', nvl(ei.burden_cost, 0), 0) ei_costed_value,
ei.quantity,
decode(ei.cost_distributed_flag,'Y',ei.burden_cost,0) burden_cost,
( CASE
    WHEN ei.system_linkage_function IN (
        'OT',
        'ST'
    ) THEN nvl(ei.burden_cost, 0)
    ELSE 0
END ) ei_labor_cost,
( CASE
    WHEN ei.system_linkage_function IN (
        'OT',
        'ST'
    ) THEN 0
    ELSE nvl(ei.burden_cost, 0)
END ) ei_non_labor_cost,
ei.unit_of_measure,
ei.unit_of_measure_m,
decode(ei.cost_distributed_flag,'Y',ei.raw_cost,0) raw_cost,
decode(ei.cost_distributed_flag,'Y',ei.raw_cost_rate,0) raw_cost_rate,
ei.cost_distributed_flag cost_distributed_flag,
pa_utils.get_lookup_values('YES_NO', ei.cost_distributed_flag, ei.language) cost_distributed,
pa_funds_control_utils.get_cost_rejection_reason(NVL(ei.cost_dist_rejection_code,ei.IND_COST_DIST_REJECTION_CODE),NULL) cost_dist_rejection_code,
decode(ei.project_type_class_code ,'INDIRECT',NULL,'CAPITAL',NULL,NVL(ei.revenue_distributed_flag,ei.capitalized_flag)) revenue_distributed,
pa_utils.get_lookup_values('YES_NO',decode(ei.project_type_class_code ,'INDIRECT',NULL,'CAPITAL',NULL,NVL(ei.revenue_distributed_flag,ei.capitalized_flag)), ei.language) revenue_distributed_flag,
pa_utils.get_lookup_values('YES_NO',(CASE WHEN ei.project_type_class_code = 'CONTRACT' AND bill_amount IS NOT NULL THEN 'Y'
WHEN ei.project_type_class_code = 'CONTRACT' AND bill_amount IS NULL THEN 'N'
ELSE NULL END), ei.language) billed,
ei.billable_flag  billable_flag,
pa_utils.get_lookup_values('YES_NO',ei.billable_flag,ei.language)  billable,
ei.bill_hold_flag ,
pa_utils.get_lookup_values('YES_NO',ei.bill_hold_flag,ei.language) bill_hold,
( CASE
WHEN ei.billable_flag = 'Y'
AND ei.bill_amount IS NOT NULL
AND nvl(ei.net_zero_adjustment_flag, 'N') = 'N'
AND ei.INVOICE_METHOD = 'WORK'
AND ei.cost_distributed_flag = 'Y' THEN ei.bill_amount
ELSE 0
END ) billed_cost,
( CASE
WHEN ei.billable_flag = 'Y'
AND ei.bill_amount IS NULL
AND nvl(ei.net_zero_adjustment_flag, 'N') = 'N'
AND ei.INVOICE_METHOD = 'WORK'
AND ei.cost_distributed_flag = 'Y' THEN ei.BURDEN_COST
ELSE 0
END ) billable_unbilled_cost,
( CASE
WHEN ei.billable_flag = 'Y'
AND ei.bill_amount IS NULL
AND ei.bill_hold_flag = 'Y'
AND nvl(ei.net_zero_adjustment_flag, 'N') = 'N'
AND ei.INVOICE_METHOD = 'WORK'
AND ei.cost_distributed_flag = 'Y' THEN ei.BURDEN_COST
ELSE 0
END ) billable_onhold_cost,
ei.bill_billable_cost,
pa_utils.get_lookup_values('YES_NO',ei.bill_nonbilable_flag,ei.language) bill_nonbilable_flag,
ei.bill_nonbilable_cost,
ei.bill_billhold_cost,
pa_utils.get_lookup_values('YES_NO',ei.bill_billed_flag,ei.language) bill_billed_flag,
ei.bill_billed_cost,
pa_utils.get_lookup_values('YES_NO',ei.bill_not_billed_flag,ei.language) bill_not_billed_flag,
ei.bill_not_billed_cost,
(case when ei.project_type_class_code = 'CONTRACT' AND ei.billable_flag = 'Y' AND ei.bill_amount IS NULL AND ei.cost_distributed_flag = 'Y' AND ei.invoice_method = 'WORK' then ei.burden_cost else 0 end)ei_work_burden_cost,
decode(ei.cost_distributed_flag,'Y',ei.burdened_cost,0) burdened_cost,
decode(ei.cost_distributed_flag,'Y',ei.burdened_cost_rate,0) burdened_cost_rate,
ei.denom_currency_code,
decode(ei.cost_distributed_flag,'Y',ei.denom_raw_cost,0) denom_raw_cost,
decode(ei.cost_distributed_flag,'Y',ei.denom_burdened_cost,0) denom_burdened_cost,
ei.acct_currency_code,
ei.acct_rate_type,
ei.acct_rate_date,
ei.acct_exchange_rate,
decode(ei.cost_distributed_flag,'Y',ei.acct_raw_cost,0) acct_raw_cost,
decode(ei.cost_distributed_flag,'Y',ei.acct_burdened_cost,0) acct_burdened_cost,
( DECODE(ei.capitalizable_flag, 'Y', DECODE(ei.capitalized_flag, 'N', ei.BURDEN_COST, 0), 0) - DECODE(
ei.capitalized_flag, 'Y', ei.BURDEN_COST, 0) - DECODE(ei.capitalizable_flag, 'N', ei.BURDEN_COST
, 0) ) cip_cost,
ei.project_currency_code,
decode(ei.cost_distributed_flag,'Y',ei.project_raw_cost,0) project_raw_cost,
decode(ei.cost_distributed_flag,'Y',ei.project_burdened_cost,0) project_burdened_cost,
pa_utils.get_lookup_values('YES_NO',ei.cost_burden_distributed_flag,ei.language) cost_bur_distributed_flag,
ei.capitalizable_flag,
pa_utils.get_lookup_values('YES_NO',ei.capitalizable_flag,ei.language) capitalizable,
pa_utils.get_lookup_values('YES_NO',ei.asset_line_generated,ei.language) asset_line_generated,
ei.capitalized_flag,
pa_utils.get_lookup_values('YES_NO',ei.capitalized_flag,ei.language) capitalized,
ei.bill_hold_flag capitalizable_cap_hold_flag,
decode(ei.project_type_class_code,'CAPITAL',pa_utils.get_lookup_values('YES_NO',ei.bill_hold_flag,ei.language)) capitalizable_cap_hold,
ei.adjusted_expenditure_item_id,
ei.net_zero_adjustment_flag ,
pa_utils.get_lookup_values('YES_NO',ei.net_zero_adjustment_flag,ei.language) net_zero_adjustment,
ei.transferred_from_exp_item_id,
ei.transferred_item_flag,
pa_utils.get_lookup_values('CC_CROSS_CHARGE_CODE', ei.cc_cross_charge_code, ei.language) cc_cross_charge_code,
pa_utils.get_lookup_values('CC_CROSS_CHARGE_TYPE', ei.cc_cross_charge_type, ei.language) cc_cross_charge_type,
pa_utils.get_lookup_values('CC_PROCESSED_CODE', ei.cc_bl_distributed_code, ei.language) cc_bl_distributed_code,
ei.org_id,
ei.vendor_id,
(
SELECT
vendor_name
FROM
ap_suppliers
WHERE
vendor_id = ei.vendor_id
) vendor_name,
ei.document_header_id,
ei.document_distribution_id,
ei.document_line_number,
ei.document_payment_id,
ei.document_type,
ei.document_distribution_type,
ei.prvdr_org_name Operating_Unit,
decode(ei.cost_distributed_flag,'Y',DECODE(ei.capital_cost_type_code, 'R', ei.raw_cost, DECODE(ei.cost_burden_distributed_flag,'Y', ei.BURDEN_COST,0)),0) capital_cost_code_amt,
cdl.line_num,
cdl.line_type line_type_code,
pa_utils.get_lookup_values('COST DISTRIBUTION LINE TYPE', cdl.line_type, ei.language) line_type,
cdl.reversed_flag,
cdl.transfer_status_code transfer_status_code,
cdl.pa_date,
cdl.gl_date,
cdl.recvr_pa_date,
cdl.recvr_gl_date,
cdl.pa_period_name,
cdl.gl_period_name,
cdl.recvr_pa_period_name,
cdl.recvr_gl_period_name,
cdl.acct_event_id,
decode(ei.cost_distributed_flag,'Y',cdl.amount,0) amount,
decode(ei.cost_distributed_flag,'Y',cdl.burdened_cost,0) cdl_burdened_cost,
decode(ei.cost_distributed_flag,'Y',DECODE(ei.capital_cost_type_code, 'R', cdl.AMOUNT, NVL(cdl.BURDENED_COST,cdl.AMOUNT)),0) cdl_amount,
pa_utils.get_lookup_values('YES_NO',pa_utils.iseifinalaccounted(ei.expenditure_item_id, cdl.line_num),ei.language) cdl_acct_status,
pa_utils.get_lookup_values('PA_XLA_TRANSFER_STATUS',(SELECT
DECODE(xe.process_status_code, 'P', 'A', 'U', 'P', 'I', 'R') FROM xla_events xe, pa_cc_dist_lines_all cc
WHERE
xe.application_id = 275
AND xe.event_id = cc.acct_event_id
AND cc.expenditure_item_id = ei.expenditure_item_id
AND cc.line_num = cdl.line_num
AND ei.cc_bl_distributed_code = 'Y'),ei.language) bl_acct_status,
ei.expenditure_group_status_code exp_group_status_code,
pa_utils.get_lookup_values('EXPENDITURE GROUP STATUS', ei.expenditure_group_status_code, ei.language) exp_group_status,
ei.expenditure_status_code EXPENDITURE_STATUS,
( CASE
WHEN ei.cost_dist_rejection_code IS NOT NULL THEN 'CE'
WHEN ei.cost_distributed_flag = 'N' AND ei.expenditure_group_status_code not in ('RELEASED','UPDATE_RELEASED') THEN 'UR'
WHEN ei.cost_distributed_flag = 'N' THEN 'UCST'
WHEN ei.cost_distributed_flag = 'Y' AND (cdl.transfer_status_code IN ('X','R') OR xla.process_status_code = 'I') THEN 'CAE'
WHEN ei.cost_distributed_flag = 'Y' AND pa_utils.iseifinalaccounted(ei.expenditure_item_id, cdl.line_num) = 'Y' THEN 'ACCT'
WHEN ei.cost_distributed_flag = 'Y' THEN 'CST'
ELSE NULL
END ) precosting_status_code,
( CASE
WHEN ei.cost_dist_rejection_code IS NOT NULL THEN pa_utils.get_lookup_values('PA_EI_COSTING_STATUS','CE', ei.LANGUAGE)
WHEN ei.cost_distributed_flag = 'N' AND ei.expenditure_group_status_code not in  ('RELEASED', 'UPDATE_RELEASED') THEN pa_utils.get_lookup_values('PA_EI_COSTING_STATUS','UR', ei.LANGUAGE)
WHEN ei.cost_distributed_flag = 'N' THEN pa_utils.get_lookup_values('PA_EI_COSTING_STATUS','UCST', ei.LANGUAGE)
WHEN ei.cost_distributed_flag = 'Y' AND (cdl.transfer_status_code IN ('X','R') OR xla.process_status_code = 'I') THEN pa_utils.get_lookup_values('PA_EI_COSTING_STATUS','CAE', ei.LANGUAGE)
WHEN ei.cost_distributed_flag = 'Y' AND pa_utils.iseifinalaccounted(ei.expenditure_item_id, cdl.line_num) = 'Y' THEN pa_utils.get_lookup_values('PA_EI_COSTING_STATUS','ACCT', ei.LANGUAGE)
WHEN ei.cost_distributed_flag = 'Y' THEN pa_utils.get_lookup_values('PA_EI_COSTING_STATUS','CST', ei.LANGUAGE)
ELSE NULL
END ) precosting_status,
NULL asset_name,
ei.work_type_name WORK_TYPE,
(CASE WHEN ei.transaction_source LIKE 'PO%' THEN NVL(EI.receipt_po_number,ei.po_number)
WHEN ei.transaction_source LIKE 'AP%' THEN ei.matched_po_number
ELSE NULL
END
) po_number,
(CASE WHEN ei.transaction_source LIKE 'PO%' THEN nvl(ei.receipt_po_line_num,ei.po_line_number)
WHEN ei.transaction_source LIKE 'AP%' THEN ei.matched_po_line_number
ELSE NULL
END
) po_line_number,
(CASE WHEN ei.transaction_source LIKE 'PO%' THEN ei.receipt_number
WHEN ei.transaction_source LIKE 'AP%' THEN ei.matched_receipt_num
ELSE NULL
END) r</t>
  </si>
  <si>
    <t>There are 5 documents processed successfully and 0 documents failed to be processed.</t>
  </si>
  <si>
    <t>5</t>
  </si>
  <si>
    <t>pa-ds-cost-asset</t>
  </si>
  <si>
    <t>Projects Costing: Assets</t>
  </si>
  <si>
    <t xml:space="preserve">
select * from (
SELECT RECORD_TYPE                        ,
ECC_SPEC_ID                        ,
PROJECT_ASSET_ID                   ,
PROJECT_ID                         ,
PROJECT_NUMBER        ,
PROJECT_NAME                       ,
projfunc_currency_code  ,
PROJECT_TYPE_CLASS_CODE         ,
PROJECT_TYPE_CLASS       ,
PROJECT_TYPE        ,
ASSET_NUMBER                       ,
ASSET_NAME                         ,
ASSET_DESCRIPTION                  ,
LOCATION_ID                        ,
FIXED_ASSET_NUMBER                 ,
FIXED_ASSET_STATUS                 ,
FIXED_ASSET_STATUS_CODE            ,
BUDGETED_COST      ,
ESTIMATED_COST      ,
DATE_PLACED_IN_SERVICE             ,
ASSET_CATEGORY_ID       ,
ASSET_CATEGORY                     ,
TOTAL_EXPENDITURES       ,
NUMBER_OF_TASKS           ,
TXN_PENDING_COST_DIST      ,
TXN_PENDING_BURDEN_DIST         ,
NUMBER_OF_ASSET_LINES      ,
NUMBER_OF_REJ_ASSET_LINES        ,
COST_PENDING_SUMMARIZATION     ,
COST_PENDING_FINAL_ACC      ,
COST_PENDING_AL_GEN          ,
COST_AL_PEND_INTF_FA      ,
COST_REJ_ASSET_LINES      ,
ASSET_RETIRED_IN_FA          ,
CAPITAL_HOLD        ,
MARKED_FOR_AL_REVERSAL      ,
COST_ADJUSTMENT_FLAG               ,
CAPITALIZED						   ,
CAPITALIZED_FLAG                   ,
CAPITALIZED_DATE                   ,
REVERSAL_DATE                      ,
CAPITALIZED_COST                   ,
GROUPED_CIP_COST                   ,
ORG_ID                             ,
ORGANIZATION_NAME                  ,
ASSET_KEY_CCID                     ,
CAPITAL_EVENT_ID                   ,
PARENT_ASSET_ID                    ,
PROJECT_ASSET_TYPE_CODE    ,
PROJECT_ASSET_TYPE                 ,
FA_ASSET_ID                        ,
BOOK_TYPE_CODE                     ,
ASSET_UNITS                        ,
DEPRECIATE_FLAG                    ,
ESTIMATED_IN_SERVICE_DATE          ,
ESTIMATED_ASSET_UNITS              ,
ASSET_PAST_DUE                     ,
PROJECT_ASSET_LINE_ID              ,
LINE_DESCRIPTION          ,
TASK_ID                            ,
TASK_NUMBER         ,
TASK_NAME                          ,
CIP_ACCOUNT            ,
ORIGINAL_ASSET_COST                ,
CURRENT_ASSET_COST                 ,
PROJECT_ASSET_LINE_DETAIL_ID       ,
GL_DATE                            ,
ORIGINAL_ASSET_ID                  ,
TRANSFER_STATUS_CODE               ,
AL_STATUS_IN_PROJECTS              ,
TRANSFER_REJECTION_REASON          ,
AMORTIZE_FLAG                      ,
NEW_MASTER_FLAG                    ,
FA_PERIOD_NAME                     ,
QUANTITY         ,
AMOUNT          ,
INTERFACE_TO_FA        ,
PO_VENDOR                        ,
PO_NUMBER                          ,
PO_LINE_NUMBER        ,
RECEIPT_NUMBER        ,
RECEIPT_LINE_NUMBER          ,
INVOICE_NO                  ,
INVOICE_LINE_NUMBER                ,
INVOICE_DISTRIBUTION_ID            ,
LINE_TYPE                          ,
EXPENDITURE_ITEM_ID                ,
LINE_NUM                           ,
CIP_COST                           ,
REVERSED_FLAG                      ,
PROJ_ASSET_LINE_DTL_UNIQ_ID        ,
ALERT_TYPE,
ALERT_TEXT,
TOTAL_ASSET_COST,
LANGUAGE
FROM pa_ecc_cost_assets where language in ('US') ) PIVOT (
max(PROJECT_TYPE_CLASS) as PROJECT_TYPE_CLASS ,
max(FIXED_ASSET_STATUS) as FIXED_ASSET_STATUS ,
max(CAPITALIZED) as CAPITALIZED ,
max(CAPITAL_HOLD) as CAPITAL_HOLD ,
max(ORGANIZATION_NAME) as ORGANIZATION_NAME ,
max(PROJECT_ASSET_TYPE) as PROJECT_ASSET_TYPE ,
max(AL_STATUS_IN_PROJECTS) as AL_STATUS_IN_PROJECTS ,
max(MARKED_FOR_AL_REVERSAL) as MARKED_FOR_AL_REVERSAL ,
max(ASSET_RETIRED_IN_FA) as ASSET_RETIRED_IN_FA ,
max(INTERFACE_TO_FA) as INTERFACE_TO_FA ,
max(ALERT_TEXT) as ALERT_TEXT ,
max(AMORTIZE_FLAG) as AMORTIZE_FLAG ,
max(NEW_MASTER_FLAG) as NEW_MASTER_FLAG ,
max(DEPRECIATE_FLAG) as DEPRECIATE_FLAG
for LANGUAGE in ('US' "US")) 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</si>
  <si>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to_timestamp('27-APR-20 03.58.03.000000 AM')
     OR ppa.last_update_date &gt;= to_timestamp('27-APR-20 03.58.03.000000 AM')
     OR ppal.last_update_date &gt;= to_timestamp('27-APR-20 03.58.03.000000 AM')
	 OR EXISTS (select 1 from pa_expenditure_items_all peial
	            where peial.project_id = pp.project_id
				and peial.last_update_date &gt; to_timestamp('27-APR-20 03.58.03.000000 AM'))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to_timestamp('27-APR-20 03.58.03.000000 AM')
    OR EXISTS (select 1 from pa_expenditure_items_all peial
	           where peial.project_id = pp.project_id
			   and peial.last_update_date &gt; to_timestamp('27-APR-20 03.58.03.000000 AM'))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</si>
  <si>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pa-ds-cost-source-imp</t>
  </si>
  <si>
    <t>Projects Costing: Transaction Source</t>
  </si>
  <si>
    <t xml:space="preserve">
select * from (
SELECT
RECORD_TYPE           ,
ECC_SPEC_ID           ,
TRANSACTION_ID        ,
DISTRIBUTION_ID       ,
SOURCE_CODE       ,
SOURCE       ,
TRANSACTION_SOURCE    ,
BATCH_NAME ,
DOCUMENT_DISTRIBUTION_TYPE ,
DOCUMENT_TYPE  ,
PROJECT_ID            ,
PROJECT_NAME          ,
PROJECT_NUMBER        ,
PROJECT_TYPE          ,
PROJECT_TYPE_CLASS_CODE ,
PROJECT_TYPE_CLASS  ,
TASK_ID               ,
TASK_NUMBER           ,
TASK_NAME             ,
EXPENDITURE_ITEM_DATE ,
EXPENDITURE_TYPE       ,
QUANTITY               ,
UNIT_OF_MEASURE        ,
UNIT_OF_MEASURE_M    ,
AMOUNT        ,
TRANSACTION_REFERENCE,
TRANSACTION_STATUS_CODE,
TRANSACTION_STATUS,
EXPENDITURE_ORGANIZATION_ID,
EXPENDITURE_ORG_NAME,
OVERRIDE_TO_ORGANIZATION_NAME,
PREDEFINED_FLAG,
COSTED_FLAG          ,
ALLOW_ADJUSTMENTS_FLAG ,
GL_ACCOUNTED_FLAG  ,
COST_BURDENED_FLAG  ,
ALLOW_BURDEN_FLAG  ,
DEBIT_ACCOUNT   ,
CREDIT_ACCOUNT   ,
WORK_TYPE    ,
INVENTORY_ITEM     ,
LOCATION_CODE      ,
ASSIGNMENT_NAME    ,
EMPLOYEE_NUMBER    ,
EMPLOYEE_NAME      ,
WIP_RESOURCE       ,
SUPPLIER_NAME      ,
PO_NUMBER    ,
PO_LINE_NUMBER  ,
PO_DIST_LINE_NUMBER,
RECEIPT_NUMBER  ,
RECEIPT_LINE_NUMBER,
INVOICE_NO   ,
INVOICE_LINE_NUMBER,
INV_DIST_LINE_NUMBER,
ALERT_TYPE,
ALERT_TEXT,
LANGUAGE
FROM pa_ecc_cost_txns where language in ('US') ) PIVOT(
max(SOURCE) as SOURCE,
max(PROJECT_TYPE_CLASS) as PROJECT_TYPE_CLASS,
max(EXPENDITURE_ORG_NAME) as EXPENDITURE_ORG_NAME,
max(UNIT_OF_MEASURE_M) as UNIT_OF_MEASURE_M,
max(TRANSACTION_STATUS) as TRANSACTION_STATUS,
max(PREDEFINED_FLAG) as PREDEFINED_FLAG,
max(COSTED_FLAG) as COSTED_FLAG,
max(ALLOW_ADJUSTMENTS_FLAG) as ALLOW_ADJUSTMENTS_FLAG,
max(GL_ACCOUNTED_FLAG) as GL_ACCOUNTED_FLAG,
max(COST_BURDENED_FLAG) as COST_BURDENED_FLAG,
max(ALLOW_BURDEN_FLAG) as ALLOW_BURDEN_FLAG,
max(ALERT_TYPE) as ALERT_TYPE,
max(ALERT_TEXT) as ALERT_TEXT
for LANGUAGE in ('US' "US")) </t>
  </si>
  <si>
    <t>select ecc_spec_id from pa_ecc_cost_txns
where language in ('US')</t>
  </si>
  <si>
    <t>Product Information Management</t>
  </si>
  <si>
    <t>inv-item-manufactures</t>
  </si>
  <si>
    <t>Manufactured Items</t>
  </si>
  <si>
    <t xml:space="preserve"> SELECT * FROM(SELECT
                           ECC_SPEC_ID,
                           manf.INVENTORY_ITEM_ID,
                           manf.ORGANIZATION_ID,
                           ITEM,
                           ORG_CODE,
                           DESCRIPTION,
                           MANUFACTURERS,
                           MANUFACTURER_PART_NUMBERS,
                           LANGUAGE
                        FROM
                          MTL_ITEM_ECC_MANF_V manf, MTL_ITEM_ECC_TEMP tmp WHERE manf.manufacturer_id = tmp.manufacturer_id
                          and language in ('US'))
                          PIVOT (MAX(DESCRIPTION) AS DESCRIPTION
                         for LANGUAGE in('US' "US"))</t>
  </si>
  <si>
    <t>inv-item-suppliers</t>
  </si>
  <si>
    <t>Approved Supplier Items</t>
  </si>
  <si>
    <t>SELECT * FROM( SELECT
                           ECC_SPEC_ID,
                           supplier.INVENTORY_ITEM_ID,
                           supplier.ORGANIZATION_ID,
                           ITEM,
                           ORG_CODE,
                           DESCRIPTION,
                           SUPPLIER_STATUS,
                           SUPPLIER_ITEMS,
                           SUPPLIERS,
                           LANGUAGE
                           FROM
                           MTL_ITEM_ECC_SUPPLIERS_V supplier, MTL_ITEM_ECC_TEMP tmp WHERE supplier.inventory_item_id = tmp.inventory_item_id
                           and supplier.vendor_id=tmp.vendor_id and language in ('US'))
                           PIVOT (MAX(DESCRIPTION) AS DESCRIPTION
                           for LANGUAGE in('US' "US"))</t>
  </si>
  <si>
    <t>inv-related-item</t>
  </si>
  <si>
    <t>Related Items</t>
  </si>
  <si>
    <t>SELECT * FROM(SELECT
                          ecc_spec_id,
                          related.inventory_item_id,
                          related.organization_id,
                          related.relationship_type_id,
                          org_code,
                          item,
                          description,
                          relationship_types,
                          related_item,
                          language
                          FROM
                         mtl_item_ecc_rel_items_v related,MTL_ITEM_ECC_TEMP tmp
                         WHERE related.inventory_item_id=tmp.inventory_item_id
                                 and related.organization_id = tmp.organization_id
                                 and related.related_item_id = tmp.related_item_id
                                 and related.relationship_type_id = tmp.relationship_type_id
                                 and language in ('US'))
                         PIVOT (MAX(description) AS DESCRIPTION,MAX(relationship_types) AS RELATIONSHIP_TYPES
                         for LANGUAGE in('US' "US"))</t>
  </si>
  <si>
    <t>inv-item-categories</t>
  </si>
  <si>
    <t>Item Category Sets</t>
  </si>
  <si>
    <t>SELECT * FROM ( SELECT
							ECC_Spec_Id,
						    category.inventory_item_id,
							category.organization_id,
							ORG_CODE,
							category_set_name,
							category_name,
							language
							FROM
							mtl_item_ecc_categories_v category,MTL_ITEM_ECC_TEMP tmp where category.inventory_item_id = tmp.inventory_item_id
                              and category.organization_id=tmp.organization_id and language in ('US')
							)
							PIVOT (MAX(category_set_name) as category_set_name
							FOR language IN('US' "US"))</t>
  </si>
  <si>
    <t>inv-item-grain</t>
  </si>
  <si>
    <t>Organization Items</t>
  </si>
  <si>
    <t>select * from (SELECT /*+ push_pred(mtl_v.buyer) push_pred(mtl_v.rpc) */
  EAM_ITEM_TYPE,EAM_ACTIVITY_TYPE_CODE,EAM_ACTIVITY_CAUSE_CODE,EAM_ACTIVITY_SOURCE_CODE,EAM_ACT_SHUTDOWN_STATUS,EAM_ACT_NOTIFICATION_FLAG,
  BOM_ENABLED_FLAG,BOM_ITEM_TYPE,BASE_ITEM_ID,AUTO_CREATED_CONFIG_FLAG,EFFECTIVITY_CONTROL,CONFIG_MODEL_TYPE,CONFIG_ORGS,CONFIG_MATCH,ENG_ITEM_FLAG,
  COSTING_ENABLED_FLAG,INVENTORY_ASSET_FLAG,DEFAULT_INCLUDE_IN_ROLLUP_FLAG,COST_OF_SALES_ACCOUNT,STD_LOT_SIZE,INVENTORY_PLANNING_CODE,PLANNER_CODE,
  PLANNING_MAKE_BUY_CODE,MIN_MINMAX_QUANTITY,MAX_MINMAX_QUANTITY,MINIMUM_ORDER_QUANTITY,MAXIMUM_ORDER_QUANTITY,ORDER_COST,CARRYING_COST,SOURCE_TYPE,SOURCE_ORGANIZATION_CODE,
  SOURCE_SUBINVENTORY,MRP_SAFETY_STOCK_CODE,SAFETY_STOCK_BUCKET_DAYS,MRP_SAFETY_STOCK_PERCENT,FIXED_ORDER_QUANTITY,FIXED_DAYS_SUPPLY,FIXED_LOT_MULTIPLIER,
  VMI_MINIMUM_UNITS,VMI_MINIMUM_DAYS, VMI_MAXIMUM_UNITS,VMI_MAXIMUM_DAYS,VMI_FIXED_ORDER_QUANTITY,SO_AUTHORIZATION_FLAG,CONSIGNED_FLAG,ASN_AUTOEXPIRE_FLAG,
  VMI_FORECAST_TYPE,FORECAST_HORIZON,SUBCONTRACTING_COMPONENT,INVENTORY_ITEM_FLAG,STOCK_ENABLED_CODE,STOCK_ENABLED_FLAG,MTL_TRANSACTIONS_ENABLED_FLAG,REVISION_QTY_CONTROL_CODE,
  RESERVABLE_TYPE,CHECK_SHORTAGES_FLAG,SHELF_LIFE_CODE,SHELF_LIFE_DAYS,CYCLE_COUNT_ENABLED_FLAG,NEGATIVE_MEASUREMENT_ERROR,POSITIVE_MEASUREMENT_ERROR,
  LOT_CONTROL_CODE,AUTO_LOT_ALPHA_PREFIX,START_AUTO_LOT_NUMBER,SERIAL_NUMBER_CONTROL_CODE,AUTO_SERIAL_ALPHA_PREFIX,START_AUTO_SERIAL_NUMBER,LOCATION_CONTROL_CODE,
  RESTRICT_SUBINVENTORIES_CODE,RESTRICT_LOCATORS_CODE,LOT_STATUS_ENABLED,DEFAULT_LOT_STATUS_ID,SERIAL_STATUS_ENABLED,DEFAULT_SERIAL_STATUS_ID,LOT_SPLIT_ENABLED,
  LOT_MERGE_ENABLED,LOT_TRANSLATE_ENABLED,LOT_SUBSTITUTION_ENABLED,BULK_PICKED_FLAG,MATURITY_DAYS,HOLD_DAYS,RETEST_INTERVAL,EXPIRATION_ACTION_INTERVAL,
  EXPIRATION_ACTION_CODE,GRADE_CONTROL_FLAG,DEFAULT_GRADE,LOT_DIVISIBLE_FLAG,CHILD_LOT_FLAG,PARENT_CHILD_GENERATION_FLAG,CHILD_LOT_PREFIX,CHILD_LOT_STARTING_NUMBER,
  CHILD_LOT_VALIDATION_FLAG,COPY_LOT_ATTRIBUTE_FLAG,INVOICEABLE_ITEM_FLAG,INVOICE_ENABLED_FLAG,ACCOUNTING_RULE_ID,INVOICING_RULE_ID,TAX_CODE,SALES_ACCOUNT,
  PAYMENT_TERMS_ID,PREPROCESSING_LEAD_TIME,FULL_LEAD_TIME,POSTPROCESSING_LEAD_TIME,FIXED_LEAD_TIME,VARIABLE_LEAD_TIME,CUM_MANUFACTURING_LEAD_TIME,
  CUMULATIVE_TOTAL_LEAD_TIME,LEAD_TIME_LOT_SIZE,MRP_PLANNING_CODE,ATO_FORECAST_CONTROL,END_ASSEMBLY_PEGGING_FLAG,PLANNING_EXCEPTION_SET,SHRINKAGE_RATE,
  ACCEPTABLE_EARLY_DAYS,ROUNDING_CONTROL_TYPE,PLANNED_INV_POINT_FLAG,CREATE_SUPPLY_FLAG,REPETITIVE_PLANNING_FLAG,OVERRUN_PERCENTAGE,ACCEPTABLE_RATE_INCREASE,
  ACCEPTABLE_RATE_DECREASE,MRP_CALCULATE_ATP_FLAG,AUTO_REDUCE_MPS,PLANNING_TIME_FENCE_CODE,PLANNING_TIME_FENCE_DAYS,DEMAND_TIME_FENCE_CODE,DEMAND_TIME_FENCE_DAYS,
  RELEASE_TIME_FENCE_CODE,RELEASE_TIME_FENCE_DAYS,SUBSTITUTION_WINDOW_CODE,SUBSTITUTION_WINDOW_DAYS,EXCLUDE_FROM_BUDGET_FLAG,CRITICAL_COMPONENT_FLAG,
  CONTINOUS_TRANSFER,CONVERGENCE,DIVERGENCE,DRP_PLANNED_FLAG,DAYS_MAX_INV_SUPPLY,DAYS_MAX_INV_WINDOW,DAYS_TGT_INV_SUPPLY,DAYS_TGT_INV_WINDOW,REPAIR_LEADTIME,
  REPAIR_YIELD,REPAIR_PROGRAM,PREPOSITION_POINT,TRACKING_QUANTITY_IND,ONT_PRICING_QTY_SOURCE,SECONDARY_UOM_CODE,SECONDARY_DEFAULT_IND,DUAL_UOM_DEVIATION_HIGH,
  DUAL_UOM_DEVIATION_LOW,ALLOWED_UNITS_LOOKUP_CODE,ITEM_TYPE,DESCRIPTION,INVENTORY_ITEM_STATUS_CODE,PRIMARY_UNIT_OF_MEASURE,CUSTOMER_ORDER_FLAG,CUSTOMER_ORDER_ENABLED_CODE,
  CUSTOMER_ORDER_ENABLED_FLAG,SHIPPABLE_ITEM_CODE,SHIPPABLE_ITEM_FLAG,INTERNAL_ORDER_FLAG,INTERNAL_ORDER_ENABLED_FLAG,SO_TRANSACTIONS_FLAG,PICK_COMPONENTS_FLAG,
  ATP_FLAG,REPLENISH_TO_ORDER_FLAG,ATP_RULE_ID,ATP_COMPONENTS_FLAG,SHIP_MODEL_COMPLETE_FLAG,PICKING_RULE_ID,DEFAULT_SHIPPING_ORG,DEFAULT_SO_SOURCE_TYPE,
  CHARGE_PERIODICITY_CODE,RETURNABLE_FLAG,RETURN_INSPECTION_REQUIREMENT,FINANCING_ALLOWED_FLAG,OVER_SHIPMENT_TOLERANCE,OVER_RETURN_TOLERANCE,UNDER_SHIPMENT_TOLERANCE,
  UNDER_RETURN_TOLERANCE,WEIGHT_UOM_CODE,UNIT_WEIGHT,VOLUME_UOM_CODE,UNIT_VOLUME,DIMENSION_UOM_CODE,UNIT_LENGTH,UNIT_WIDTH,UNIT_HEIGHT,CONTAINER_ITEM_FLAG,
  VEHICLE_ITEM_FLAG,CONTAINER_TYPE_CODE,INTERNAL_VOLUME,MAXIMUM_LOAD_WEIGHT,MINIMUM_FILL_PERCENT,COLLATERAL_FLAG,ELECTRONIC_FLAG,EVENT_FLAG,DOWNLOADABLE_FLAG,
  INDIVISIBLE_FLAG,EQUIPMENT_TYPE,RECIPE_ENABLED_FLAG,PROCESS_COSTING_ENABLED_FLAG,PROCESS_QUALITY_ENABLED_FLAG,PROCESS_EXECUTION_ENABLED_FLAG,PROCESS_SUPPLY_SUBINVENTORY,
  PROCESS_SUPPLY_LOCATOR_ID,PROCESS_YIELD_SUBINVENTORY,PROCESS_YIELD_LOCATOR_ID,HAZARDOUS_MATERIAL_FLAG,CAS_NUMBER,PURCHASING_ITEM_FLAG,PURCHASING_ENABLED_CODE,
  PURCHASING_ENABLED_FLAG,MUST_USE_APPROVED_VENDOR_FLAG,ALLOW_ITEM_DESC_UPDATE_FLAG,RFQ_REQUIRED_FLAG,OUTSIDE_OPERATION_FLAG,OUTSIDE_OPERATION_UOM_TYPE,
  TAXABLE_FLAG,PURCHASING_TAX_CODE,RECEIPT_REQUIRED_FLAG,INSPECTION_REQUIRED_FLAG,BUYER_ID,UNIT_OF_ISSUE,RECEIVE_CLOSE_TOLERANCE,INVOICE_CLOSE_TOLERANCE,UN_NUMBER_ID,
  HAZARD_CLASS_ID,LIST_PRICE_PER_UNIT,MARKET_PRICE,PRICE_TOLERANCE_PERCENT,ROUNDING_FACTOR,ENCUMBRANCE_ACCOUNT,EXPENSE_ACCOUNT,ASSET_CATEGORY_ID,OUTSOURCED_ASSEMBLY,
  RECEIPT_DAYS_EXCEPTION_CODE,DAYS_EARLY_RECEIPT_ALLOWED,DAYS_LATE_RECEIPT_ALLOWED,ALLOW_SUBSTITUTE_RECEIPTS_FLAG,ALLOW_UNORDERED_RECEIPTS_FLAG,ALLOW_EXPRESS_DELIVERY_FLAG,
  QTY_RCV_EXCEPTION_CODE,QTY_RCV_TOLERANCE,RECEIVING_ROUTING_ID,ENFORCE_SHIP_TO_LOCATION_CODE,SERV_REQ_ENABLED_CODE,SERVICEABLE_PRODUCT_CODE,SERVICEABLE_PRODUCT_FLAG,
  DEFECT_TRACKING_ON_FLAG,COMMS_ACTIVATION_REQD_FLAG,CONTRACT_ITEM_TYPE_CODE,SERVICE_DURATION,SERVICE_DURATION_PERIOD_CODE,COVERAGE_SCHEDULE_ID,SERVICE_STARTING_DELAY,
  COMMS_NL_TRACKABLE_FLAG,ASSET_CREATION_CODE,IB_ITEM_INSTANCE_CLASS,RECOVERED_PART_DISP_CODE,SERV_BILLING_ENABLED_FLAG,MATERIAL_BILLABLE_FLAG,WEB_STATUS,
  ORDERABLE_ON_WEB_FLAG,BACK_ORDERABLE_FLAG,MINIMUM_LICENSE_QUANTITY,BUILD_IN_WIP_CODE,BUILD_IN_WIP_FLAG,WIP_SUPPLY_TYPE,WIP_SUPPLY_SUBINVENTORY,WIP_SUPPLY_LOCATOR_ID,
  INVENTORY_CARRY_PENALTY,OPERATION_SLACK_PENALTY,OVERCOMPLETION_TOLERANCE_TYPE,OVERCOMPLETION_TOLERANCE_VALUE,ITEM,LONG_DESCRIPTION,CATALOG_GROUP,ORG_CODE,ORG_NAME,
  CURRENT_REVISION,REVISION_EFFECTIVE_DATE,REVISION_IMPLEMENTATION_DATE,ECO,a.INVENTORY_ITEM_ID,a.ORGANIZATION_ID,ITEM_COST,ON_HAND_QUANTITY,NULL AS AVAILABLE_TO_RESERVE,
  NULL AS AVAILABLE_TO_TRANSACT,LTRIM(ITEM_FUNCTIONS,fnd_global.local_chr(44)||fnd_global.local_chr(127)) ITEM_FUNCTIONS,REVISION_LABEL,PENDING_CHANGE,ECC_LAST_UPDATE_DATE,ECC_SPEC_ID,a.REVISION_ID,DETAILS,CURRENCY,RECV_SUBINVENTORY,
  IB_ITEM_TRACKING_LEVEL,ATTRIBUTE_CATEGORY,
  /*ATTRIBUTE1,
  ATTRIBUTE2,
  ATTRIBUTE3,
  ATTRIBUTE4,
  ATTRIBUTE5,
  ATTRIBUTE6,
  ATTRIBUTE7,
  ATTRIBUTE8,
  ATTRIBUTE9,
  ATTRIBUTE10,
  ATTRIBUTE11,
  ATTRIBUTE12,
  ATTRIBUTE13,
  ATTRIBUTE14,
  ATTRIBUTE15,
  ATTRIBUTE16,
  ATTRIBUTE17,
  ATTRIBUTE18,
  ATTRIBUTE19,
  ATTRIBUTE20,
  ATTRIBUTE21,
  ATTRIBUTE22,
  ATTRIBUTE23,
  ATTRIBUTE24,
  ATTRIBUTE25,
  ATTRIBUTE26,
  ATTRIBUTE27,
  ATTRIBUTE28,
  ATTRIBUTE29,
  ATTRIBUTE30,*/
  QUANTITIES,
  LANGUAGE
FROM MTL_ITEM_ECC_GRAIN_V a,
MTL_ITEM_ECC_TEMP tmp
WHERE tmp.inventory_item_id = a.inventory_item_id
AND tmp.organization_id = a.organization_id
and language in ('US')) PIVOT (
MAX(DESCRIPTION) AS DESCRIPTION,
MAX(LONG_DESCRIPTION) AS LONG_DESCRIPTION,
max(DEFAULT_LOT_STATUS_ID) AS DEFAULT_LOT_STATUS_ID,
max(DEFAULT_SERIAL_STATUS_ID) AS DEFAULT_SERIAL_STATUS_ID,
max(EXPIRATION_ACTION_CODE) AS EXPIRATION_ACTION_CODE,
max(DEFAULT_GRADE) AS DEFAULT_GRADE,
max(UN_NUMBER_ID) AS UN_NUMBER_ID,
max(HAZARD_CLASS_ID) AS HAZARD_CLASS_ID,
max(INVENTORY_ITEM_STATUS_CODE) AS INVENTORY_ITEM_STATUS_CODE,
max(SERVICE_DURATION_PERIOD_CODE) AS SERVICE_DURATION_PERIOD,
max(PAYMENT_TERMS_ID) AS PAYMENT_TERMS_ID
for LANGUAGE in ('US' "US"))
</t>
  </si>
  <si>
    <t>inv-cross-ref</t>
  </si>
  <si>
    <t>Item Cross Reference</t>
  </si>
  <si>
    <t>SELECT *
                          FROM (SELECT
                          ECC_SPEC_ID,
                          cross.INVENTORY_ITEM_ID,
                          cross.ORGANIZATION_ID,
                          ITEM,
                          ORG_CODE,
                          DESCRIPTION,
                          CROSS_REFERENCE_TYPE,
                          CROSS_REFERENCE_VALUE,
                          LANGUAGE
			              FROM
			              MTL_ITEM_ECC_CROSS_REF_V cross,MTL_ITEM_ECC_TEMP tmp WHERE cross.cross_reference_id = tmp.cross_reference_id
                          and language in ('US') )
                          PIVOT (MAX(DESCRIPTION) AS DESCRIPTION
                          for LANGUAGE in ('US' "US"))</t>
  </si>
  <si>
    <t>inv-item-revisions</t>
  </si>
  <si>
    <t>Item Revisions</t>
  </si>
  <si>
    <t>SELECT * FROM(SELECT
                          ECC_SPEC_ID,
                          revisions.INVENTORY_ITEM_ID,
                          revisions.ORGANIZATION_ID,
                          ITEM,
                          ORG_CODE,
                          DESCRIPTION,
                          REVISION_REASONS,
                          CURRENT_REVISION,
                          REVISION_LABEL,
                          EFFECTIVITY_DATE,
                          IMPLEMENTATION_DATE,
                          REVISIONS,
                          LANGUAGE,
						  PENDING_CHANGE
                          FROM
			              MTL_ITEM_ECC_REVISIONS_V revisions, MTL_ITEM_ECC_TEMP tmp WHERE revisions.revision_id = tmp.revision_id
                          and language in ('US') )
                          PIVOT (MAX(DESCRIPTION) AS DESCRIPTION
                          for LANGUAGE in('US' "US"))</t>
  </si>
  <si>
    <t>inv-item-functions</t>
  </si>
  <si>
    <t>Item Functions</t>
  </si>
  <si>
    <t>SELECT *
          FROM (
            SELECT
              ECC_SPEC_ID,
              func.INVENTORY_ITEM_ID,
              func.ORGANIZATION_ID,
              ORG_CODE,
              FUNCTION_CODE,
              FUNCTION_VALUE
               FROM
              mtl_item_ecc_item_functions_v func,MTL_ITEM_ECC_TEMP tmp where func.inventory_item_id = tmp.inventory_item_id
              and func.organization_id=tmp.organization_id )</t>
  </si>
  <si>
    <t>Project Procurement</t>
  </si>
  <si>
    <t>po-proc-deliverables</t>
  </si>
  <si>
    <t>Deliverables</t>
  </si>
  <si>
    <t xml:space="preserve">  SELECT * FROM
	                       (SELECT  DELDATA AS ECC_SPEC_ID,
								 DELDATA AS RECORD_IDENTIFIER,
								 PROJECT_NAME ,
								 ORDER_NUMBER,
								 DELDATA,
								 BUSINESS_DOCUMENT_TYPE,
								 BUSINESS_DOCUMENT_TYPE_CODE,
								 DELIVERABLE_TYPE,
								 DELIVERABLE_TYPE_CODE,
								 DELIVERABLE_STATUS,
								 DELIVERABLE_STATUS_CODE,
								 RESPONSIBLE_PARTY_CODE,
								 RESPONSIBLE_PARTY,
								 DELIVERABLE_NAME,
								 DELIVERABLE_DESCRIPTION,
								 DISPLAY_SEQUENCE,
								 FIXED_DUE_DATE_YN,
								 ACTUAL_DUE_DATE,
								 RECURRING_YN,
								 AMENDMENT_NOTES,
								 STATUS_CHANGE_NOTES,
								 VENDOR_CONTACT_ID,
								 PARTY_NAME,
								 CONTACT,
								 PO_HEADER_ID,
								 DELIVERABLE_HOLD,
								 HOLD_AMOUNT,
								 DAYS_ON_HOLD,
								 ORG_ID,
								 PROJECT_ID,
								 PROJECT_NUMBER,
								 HOLD_DATE,
								 MANAGE_DELIVERABLE,
                                 LANGUAGE
                                 FROM (
										SELECT  pap.name project_name
											   ,poh.segment1 order_number
											   ,del.deliverable_id deldata
											   ,busdoctypes_tl.name business_document_type
											   ,del.business_document_type business_document_type_code
											   ,deliverabletypes_tl.name deliverable_type
											   ,del.deliverable_type deliverable_type_code
											   ,status_lookup.meaning deliverable_status
											   ,del.deliverable_status deliverable_status_code
											   ,del.responsible_party responsible_party_code
											   ,reptl.name responsible_party
											   ,del.deliverable_name
											   ,del.description deliverable_description
											   ,del.display_sequence
											   ,del.fixed_due_date_yn
											   ,del.actual_due_date
											   ,del.recurring_yn
											   ,del.amendment_notes
											   ,del.status_change_notes
											   ,poh.vendor_contact_id
											   ,CASE
												WHEN    del.deliverable_type = 'CONTRACTUAL'
												AND     responsible_party = 'SUPPLIER_ORG'
														THEN
																(
																SELECT  vendor_name
																FROM    ap_suppliers
																WHERE   vendor_id = poh.vendor_id
																)
												ELSE
														(
														SELECT  DISTINCT
																name
														FROM    hr_all_organization_units_tl
														WHERE   organization_id = poh.org_id
														AND     language (+) = lang.language_code
														) END party_name
											   ,CASE
												WHEN    del.deliverable_type = 'CONTRACTUAL'
												AND     responsible_party = 'SUPPLIER_ORG'
														THEN
																(
																SELECT  DISTINCT
																		party_name
																FROM    hz_parties
																WHERE   party_id = poh.vendor_contact_id
																)
												ELSE
														(
														SELECT  DISTINCT
																full_name
														FROM    per_all_people_f
														WHERE   person_id = del.internal_party_contact_id
														) END contact
											   ,poh.po_header_id
											   ,decode (nvl (holds.hold
															,0)
													   ,0
													   ,'N'
													   ,'Y') deliverable_hold
											   ,holds.hold_amount hold_amount
											   ,trunc (sysdate - holds.hold_date) days_on_hold
											   ,poh.org_id org_id
											   ,psco.project_id
											   ,pap.segment1 project_number
											   ,holds.hold_date hold_date
											   ,po_endeca_util_pub.po_get_action_text ('MANAGE_DELIVERABLE'
																					  ,20) manage_deliverable
											   ,lang.language_code LANGUAGE
										FROM    okc_deliverables del
											   ,po_headers_all poh
											   ,po_doc_style_headers ps
											   ,pa_supply_chain_options psco
											   ,pa_projects_all pap
											   ,po_proc_plan_header pph
											   ,fnd_lookup_values status_lookup
											   ,okc_deliverable_types_tl deliverabletypes_tl
											   ,okc_bus_doc_types_tl busdoctypes_tl
											   ,okc_resp_parties_b repb
											   ,okc_resp_parties_tl reptl
											   ,
												(
												SELECT  pod.po_header_id
													   ,count (1) hold
													   ,sum (apd.amount) hold_amount
													   ,min (ah.hold_date) hold_date
												FROM    ap_invoice_distributions_all apd
													   ,ap_holds_all ah
													   ,po_distributions_all pod
												WHERE   apd.project_id &gt; 0
												AND     ah.invoice_id = apd.invoice_id
												AND     pod.po_distribution_id &gt; 0
												AND     pod.po_distribution_id = apd.po_distribution_id
												AND     ah.hold_lookup_code = 'PO Deliverable'
												AND     ah.release_lookup_code IS NULL
												GROUP BY pod.po_header_id
												) holds
												,fnd_languages lang
										WHERE   poh.po_header_id = del.business_document_id
										AND     poh.revision_num = del.business_document_version
										AND     poh.po_header_id = holds.po_header_id (+)
										AND     business_document_type IN ('PO_STANDARD','RFQ')
										AND     psco.project_id IN
												(
												SELECT  DISTINCT
														project_id
												FROM    po_distributions_all
												WHERE   po_header_id = poh.po_header_id
												)
										AND     pap.project_id = psco.project_id
										AND     pph.project_id = psco.project_id
										AND     psco.enable_scp_flag = 'Y'
										AND     status_lookup.lookup_type = 'OKC_DELIVERABLE_STATUS'
										AND     status_lookup.lookup_code = del.deliverable_status
										AND     status_lookup.VIEW_APPLICATION_ID = 0
                                        AND     status_lookup.SECURITY_GROUP_ID = 0
										AND     status_lookup.language = lang.language_code
										AND     del.deliverable_status &lt;&gt; 'INACTIVE'
										AND     lang.installed_flag in ('I', 'B')
										AND     nvl(deliverabletypes_tl.language, lang.language_code) = lang.language_code
										AND     deliverabletypes_tl.deliverable_type_code = del.deliverable_type
										AND     nvl(busdoctypes_tl.language, lang.language_code) = lang.language_code
										AND     busdoctypes_tl.document_type = del.business_document_type
										AND     poh.style_id = ps.style_id
										AND 	repb.document_type_class = reptl.document_type_class(+)
										AND     repb.resp_party_code = reptl.resp_party_code(+)
										AND     nvl (repb.intent , 'XXX') = nvl (reptl.intent  ,'XXX')
										AND     nvl(reptl.language, lang.language_code) = lang.language_code
										AND     repb.resp_party_code(+) = del.responsible_party
										AND     nvl(repb.document_type_class, 'PO') = 'PO'
										AND     del.last_update_date &gt;= to_date(to_char(to_timestamp('27-APR-20'),'DD-MON-YY HH24.MI.SS'),'DD-MON-YY HH24.MI.SS') AND  LANG.LANGUAGE_CODE in ('US'))
										) PIVOT (
										 MAX(business_document_type) AS BUSINESS_DOCUMENT_TYPE,
										 MAX(deliverable_type) AS DELIVERABLE_TYPE,
										 MAX(party_name) AS PARTY_NAME,
										 MAX(responsible_party) AS RESPONSIBLE_PARTY,
										 MAX(deliverable_status) AS DELIVERABLE_STATUS
										for LANGUAGE in ('US' "US")
										 )</t>
  </si>
  <si>
    <t>po-proc-plan</t>
  </si>
  <si>
    <t>10s</t>
  </si>
  <si>
    <t>Procurement Plan</t>
  </si>
  <si>
    <t>SELECT * FROM
		(
		select  v.ENDECA_ID ECC_SPEC_ID,
		v.RECORD_TYPE,
		v.PROJ_ID,
    v.ENDECA_ID RECORD_IDENTIFIER,
		v.UOM_CODE,
		v.UOM,
		v.RECEIVED_QUANTITY,
		v.ORDERED_QUANTITY,
		v.REJECTED_QUANTITY,
		v.NEGOTIATED_PRICE,
		v.UNIT_PRICE,
		v.AMOUNT,
		v.OBLIGATED_AMOUNT,
		v.COMMITTED_AMOUNT,
		v.PROCUREMENT_PLAN_ID,
		v.PROCUREMENT_PLAN_LINE_ID,
		v.PLAN_START_DATE,
		v.PLAN_END_DATE,
		v.LINE_STATUS,
		v.PROJECT_NAME,
		v.PROJECT_MANAGER_NAME,
		v.PROJECT_CREATION_DATE,
		v.LINE_TYPE,
		v.PART_NUMBER,
		v.ITEM_DESCRIPTION,
		v.QUANTITY,
		v.NEED_BY_DATE,
    v.NEED_BY_MONTH,
    v.NEED_BY_YEAR,
		v.BUYER_NAME,
		v.SUPPLIER_NAME,
		v.DELIVER_TO_LOCATION,
		v.TASK_NAME,
		v.AGREEMENT_ID,
		v.AGREEMENT_LINE_ID,
		v.ORDER_NUMBER,
		v.ITEM_CATEGORY,
		v.SUGGESTED_SUPPLIER_NAME,
		v.LEAD_TIME,
		v.CATALOG_TYPE,
		v.COST_CODE,
		v.ABC_CLASS,
		v.COUNTRY_OF_ORIGIN,
		v.GRADE_QUALITY,
		v.MANUFACTURER,
		v.EQUIPMENT_MODEL,
		v.DETAILED_SPECIFICATION,
		v.EXPENDITURE_TYPE,
		v.SUPPLIER_ID,
		v.PERIOD_NAME,
    v.PERIOD_NAME_PM,
		v.PLANNING_CURRENCY,
		v.PERIOD_START_DATE,
		v.PERIOD_QUANTITY,
		v.PO_STATUS,
		v.PO_STATUS_CODE,
		v.PO_SUPPLIER_NAME,
		v.PO_DESCRIPTION,
		v.PO_REVISION,
		v.CURRENT_PO_AMOUNT,
		v.PO_LINE_TYPE,
		v.PO_ITEM_CATEGORY,
		v.PO_ITEM_NUMBER,
		v.PO_ITEM_DESCRIPTION,
		v.PO_QUANTITY_INVOICED,
		v.PO_NEED_BY_DATE,
		v.PO_EXPENDITURE_TYPE,
		v.PO_EXPENDITURE_ORGANIZATION,
		v.PO_EXPENDITURE_ITEM_DATE,
		v.REQUISITION_NUMBER,
		v.REQ_DOCUMENT_STATUS,
		v.REQ_DOCUMENT_STATUS_CODE,
		v.REQ_BUYER_NAME,
		v.REQ_ITEM_DESCRIPTION,
		v.REQ_CATEGORY,
		v.REQ_QUANTITY,
		v.REQ_NEED_BY_DATE,
		v.REQ_EXPENDITURE_TYPE,
		v.REQ_EXPENDITURE_ORGANIZATION,
		v.REQ_EXPENDITURE_ITEM_DATE,
		v.REQUISITION_ID,
		v.PO_HEADER_ID,
		v.PO_LINE_ID,
		v.REQUISITION_LINE_ID,
		v.PO_CATEGORY_ID,
		v.LINE_TYPE_ID,
		v.ITEM_REVISION,
		v.LINE_NUMBER,
		v.SUPPLIER_PART_NUM,
		v.SUPPLIER_SITE_ID,
		v.SHOPPING_CATEGORY_ID,
		v.NEGOTIATED_BY_PREPARER_FLAG,
		DECODE(v.services_line_code, 'S', v.REQUESTED_QUANTITY, (CASE WHEN (plan_gt.num4 &gt; 0) THEN v.PERIOD_QUANTITY ELSE v.REQUESTED_QUANTITY END)) REQUESTED_QUANTITY,
    DECODE(v.services_line_code, 'S', v.ONCART_QUANTITY, (CASE WHEN (plan_gt.num10 &gt; 0) THEN v.PERIOD_QUANTITY ELSE v.ONCART_QUANTITY END)) ONCART_QUANTITY,
		v.EFFECTIVE_DATE,
		v.EXPIRY_DATE,
		v.RFQ_NUMBER,
		v.MINIMUM_QUANTITY,
		v.MAXIMUM_QUANTITY,
		v.ADDITIONAL_INFORMATION,
		v.PROMISED_DATE,
		v.ORDER_BY_DATE,
		v.OVERDUE_FLAG,
		v.REJECT_FLAG,
		v.PRIORITY1,
		v.PRIORITY2,
		v.PRIORITY3,
		v.BLANKET_AGREEMENT_NUMBER,
		v.ITEM_CATEGORY_ID,
		v.REQ_ITEM_NUMBER,
		v.REQ_UOM,
		v.REQ_UNIT_PRICE,
		v.PO_UOM,
		v.PO_QUANTITY,
		v.PO_UNIT_PRICE,
		v.SCHEDULE_LINE_NUMBER,
		v.SOURCE_LINE_NUMBER,
		v.OVERDUE_QUANTITY,
		v.OVERDUE_MEANING_FLAG,
		v.REJECT_MEANING_FLAG,
		v.EXCEED_BUDGET_MEANING_FLAG,
		v.RFQ_REQUIRED_MEANING_FLAG,
		v.PROC_LINE_LAST_UPD_DATE,
		v.PROC_SUPP_LAST_UPD_DATE,
		v.REQ_LAST_UPD_DATE,
		v.PO_LINE_LAST_UPD_DATE,
		v.PLANNING_AMOUNT,
		v.FUNCTIONAL_CURRENCY_CODE,
		v.FUNCTIONAL_CURRENCY_AMOUNT,
		v.PROJECT_CURRENCY_CODE,
		v.PROJECT_CURRENCY_AMOUNT,
		v.PROC_PLAN_PERIOD_REQ_ID,
		v.PROC_PLAN_SCHEDULE_LINKS_ID,
		v.PROC_PLAN_SUPPLY_SOURCE_ID,
		v.PROJECT_NUMBER,
		v.TASK_NUMBER,
		v.PLANNED_YN,
		v.OVER_BUDGET_FLAG,
		v.REQ_TASK_NAME,
		v.REQ_TASK_NUMBER,
		v.PO_TASK_NAME,
		v.AGREEMENT_LINE_NUMBER,
		v.ORG_ID,
		v.ITEM_ID,
		v.ORGANIZATION_NAME,
		v.NEG_AUCTION_HDR_ID,
		v.NEG_TITLE,
		v.NEG_CLOSE_DATE,
		v.NEG_START_DATE,
		v.NEG_STATUS,
		v.NEG_STATUS_CODE,
		v.NEG_LINE_TYPE,
		v.NEG_LINE_NUMBER,
		v.NEG_ITEM,
		v.NEG_UOM,
		v.NEG_QUANTITY,
		v.NEG_CURRENCY,
		v.NEG_TARGET_PRICE,
		v.NEG_BEST_OFFER_PRICE,
		v.NEG_INVITED_SUPPLIERS,
		v.NEG_ACTIVE_OFFERS,
		v.AGR_AGREED_AMOUNT,
		v.EFFECTIVE_FROM,
		v.EFFECTIVE_TO,
		v.AGR_UOM,
		v.AGR_DESCRIPTION,
		v.AGR_CURRENCY,
		v.AGR_UNIT_PRICE,
		v.AGR_VENDOR_NAME,
		v.AGR_CATEGORY,
		v.AGR_ITEM,
		v.AGR_LEAD_TIME,
		v.LAT_PUB_ACTUAL_START_DATE,
		v.LAT_PUB_ACTUAL_FINISH_DATE,
		v.LAT_PUB_SCHEDULED_START_DATE,
		v.LAT_PUB_SCHEDULED_FINISH_DATE,
		v.WORKING_SCHEDULED_START_DATE,
		v.WORKING_SCHEDULED_FINISH_DATE,
		v.SHIPMENT_LATE_FLAG,
		v.ACQ_STRATEGY_OBJECTIVE1,
		v.ACQ_STRATEGY_OBJECTIVE2,
		v.PROD_SELECTION_OBJECTIVE1,
		v.PROD_SELECTION_OBJECTIVE2,
		v.INV_STRATEGY_OBJECTIVE1,
		v.INV_STRATEGY_OBJECTIVE2,
		v.PROJ_SUP_P1_CODE,
		v.PROJ_SUP_P2_CODE,
		v.LOG_STRAT_P1_CODE,
		v.LOG_STRAT_P2_CODE,
		v.AGREEMENT_STATUS,
		v.AGREEMENT_STATUS_CODE,
		v.AGREEMENT_SUPPLIER,
		v.NEG_MIN_PERIOD,
		v.ACQ_STRATEGY_OBJECTIVE1_CODE,
		v.ACQ_STRATEGY_OBJECTIVE2_CODE,
		v.PROD_SEL_OBJECTIVE1_CODE,
		v.PROD_SEL_OBJECTIVE2_CODE,
		v.INV_STRATEGY_OBJECTIVE1_CODE,
		v.INV_STRATEGY_OBJECTIVE2_CODE,
		v.PROJ_SUP_P1,
		v.PROJ_SUP_P2,
		v.LOG_STRAT_P1,
		v.LOG_STRAT_P2,
		v.LINE_STATUS_CODE,
		v.NEG_BUYER_NAME,
		v.TASK,
		v.SHIPMENT_QUALITY_RATING,
		v.SHIPMENT_PRICE_COMPLIANCE,
		v.SHIPMENT_ONTIME_FLAG,
		v.LINE_LOCATION_ID,
		v.PO_DISTRIBUTION_ID,
		v.ORDER_APPROVED_FLAG,
		v.APPROVAL_DATE_MONTH,
		v.APPROVAL_DATE_YEAR,
		v.SHIPMENT_AMOUNT,
		v.PAYMENT_CURRENCY_CODE,
		v.APPROVED_LIST_STATUS_FLAG,
		v.DEL_COUNTRY,
		v.SUPP_COUNTRY,
		v.PO_SUPPLIER_HOLD_FLAG,
		v.SUPPLIER_HOLD_FLAG,
		v.SUGGESTED_SUPPLIER_HOLD_FLAG,
	  v.INVOICED_AMOUNT,
		v.PAID_AMOUNT,
		v.REQUESTER_CHANGE_REQUESTS,
		v.SUPPLIER_CHANGE_REQUESTS,
		v.PO_PAYMENT_TERMS_ID,
		v.PO_PAYMENT_TERMS,
		v.ORDER_BY_FLAG,
	  v.ORDER_BY_FLAG_CODE,
		v.AGREEMENT_EXPIRY_FLAG,
		v.SUPP_CHANGE_REQUEST_FLAG,
		v.SUPP_CHANGE_REQUEST_FLAG_CODE,
		v.TASK_ID,
		v.TASK_MANAGER,
		v.TASK_LOCATION,
		v.TASK_STATUS,
		v.TASK_ORG,
		v.ETC_SOURCE,
		v.RECIEVE_PROJECT_INVOICE_FLAG,
		v.CAPITALIZABLE_FLAG,
		v.BILLABLE_FLAG,
		v.CHARGEABLE_FLAG,
		v.STRUCTURE_VERSION_NUMBER,
		v.ELEMENT_VERSION_ID,
		v.TASK_ELEMENT_ID,
		v.PA_SRC,
		v.ORDER_BY,
		v.SCHEDULED_START,
		v.UNASSIGNED_FLAG,
		v.UNASSIGNED_FLAG_MEANING,
		v.TASK_TYPE,
		v.WORK_TYPE,
		v.LAT_PUB_MILESTONE_FLAG,
		v.LAT_PUB_CRITICAL_FLAG,
		v.WORKING_MILESTONE_FLAG,
		v.WORKING_CRITICAL_FLAG,
		v.TASK_PROGR_STATUS,
		v.SERVICE_TYPE,
		v.TASK_PRIORITY,
		v.PROJ_CURRENCY_NAME,
		v.TOT_PLAN_COST_PC,
		v.TOT_PROC_PLAN_COST_PC,
		v.TOT_PLAN_REV_PC,
		v.TOT_MARGIN_PC,
		v.MARGIN_PERCENT_PC,
		v.PROC_PERC_REV_PC,
		v.TOT_ACT_COST_PC,
		v.TOT_ACT_PROC_COST_PC,
		v.TOT_FC_COST_PC,
		v.TOT_FC_REV_PC,
		v.FC_MARGIN_PERCENT_PC,
		v.PROJFUNC_CURRENCY_NAME,
		v.TOT_PLAN_COST_PFC,
		v.TOT_PROC_PLAN_COST_PFC,
		v.TOT_PLAN_REV_PFC,
		v.TOT_MARGIN_PFC,
		v.MARGIN_PERCENT_PFC,
		v.PROC_PERC_REV_PFC,
		v.TOT_ACT_COST_PFC,
		v.TOT_ACT_PROC_COST_PFC,
		v.TOT_FC_COST_PFC,
		v.TOT_FC_REV_PFC,
		v.FC_MARGIN_PERCENT_PFC,
		v.PER_PROC_ACT_COST_DEL_OT,
		v.PER_PROC_ACT_COST_DELAYED,
		v.TOT_PAYMENTS_PC,
		v.TOT_PAYMENTS_PFC,
		v.TOT_PAY_HOLD_PC,
		v.TOT_PAY_HOLD_PFC,
		v.PROC_PER_TOT_COST,
		v.PER_TOT_COST_RCV,
		v.PER_TOT_COST_RET,
		v.PER_TOT_COST_ORD,
		v.PER_TOT_COST_REQ,
		v.PER_TOT_COST_REM,
		v.TOT_PLAN_BURD_COST_PC,
		v.TOT_PLAN_BURD_COST_PFC,
		v.TOT_PROJ_COMMITMENTS_PC,
		v.TOT_ACT_BURD_COST_PC,
		v.TOT_ACT_MARGIN_PC,
		v.TOT_ACT_BURD_COST_VAR,
		v.TOT_ACT_PROC_PLAN_COST_VAR,
		v.TOT_ACT_MARGIN_VAR,
		v.CURRENCY_CONV_RATE_FLAG,
		v.RECEIVED_AMOUNT,
		v.PO_TASK_NUMBER,
		v.TASK_DISPLAY_SEQUENCE,
		v.SCHEDULED_START_DATE,
		v.SCHEDULED_FINISH_DATE,
		v.ACTUAL_START_DATE,
		v.ACTUAL_FINISH_DATE,
		v.PROJECT_STATUS,
		v.PROJECT_ORG,
		v.PROJECT_CURRENCY,
		v.PROJECT_FUNC_CURRENCY,
		v.PRODUCT_VARIETY_FLAG,
		v.PENDING_REQ_FLAG,
		v.REQ_DELAY_FLAG,
		v.ORD_DELAY_FLAG,
		v.ABC_CLASS_CODE,
		v.REQS_IN_POOL_FLAG,
		v.PO_CURRENCY,
		v.REQ_CURRENCY,
		v.ITEM_PURCHASE_HIS,
		v.NEXT_SHIPMENT_DATE,
		v.INVOICE_ID,
		v.INVOICE_DISTRIBUTION_ID,
		v.PO_YEAR,
		v.PO_MONTH,
		v.NEG_NUMBER,
		v.PO_PAY_SCH_LINK_ID,
		v.PO_PAY_ITEM_ID,
		v.PAYMENT_TYPE,
		v.PAY_DESCRIPTION,
		v.PAY_QUANTITY,
		v.PAY_UNIT,
		v.PAY_VALUE,
		v.PAY_PRICE,
		v.PAY_AMOUNT,
		v.PROG_NEED_BY_DATE,
		v.PO_PAY_ITEM_LINE_ID,
		v.PO_SCH_LINE_ID,
		v.PO_SCH_ID,
		v.SERVICES_LINE,
		v.SERVICES_LINE_CODE,
		v.SERVICES_TO_REQUISITION,
		v.SERVICES_TO_REQUISITION_CODE,
		v.INVOICE_TYPE,
		v.INVOICE_LINE_TYPE,
		v.ADVANCE_PAID,
		v.ADVANCE_BILLED,
		v.DOCUMENT_STYLE_ID,
		v.FINANCIALS_FLAG,
		v.PA_COST_CODE,
		v.SCHEDULES_REQUIRED_FLAG,
		v.SRC_SYS_NAME,
		v.SRC_SYS_DOC,
		v.SRC_SYS_DOC_VER,
		v.SRC_SYS_LINE_NUMBER,
		v.SRC_SYS_LINE_VER,
		v.SRC_SYS_DATE,
		v.VERSION_NUMBER,
			v.PLAN_ATTRIBUTE_CATEGORY ,
			v.PLAN_ATTRIBUTE1 ,
			v.PLAN_ATTRIBUTE2 ,
			v.PLAN_ATTRIBUTE3 ,
			v.PLAN_ATTRIBUTE4 ,
			v.PLAN_ATTRIBUTE5 ,
			v.PLAN_ATTRIBUTE6 ,
			v.PLAN_ATTRIBUTE7 ,
			v.PLAN_ATTRIBUTE8 ,
			v.PLAN_ATTRIBUTE9 ,
			v.PLAN_ATTRIBUTE10 ,
			v.PLAN_ATTRIBUTE11 ,
			v.PLAN_ATTRIBUTE12 ,
			v.PLAN_ATTRIBUTE13 ,
			v.PLAN_ATTRIBUTE14 ,
			v.PLAN_ATTRIBUTE15 ,
			v.PLAN_ATTRIBUTE16 ,
			v.PLAN_ATTRIBUTE17 ,
			v.PLAN_ATTRIBUTE18 ,
			v.PLAN_ATTRIBUTE19 ,
			v.PLAN_ATTRIBUTE20 ,
			v.SCHD_ATTRIBUTE_CATEGORY,
			v.SCHD_ATTRIBUTE1 ,
			v.SCHD_ATTRIBUTE2 ,
			v.SCHD_ATTRIBUTE3 ,
			v.SCHD_ATTRIBUTE4 ,
			v.SCHD_ATTRIBUTE5 ,
			v.SCHD_ATTRIBUTE6 ,
			v.SCHD_ATTRIBUTE7 ,
			v.SCHD_ATTRIBUTE8 ,
			v.SCHD_ATTRIBUTE9 ,
			v.SCHD_ATTRIBUTE10 ,
			v.SCHD_ATTRIBUTE11 ,
			v.SCHD_ATTRIBUTE12 ,
			v.SCHD_ATTRIBUTE13 ,
			v.SCHD_ATTRIBUTE14 ,
			v.SCHD_ATTRIBUTE15 ,
			v.SCHD_ATTRIBUTE16 ,
			v.SCHD_ATTRIBUTE17 ,
			v.SCHD_ATTRIBUTE18 ,
			v.SCHD_ATTRIBUTE19 ,
			v.SCHD_ATTRIBUTE20 ,
			v.TECH_SPEC_URL ,
			v.CONTRACT_TEMPLATE ,
			v.ACTION_TYPE ,
			v.ACTION_ASSIGNEE ,
			v.ACTION_DESCRIPTION ,
			v.ACTION_TARGET_DATE ,
			v.ACTION_COMPLETION_DATE ,
			v.ACTION_DAYS_REMAINING ,
			v.IS_ACTION_DELAYED ,
			v.ACTION_STATUS ,
			v.ACTION_COMMENTS ,
			v.ACTION_ID ,
			v.ACTION_TYPE_MEANING ,
			v.ACTION_ENTITY_TYPE ,
			v.ACTION_ENTITY_TYPE_CODE ,
			v.ACTION_ENTITY_ID ,
			v.ACTION_DUE_DATE_DIMEN ,
			v.ACTION_STATUS_MEANING,
			v.SCHEDULE_STATUS,
      v.SCHEDULE_STATUS_CODE,
      v.DESTINATION,
      v.DESTINATION_CODE,
			v.REQUESTER_NAME,
      DECODE(v.services_line_code, 'S', v.QUANTITY_PENDING, (CASE WHEN (to_number(plan_gt.char1) &gt; 0) THEN v.PERIOD_QUANTITY ELSE v.QUANTITY_PENDING END)) QUANTITY_PENDING,
      v.ORD_LINE_SHIP_DIST,
      v.REQ_LINE_DIST,
      1 C_ONE,
	    v.LANGUAGE,
      DECODE(v.SHIPMENT_ONTIME_FLAG, 'Y', 1, 0) SHIP_ONTIME_FLAG_NUM,
					PO_PPCC_ECC_UTIL_PUB.PO_GET_ACTION_TEXT('ADD_TO_SHOP' , 20) ADD_TO_SHOP,
					PO_PPCC_ECC_UTIL_PUB.PO_GET_ACTION_TEXT('ADD_TO_DOC_BLDR' , 20) ADD_TO_DOC_BLDR,
		      PRJ.PROJ_PROC_ACT_COST_DEL_OT,
		      PRJ.PROJ_PROC_ACT_COST_DELAYED,
		      PRJ.PROJ_PER_TOT_COST_REQ,
		      PRJ.PROJ_PER_TOT_COST_ORD,
		      PRJ.PROJ_PER_TOT_COST_RCV,
		      PRJ.PROJ_PER_TOT_COST_RET,
		      PRJ.PROJ_PER_TOT_COST_REM,
		      PRJ.PROJ_TOT_PROC_PLAN_COST_PFC,
		      PRJ.PROJ_TOT_PROC_PLAN_COST_PC,
		      PRJ.PROJ_TOT_ACT_PROC_COST_PC,
		      PRJ.PROJ_TOT_ACT_PROC_COST_PFC,
      CASE WHEN v.services_line_code = 'Y' THEN
       decode(sign(nvl(v.period_quantity, 1)- decode(v.requisition_id, null, 0, nvl(v.requested_quantity,1))), -1, 0,
            (nvl(v.period_quantity, 1)- decode(v.requisition_id, null, 0, nvl(v.requested_quantity,1))))
      ELSE   decode(sign(nvl(v.period_quantity, 0)-nvl(v.requested_quantity,0)), -1, 0, (nvl(v.period_quantity, 0)-nvl(v.requested_quantity,0)))
      END AS  QTY_TO_BE_REQUESTED,
			CASE WHEN v.services_line_code = 'Y' THEN
       decode(sign(nvl(v.requested_quantity, 1)- decode(v.po_header_id, null, 0, nvl(v.ordered_quantity,1))), -1, 0,
            (nvl(v.requested_quantity, 1)- decode(v.po_header_id, null, 0, nvl(v.ordered_quantity,1))))
      ELSE   decode(sign(nvl(v.requested_quantity, 0)-nvl(v.ordered_quantity,0)), -1, 0, (nvl(v.requested_quantity, 0)-nvl(v.ordered_quantity,0)))
      END AS  QTY_TO_BE_ORDERED,
			CASE WHEN v.services_line_code = 'Y' THEN
       decode(sign(nvl(v.ordered_quantity, 1)- decode(v.received_amount, null, 0,0,0, nvl(v.received_quantity,1))), -1, 0,
            (nvl(v.ordered_quantity, 1)- decode(v.received_amount, null, 0,0,0, nvl(v.received_quantity,1))))
      ELSE   decode(sign(nvl(v.ordered_quantity, 0)-nvl(v.received_quantity,0)), -1, 0, (nvl(v.ordered_quantity, 0)-nvl(v.received_quantity,0)))
      END AS  QTY_TO_BE_RECEIVED,
		      decode(v.line_status_code, 'PROC_STATUS_RELEASED', v.period_quantity, 0)  QTY_TO_BE_PLANNED,
          nvl(prl.currency_amount, prl.amount) REQ_LINE_AMOUNT
     ,plan_gt.num1  plan_line_amount
     ,plan_gt.num2  plan_obligated_amount
     ,plan_gt.num3  plan_committed_amount
     ,DECODE(v.services_line_code, 'S', plan_gt.num4, (CASE WHEN (plan_gt.num4 &gt; 0) THEN v.QUANTITY ELSE plan_gt.num4 END)) plan_requested_quantity
     ,plan_gt.num5  plan_overdue_quantity
     ,plan_gt.num6  plan_functional_amount
     ,plan_gt.num7  plan_project_amount
     ,plan_gt.num8  plan_invoiced_amount
     ,plan_gt.num9  plan_received_amount
     ,DECODE(v.services_line_code, 'S', plan_gt.num10, (CASE WHEN (plan_gt.num10 &gt; 0) THEN v.QUANTITY ELSE plan_gt.num10 END)) plan_oncart_quantity
     ,DECODE(v.services_line_code, 'S', to_number(plan_gt.char1), (CASE WHEN (to_number(plan_gt.char1) &gt; 0) THEN v.QUANTITY ELSE to_number(plan_gt.char1) END)) plan_quantity_pending
     ,plan_gt.char2  plan_rejected_quantity
     ,plan_gt.char3  PLAN_ORDERED_QUANTITY
     ,plan_gt.char4  PLAN_RECEIVED_QUANTITY
     ,decode(sign((v.ordered_quantity-v.period_quantity)), -1, null, (v.ordered_quantity-v.period_quantity)) ORDER_QTY_OVER_ACT
	,decode(sign((v.obligated_amount-v.amount)), -1, NULL, (v.obligated_amount-v.amount)) ORDER_AMT_OVER_ACT
	,decode(sign((v.po_unit_price-v.unit_price)), -1, NULL, (v.po_unit_price-v.unit_price)) UNIT_PRICE_OVER_ACT
	,decode(sign((v.invoiced_amount-v.amount)), -1, NULL, (v.invoiced_amount-v.amount)) INVOICED_AMT_OVER_ACT
				from PO_PROC_PLAN_INC_DATA_TEMP v,
		         (  select pph.project_id,
		               PO_PPCC_ECC_UTIL_PUB.PO_PROJ_SUM_AMOUNTS(PPH.PROJECT_ID,'PROC_ACT_COST_DEL_OT',1) AS PROJ_PROC_ACT_COST_DEL_OT,
		               PO_PPCC_ECC_UTIL_PUB.PO_PROJ_SUM_AMOUNTS(PPH.PROJECT_ID,'PROC_ACT_COST_DELAYED',1) AS PROJ_PROC_ACT_COST_DELAYED,
		               PO_PPCC_ECC_UTIL_PUB.PO_PROJ_SUM_AMOUNTS(PPH.PROJECT_ID,'PER_TOT_COST_REQ',1) AS PROJ_PER_TOT_COST_REQ,
		               PO_PPCC_ECC_UTIL_PUB.PO_PROJ_SUM_AMOUNTS(PPH.PROJECT_ID,'PER_TOT_COST_ORD',1) AS PROJ_PER_TOT_COST_ORD,
		               PO_PPCC_ECC_UTIL_PUB.PO_PROJ_SUM_AMOUNTS(PPH.PROJECT_ID,'PER_TOT_COST_RCV',1) AS PROJ_PER_TOT_COST_RCV,
		               PO_PPCC_ECC_UTIL_PUB.PO_PROJ_SUM_AMOUNTS(PPH.PROJECT_ID,'PER_TOT_COST_RET',1) AS PROJ_PER_TOT_COST_RET,
		               PO_PPCC_ECC_UTIL_PUB.PO_PROJ_SUM_AMOUNTS(PPH.PROJECT_ID,'PER_TOT_COST_REM',1) AS PROJ_PER_TOT_COST_REM,
		               PO_PPCC_ECC_UTIL_PUB.PO_PROJ_SUM_AMOUNTS(PPH.PROJECT_ID,'TOT_PROC_PLAN_COST_PFC',1) AS PROJ_TOT_PROC_PLAN_COST_PFC,
		               PO_PPCC_ECC_UTIL_PUB.PO_PROJ_SUM_AMOUNTS(PPH.PROJECT_ID,'TOT_PROC_PLAN_COST_PC',1) AS PROJ_TOT_PROC_PLAN_COST_PC,
		               PA_PPCC_ECC_PVT.get_tot_proc_act_cost(PPH.PROJECT_ID,'PC',0)  AS PROJ_TOT_ACT_PROC_COST_PC ,
		               PA_PPCC_ECC_PVT.get_tot_proc_act_cost(PPH.PROJECT_ID,'PFC',0)  AS PROJ_TOT_ACT_PROC_COST_PFC
		         	from	PO_PROC_PLAN_HEADER PPH,
		            pa_supply_chain_options psco
		          where psco.project_id = pph.project_id
		            and psco.object_type  = 'PA_PROJECTS'
		         ) prj,
   po_session_gt plan_gt,
       po_requisition_lines_all prl
		   WHERE v.proj_id = prj.project_id
       and prl.requisition_line_id (+) = v.requisition_line_id
   and plan_gt.key = PO_PPCC_ECC_UTIL_PUB.Get_g_proc_data_temp_key
   and plan_gt.index_char1 = 'PROC_PLAN_RECORD'
   and plan_gt.index_num1 = nvl(v.procurement_plan_line_id, -99)
       and  LANGUAGE in ('US')
		   ) PIVOT (
				MAX(LINE_STATUS) AS LINE_STATUS ,
				MAX(LINE_TYPE) AS LINE_TYPE ,
				MAX(PO_STATUS) AS PO_STATUS ,
				MAX(PO_LINE_TYPE) AS PO_LINE_TYPE ,
				MAX(PO_EXPENDITURE_ORGANIZATION) AS PO_EXPENDITURE_ORGANIZATION ,
				MAX(REQ_DOCUMENT_STATUS) AS REQ_DOCUMENT_STATUS ,
				MAX(REQ_EXPENDITURE_ORGANIZATION) AS REQ_EXPENDITURE_ORGANIZATION ,
				MAX(REQ_UOM) AS REQ_UOM ,
				MAX(PO_UOM) AS PO_UOM ,
				MAX(OVERDUE_MEANING_FLAG) AS OVERDUE_MEANING_FLAG ,
				MAX(REJECT_MEANING_FLAG) AS REJECT_MEANING_FLAG ,
				MAX(EXCEED_BUDGET_MEANING_FLAG) AS EXCEED_BUDGET_MEANING_FLAG ,
				MAX(RFQ_REQUIRED_MEANING_FLAG) AS RFQ_REQUIRED_MEANING_FLAG ,
				MAX(ORGANIZATION_NAME) AS ORGANIZATION_NAME ,
				MAX(NEG_STATUS) AS NEG_STATUS ,
				MAX(NEG_LINE_TYPE) AS NEG_LINE_TYPE ,
				MAX(NEG_UOM) AS NEG_UOM ,
				MAX(AGR_UOM) AS AGR_UOM ,
				MAX(ORDER_BY_FLAG) AS ORDER_BY_FLAG ,
				MAX(AGREEMENT_EXPIRY_FLAG) AS AGREEMENT_EXPIRY_FLAG ,
				MAX(SUPP_CHANGE_REQUEST_FLAG) AS SUPP_CHANGE_REQUEST_FLAG ,
				MAX(UNASSIGNED_FLAG_MEANING) AS UNASSIGNED_FLAG_MEANING ,
				MAX(SCHEDULE_STATUS) AS SCHEDULE_STATUS ,
				MAX(DESTINATION) AS DESTINATION ,
				MAX(LOG_STRAT_P1) AS LOG_STRAT_P1 ,
				MAX(LOG_STRAT_P2) AS LOG_STRAT_P2 ,
				MAX(PROJ_SUP_P1) AS PROJ_SUP_P1 ,
				MAX(PROJ_SUP_P2) AS PROJ_SUP_P2 ,
				MAX(INV_STRATEGY_OBJECTIVE1) AS INV_STRATEGY_OBJECTIVE1 ,
				MAX(INV_STRATEGY_OBJECTIVE2) AS INV_STRATEGY_OBJECTIVE2 ,
				MAX(PROD_SELECTION_OBJECTIVE1) AS PROD_SELECTION_OBJECTIVE1 ,
				MAX(PROD_SELECTION_OBJECTIVE2) AS PROD_SELECTION_OBJECTIVE2 ,
				MAX(ACQ_STRATEGY_OBJECTIVE1) AS ACQ_STRATEGY_OBJECTIVE1 ,
				MAX(ACQ_STRATEGY_OBJECTIVE2) AS ACQ_STRATEGY_OBJECTIVE2 ,
				MAX(DELIVER_TO_LOCATION) AS DELIVER_TO_LOCATION ,
				MAX(UOM) AS UOM ,
				MAX(PLANNED_YN) AS PLANNED_YN ,
				MAX(AGREEMENT_STATUS) AS AGREEMENT_STATUS ,
				MAX(PENDING_REQ_FLAG) AS PENDING_REQ_FLAG ,
				MAX(REQ_DELAY_FLAG) AS REQ_DELAY_FLAG ,
				MAX(ORD_DELAY_FLAG) AS ORD_DELAY_FLAG ,
				MAX(ITEM_PURCHASE_HIS) AS ITEM_PURCHASE_HIS ,
				MAX(PAYMENT_TYPE) AS PAYMENT_TYPE ,
				MAX(SERVICES_LINE) AS SERVICES_LINE ,
				MAX(SERVICES_TO_REQUISITION) AS SERVICES_TO_REQUISITION
		   for LANGUAGE in ('US' "US")
		   )</t>
  </si>
  <si>
    <t>(select ENDECA_ID AS ECC_SPEC_ID FROM PO_PROC_PLAN_INC_DATA_TEMP WHERE
                 RECORD_TYPE = 'PROC_DELETE')</t>
  </si>
  <si>
    <t>po-pa-task-summ</t>
  </si>
  <si>
    <t>Task Summary</t>
  </si>
  <si>
    <t>SELECT * FROM (
				 SELECT 'PROC_PROJ_TASK_LIST' RECORD_TYPE,
				 'PROC_PROJ_TASK_LIST-' || TO_CHAR(pts.PROJECT_ID)
				 ||decode(pts.task_id, null,null,'-')
				 ||TO_CHAR(pts.task_id)  AS ECC_SPEC_ID ,
				  pts.PROJECT_NUMBER ,
				  pts.PROJECT_ID,
				  pts.PROJECT_NAME,
				  pts.ORG_ID,
				  pts.project_id PROJ_ID,
				  proj_ou.name PROJECT_ORG,
				  task_ou.name TASK_ORG,
				  pts.PROJECT_STATUS,
				  pts.TASK_ID,
				  pts.TASK_NAME,
				  pts.TASK_NUMBER,
				  pts.STRUCTURE_VERSION_NUMBER,
				  pts.ELEMENT_VERSION_ID,
				  pts.TASK_ELEMENT_ID,
				  pts.PA_SRC,
				  pts.TASK_MANAGER,
				  pts.TASK_LOCATION,
				  pts.TASK_STATUS,
				  pts.TASK_TYPE,
				  wt.name WORK_TYPE,
				  PA_PPCC_ECC_PVT.GET_LOOKUP_MEANING('PA_TASK_LVL_ETC_SRC',PTS.ETC_SOURCE, LANG.LANGUAGE_CODE)		 AS ETC_SOURCE,
				  PA_PPCC_ECC_PVT.pa_get_yes_no(PTS.RECIEVE_PROJECT_INVOICE_FLAG, LANG.LANGUAGE_CODE) AS RECIEVE_PROJECT_INVOICE_FLAG,
				  PA_PPCC_ECC_PVT.pa_get_yes_no(PTS.CAPITALIZABLE_FLAG, LANG.LANGUAGE_CODE)  AS CAPITALIZABLE_FLAG,
				  PA_PPCC_ECC_PVT.pa_get_yes_no(PTS.BILLABLE_FLAG, LANG.LANGUAGE_CODE)  AS BILLABLE_FLAG,
				  PA_PPCC_ECC_PVT.pa_get_yes_no(PTS.CHARGEABLE_FLAG, LANG.LANGUAGE_CODE)              AS CHARGEABLE_FLAG,
				  PA_PPCC_ECC_PVT.pa_get_yes_no(PTS.LAT_PUB_MILESTONE_FLAG, LANG.LANGUAGE_CODE)			AS LAT_PUB_MILESTONE_FLAG,
				  PA_PPCC_ECC_PVT.pa_get_yes_no(PTS.LAT_PUB_CRITICAL_FLAG, LANG.LANGUAGE_CODE)			AS LAT_PUB_CRITICAL_FLAG,
				 PA_PPCC_ECC_PVT.pa_get_yes_no(PTS.WORKING_MILESTONE_FLAG, LANG.LANGUAGE_CODE)			AS WORKING_MILESTONE_FLAG,
				 PA_PPCC_ECC_PVT.pa_get_yes_no(PTS.WORKING_CRITICAL_FLAG, LANG.LANGUAGE_CODE)			AS WORKING_CRITICAL_FLAG,
				 PTS.TASK_PROGR_STATUS,
				  PA_PPCC_ECC_PVT.GET_LOOKUP_MEANING('SERVICE TYPE',PTS.SERVICE_TYPE, LANG.LANGUAGE_CODE)                    AS SERVICE_TYPE,
				  PTS.TASK_PRIORITY,
				  PTS.LAT_PUB_SCHEDULED_START_DATE,
				  PTS.LAT_PUB_ACTUAL_START_DATE,
				  PTS.LAT_PUB_SCHEDULED_FINISH_DATE ,
				  PTS.LAT_PUB_ACTUAL_FINISH_DATE,
				  PTS.WORKING_SCHEDULED_START_DATE,
				  PTS.WORKING_SCHEDULED_FINISH_DATE,
				  PTS.PROJECT_CURRENCY ,
				  PTS.PROJ_CURRENCY_NAME,
				  PTS.TOT_PLAN_COST_PC ,
				  PTS.TOT_PROC_PLAN_COST_PC ,
				  PTS.TOT_PLAN_REV_PC ,
				  PTS.TOT_MARGIN_PC ,
				  PTS.MARGIN_PERCENT_PC ,
				  PTS.PROC_PERC_REV_PC ,
				  PTS.TOT_ACT_COST_PC ,
				  PTS.TOT_ACT_PROC_COST_PC ,
				  PTS.TOT_FC_COST_PC ,
				  PTS.TOT_FC_REV_PC ,
				  PTS.FC_MARGIN_PERCENT_PC ,
				  PTS.PROJECT_FUNC_CURRENCY,
				  PTS.PROJFUNC_CURRENCY_NAME,
				  PTS.TOT_PLAN_COST_PFC ,
				  PTS.TOT_PROC_PLAN_COST_PFC ,
				  PTS.TOT_PLAN_REV_PFC ,
				  PTS.TOT_MARGIN_PFC ,
				  PTS.MARGIN_PERCENT_PFC ,
				  PTS.PROC_PERC_REV_PFC ,
				  PTS.TOT_ACT_COST_PFC ,
				  PTS.TOT_ACT_PROC_COST_PFC ,
				  PTS.TOT_FC_COST_PFC ,
				  PTS.TOT_FC_REV_PFC ,
				  PTS.FC_MARGIN_PERCENT_PFC ,
				  PTS.PER_PROC_ACT_COST_DEL_OT ,
				  PTS.PER_PROC_ACT_COST_DELAYED ,
				  PTS.TOT_PAYMENTS_PC ,
				  PTS.TOT_PAYMENTS_PFC ,
				  PTS.TOT_PAY_HOLD_PC ,
				  PTS.TOT_PAY_HOLD_PFC,
				  PTS.PROC_PER_TOT_COST ,
				  PTS.PER_TOT_COST_STK ,
				  PTS.PER_TOT_COST_RCV ,
				  PTS.PER_TOT_COST_RET ,
				  PTS.PER_TOT_COST_TST ,
				  PTS.PER_TOT_COST_ORD ,
				  PTS.PER_TOT_COST_CNT ,
				  PTS.PER_TOT_COST_REQ ,
				  PTS.PER_TOT_COST_REM ,
				  PTS.TOT_PROC_COST_PCT_DISP,
				  PTS.OTHER_COST_PCT_DISP,
				  PTS.PER_TOT_COST_ORD_DISP,
				  PTS.PER_TOT_COST_RCV_DISP,
				  PTS.PER_TOT_COST_REM_DISP,
				  PTS.PER_TOT_COST_REQ_DISP,
				  PTS.PER_TOT_COST_RET_DISP,
				  PTS.TOT_MARGIN_PCT_DISP,
				  PTS.TOT_PLAN_BURD_COST_PC,
				  PTS.TOT_PLAN_BURD_COST_PFC,
				  PTS.TOT_PROJ_COMMITMENTS_PC ,
				  PTS.TOT_ACT_BURD_COST_PC,
				  PTS.TOT_ACT_MARGIN_PC,
				  PTS.TOT_ACT_BURD_COST_VAR,
				  PTS.TOT_ACT_PROC_PLAN_COST_VAR,
				  PTS.TOT_ACT_MARGIN_VAR,
				  PA_PPCC_ECC_PVT.pa_get_yes_no(PTS.CURRENCY_CONV_RATE_FLAG, LANG.LANGUAGE_CODE) CURRENCY_CONV_RATE_FLAG,
				  PTS.TASK_DISPLAY_SEQUENCE  ,
				  LANG.LANGUAGE_CODE LANGUAGE
				FROM PA_ENDECA_TASK_SUMM_TEMP pts ,
				     PO_PROC_PLAN_HEADER PPPH,
				     	hr_all_organization_units_tl proj_ou,
				     	hr_all_organization_units_tl task_ou,
				      pa_tasks pat,
				     pa_work_types_tl wt,
				     fnd_languages lang
             , po_session_gt ps
				WHERE PTS.PROJECT_ID = PPPH.PROJECT_ID
				  AND pts.task_id = pat.task_id
          AND ps.index_char1  = 'END_PSC_PROJ_SUMM_INCR'
          AND pts.project_id = ps.index_num1
          AND ps.KEY = PO_PPCC_ECC_UTIL_PUB.get_g_proc_plan_inc_key
				  AND pts.ORG_ID = proj_ou.ORGANIZATION_ID
				  AND proj_ou.ORGANIZATION_ID (+) = pts.ORG_ID
				  AND nvl(proj_ou.LANGUAGE, lang.language_code)  = lang.language_code
				  AND lang.installed_flag in ( 'I', 'B')
				  AND task_ou.ORGANIZATION_ID (+) = pts.ORG_ID
				  AND nvl(task_ou.LANGUAGE, lang.language_code)  = lang.language_code
				  AND pat.work_type_id = wt.work_type_id (+)
				  AND nvl(wt.LANGUAGE, lang.language_code)  = lang.language_code
				  and  LANG.LANGUAGE_CODE in ('US')
				   ) PIVOT (
						MAX(PROJECT_ORG) AS PROJECT_ORG ,
						MAX(TASK_ORG) AS TASK_ORG ,
						MAX(WORK_TYPE) AS WORK_TYPE ,
						MAX(ETC_SOURCE) AS ETC_SOURCE ,
						MAX(RECIEVE_PROJECT_INVOICE_FLAG) AS RECIEVE_PROJECT_INVOICE_FLAG ,
						MAX(CAPITALIZABLE_FLAG) AS CAPITALIZABLE_FLAG ,
						MAX(BILLABLE_FLAG) AS BILLABLE_FLAG ,
						MAX(CHARGEABLE_FLAG) AS CHARGEABLE_FLAG ,
						MAX(LAT_PUB_MILESTONE_FLAG) AS LAT_PUB_MILESTONE_FLAG ,
						MAX(LAT_PUB_CRITICAL_FLAG) AS LAT_PUB_CRITICAL_FLAG ,
						MAX(WORKING_MILESTONE_FLAG) AS WORKING_MILESTONE_FLAG ,
						MAX(WORKING_CRITICAL_FLAG) AS WORKING_CRITICAL_FLAG ,
						MAX(SERVICE_TYPE) AS SERVICE_TYPE ,
						MAX(CURRENCY_CONV_RATE_FLAG) AS CURRENCY_CONV_RATE_FLAG
				   for LANGUAGE in ('US' "US")
        )</t>
  </si>
  <si>
    <t>Sourcing</t>
  </si>
  <si>
    <t>27s</t>
  </si>
  <si>
    <t>pon-pcc-neg</t>
  </si>
  <si>
    <t>Negotiations</t>
  </si>
  <si>
    <t>SELECT
                            AH.AUCTION_HEADER_ID||'-'||NEG_TEAM.USER_ID||'-'||PITMDS.LINE_NUMBER||'-'
                            ||pbh.bid_number||'-'||pbip.LINE_NUMBER AS ecc_spec_id
                            FROM
                              pon_auction_headers_all AH,
                              pon_auction_item_prices_all PITMDS,
                              pon_neg_team_members NEG_TEAM,
                              pon_bid_headers pbh,
                              pon_bid_item_prices pbip
                            WHERE
                            PITMDS.auction_header_id(+)= AH.auction_header_id
                            AND NEG_TEAM.auction_header_id(+)= AH.auction_header_id
                            AND pbh.auction_header_id(+)= AH.auction_header_id
                            AND pbip.bid_number(+)=pbh.bid_number
                            AND pbh.bid_status &lt;&gt; 'ACTIVE'
                            AND greatest(AH.last_update_date,PITMDS.last_update_date,NEG_TEAM.last_update_date,pbh.last_update_date) &gt;
                            to_date(to_char(to_timestamp('27-APR-20'),'DD-MON-YY HH24.MI.SS'),'DD-MON-YY HH24.MI.SS')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</si>
  <si>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to_date(to_char(to_timestamp('27-APR-20'),'DD-MON-YY HH24.MI.SS'),'DD-MON-YY HH24.MI.SS'))
          or (AH.CLOSE_BIDDING_DATE between to_date(to_char(to_timestamp('27-APR-20'),'DD-MON-YY HH24.MI.SS'),'DD-MON-YY HH24.MI.SS')
                                      and to_date(to_char(to_timestamp('27-APR-20'),'DD-MON-YY HH24.MI.SS'),'DD-MON-YY HH24.MI.SS'))
         or (AH.OPEN_BIDDING_DATE between to_date(to_char(to_timestamp('27-APR-20'),'DD-MON-YY HH24.MI.SS'),'DD-MON-YY HH24.MI.SS')
                                      and to_date(to_char(to_timestamp('27-APR-20'),'DD-MON-YY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</si>
  <si>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>13s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</si>
  <si>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to_date(to_char(to_timestamp('27-APR-20'),'DD-MON-YY HH24.MI.SS'),'DD-MON-YY HH24.MI.SS'))
          or (AH.CLOSE_BIDDING_DATE between to_date(to_char(to_timestamp('27-APR-20'),'DD-MON-YY HH24.MI.SS'),'DD-MON-YY HH24.MI.SS')
                                      and to_date(to_char(to_timestamp('27-APR-20'),'DD-MON-YY HH24.MI.SS'),'DD-MON-YY HH24.MI.SS'))
         or (AH.OPEN_BIDDING_DATE between to_date(to_char(to_timestamp('27-APR-20'),'DD-MON-YY HH24.MI.SS'),'DD-MON-YY HH24.MI.SS')
                                      and to_date(to_char(to_timestamp('27-APR-20'),'DD-MON-YY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</si>
  <si>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14s</t>
  </si>
  <si>
    <t>pon-pcc-neg-time</t>
  </si>
  <si>
    <t>Negotiation Timeline</t>
  </si>
  <si>
    <t>
select * from (
SELECT
auction_header_id||'-'||duration_code  ECC_SPEC_ID,
auction_header_id,
document_number,
auction_status_code,
duration_type,
duration,
org_id,
SECURITY_LEVEL_CODE as SECURITY_LEVEL_CODE_CODE,
CURRENCY_CODE,
PON_PCC_NEGOTIATIONS_UTIL_PVT.GET_NEG_TOTAL_AMOUNT(auction_header_id) NEGOTIATION_AMOUNT,
PON_PCC_NEGOTIATIONS_UTIL_PVT.get_authorized_userids(auction_header_id) AS AUTHORIZED_USER_IDS,
language
FROM (
SELECT
ah.auction_header_id,
ah.document_number,
ah.auction_status auction_status_code,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pon_pcc_negotiations_util_pvt.get_fnd_message('PON_PCC_DRAFT_TIME','396',HROU.language) as draft_type,
'DRAFT_TIME' as draft_type_code,
pon_pcc_negotiations_util_pvt.get_fnd_message('PON_PCC_BID_TIME','396',HROU.language) as bid_Type,
'BID_TIME' as bid_Type_code,
pon_pcc_negotiations_util_pvt.get_fnd_message('PON_PCC_ANALYZE_TIME','396',HROU.language) as analyze_type,
'ANALYZE_TIME' as analyze_type_code,
pon_pcc_negotiations_util_pvt.get_fnd_message('PON_PCC_AWARD_TIME','396',HROU.language) as award_type,
'AWARD_TIME' as award_type_code,
ah.org_id,
ah.SECURITY_LEVEL_CODE,
ah.currency_code,
hrou.language
FROM
pon_auction_headers_all ah,
PON_AUC_DOCTYPES DOC,
HR_ALL_ORGANIZATION_UNITS_TL HROU
where
hrou.organization_id (+) = ah.org_id
AND HROU.LANGUAGE IN ('US')
AND AH.DOCTYPE_ID = DOC.DOCTYPE_ID
AND DOC.INTERNAL_NAME &lt;&gt; 'SOLICITATION'
AND Decode(Nvl(AH.SUPP_REG_QUAL_FLAG, 'N'), 'Y', 'Y','N',
Nvl(AH.SUPP_EVAL_FLAG, 'N'), 'Y', 'Y','N') ='N'
AND AH.CREATION_DATE &gt;= nvl(fnd_date.Canonical_to_date(fnd_profile.Value('PO_PSC_ITEM_SUPP_LOAD_CUT_OFF')),AH.CREATION_DATE)
  AND  AH.LAST_UPDATE_DATE &gt; to_date(to_char(to_timestamp('27-APR-20'),'DD-MON-YY HH24.MI.SS'),'DD-MON-YY HH24.MI.SS')
) ah
unpivot ((duration_type,duration,duration_code) FOR  sol_duration IN ((draft_type,TOTAL_DRAFT_TIME,draft_type_code)AS '1',
                                                           (bid_Type,TOTAL_BID_TIME,bid_Type_code) AS '2',
                                                           (analyze_type,TOTAL_ANALYSE_TIME,analyze_type_code) AS '3' ,
                                                            (award_type,TOTAL_AWARD_TIME,award_type_code ) AS '4'
                                                            ) ) )pivot(Max(duration_type) AS duration_type FOR LANGUAGE IN ('US' "US"))</t>
  </si>
  <si>
    <t>pa-ds-cost-bcresults</t>
  </si>
  <si>
    <t>Projects Costing: Budget Results</t>
  </si>
  <si>
    <t>select * from (
SELECT
RECORD_TYPE,
ECC_SPEC_ID,
RECORD_IDENTIFIER,
PROJECT_ID,
PROJECT_NAME,
PROJECT_NUMBER,
BUDGET_VERSION_ID,
BUDGET_TYPE_CODE,
BUDGET_TYPE,
PERIODICITY,
BC_COMMITMENT_EI_ID,
FC_START_DATE,
FC_END_DATE,
TASK_ID,
TASK_NUMBER,
TASK_NAME,
TOP_TASK_ID,
SUPPLIER_NAME,
SUPPLIER_ID,
SUPPLIER_NUMBER,
JE_SOURCE_NAME,
JE_CATEGORY_NAME,
DOCUMENT_TYPE_CODE,
DOCUMENT_TYPE_DESC,
DOCUMENT_NUMBER,
LINE_NUMBER,
DISTRIBUTION_NUMBER,
PA_DATE,
GL_DATE,
RESOURCE_LIST_MEMBER_ID,
BUDGET_CCID,
TXN_CCID,
BC_PACKET_ID,
PARENT_BC_PACKET_ID,
BUD_RESOURCE_LIST_MEMBER_ID,
BUD_TASK_ID,
EXPENDITURE_TYPE,
EXPENDITURE_CATEGORY,
EXPENDITURE_ITEM_DATE,
PA_PERIOD_NAME,
GL_PERIOD_NAME,
DOCUMENT_HEADER_ID,
DOCUMENT_DISTRIBUTION_ID,
DOCUMENT_LINE_ID,
ENTERED_DR,
ENTERED_CR,
TXN_CURRENCY,
ACCOUNTED_DR,
ACCOUNTED_CR,
NET_AMOUNT,
REJ_ENTERED_DR,
REJ_ENTERED_CR,
REJ_ACCOUNTED_DR,
REJ_ACCOUNTED_CR,
REJ_NET_AMOUNT,
FUNDS_PROCESS_MODE,
STATUS_CODE,
STATUS_CODE_DESC,
RESULT_CODE,
ALERT_TYPE,
ALERT_TEXT,
RAW_COST,
BURDEN_COST,
FUNC_CURRENCY,
PROJECT_CURRENCY,
PROJECT_RATE_TYPE,
PROJECT_RATE_DATE,
PROJFUNC_CURRENCY_CODE,
PROJFUNC_COST_RATE_DATE,
PROJFUNC_COST_RATE_TYPE,
EXPENDITURE_ORGANIZATION_ID,
EXPENDITURE_ORGANIZATION,
PARENT_DOC_HEADER_ID,
PARENT_DOC_LINE_ID,
PARENT_DOC_DIST_ID,
PARENT_DOC_TYPE_CODE,
PARENT_DOC_TYPE_DESC,
PARENT_DOC_NUMBER,
PARENT_LINE_NUMBER,
PARENT_DIST_NUMBER,
COST_DISTRIBUTED_FLAG,
ACCOUNTING_STATUS,
QUANTITY,
UNIT_OF_MEASURE,
RAW_COST_RATE,
DEBIT_ACCOUNT,
CREDIT_ACCOUNT,
project_id || task_id || GL_PERIOD_NAME ASSC_ID,
LANGUAGE
FROM PA_ECC_COST_BC_RESULTS where language in ('US'))PIVOT ( max(DOCUMENT_TYPE_DESC) as DOCUMENT_TYPE_DESC,
max(EXPENDITURE_ORGANIZATION) as EXPENDITURE_ORGANIZATION,
max(STATUS_CODE_DESC) as STATUS_CODE_DESC,
max(ALERT_TEXT) as ALERT_TEXT,
max(PARENT_DOC_TYPE_DESC) as PARENT_DOC_TYPE_DESC,
max(COST_DISTRIBUTED_FLAG) as COST_DISTRIBUTED_FLAG,
max(ACCOUNTING_STATUS) as ACCOUNTING_STATUS,
max(UNIT_OF_MEASURE) as UNIT_OF_MEASURE
for LANGUAGE in ('US' "US"))</t>
  </si>
  <si>
    <t>SELECT
'PBC-'
|| 'TXN-REJECTION'
|| project_id
|| '-' || task_id
|| '-' || '0'
|| '-' || 'N'
|| '-' || document_type_code
|| '-' || document_header_id
|| '-' || document_distribution_id
as ECC_SPEC_ID
FROM PA_ECC_COST_BC_RESULTS
WHERE RECORD_IDENTIFIER = 'PROJECTS'
UNION
SELECT
'PBC-'
|| 'TXN-REJECTION'
|| project_id
|| '-' || task_id
|| '-' || '0'
|| '-' || 'O'
|| '-' || document_type_code
|| '-' || document_header_id
|| '-' || document_distribution_id
as ECC_SPEC_ID
FROM PA_ECC_COST_BC_RESULTS
WHERE RECORD_IDENTIFIER = 'PROJECTS'
UNION
SELECT
'PBC-'
|| 'TXN-REJECTION'
|| project_id
|| '-' || task_id
|| '-' || '0'
|| '-' || 'R'
|| '-' || document_type_code
|| '-' || document_header_id
|| '-' || document_distribution_id
as ECC_SPEC_ID
FROM PA_ECC_COST_BC_RESULTS
WHERE RECORD_IDENTIFIER = 'PROJECTS'
UNION ALL
SELECT
'PBC-'
|| 'TXN-REJECTION'
|| project_id
|| '-' || task_id
|| '-' || packet_id
|| '-' || burden_cost_flag
|| '-' || document_type
|| '-' || document_header_id
|| '-' || document_distribution_id
as ECC_SPEC_ID
FROM pa_bc_packets pbc
WHERE status_code in ('F','R','T')
and bc_commitment_id = -8888</t>
  </si>
  <si>
    <t>Procurement</t>
  </si>
  <si>
    <t>16s</t>
  </si>
  <si>
    <t>po-pcc-orders-prccycletimegraph</t>
  </si>
  <si>
    <t>Procurement Cycle Time Graph</t>
  </si>
  <si>
    <t>select * from (
SELECT
ecc_spec_id||'-'||duration_type as ecc_spec_id,
grh_po_header_id,
grh_po_num,
grh_buyer_name,
language,
DOC_AUTHORIZED_USER_IDS,
SECURITY_LEVEL_CODE,
ORG_ID,
duration_type,
duration
FROM (
select poh.po_header_id                       AS ecc_spec_id,
poh.po_header_id                                                    AS grh_po_header_id,
poh.segment1    grh_po_num,
(SELECT emp.full_name
 FROM   per_all_people_f emp
 WHERE  emp.person_id = poh.agent_id
 AND ( ( emp.effective_end_date IS NULL )
       OR ( emp.effective_end_date =(SELECT Max(c.effective_end_date)
                                     FROM   per_all_people_f c
                                     WHERE  emp.person_id = c.person_id)
			    )
		  )) 	                                                          AS grh_buyer_name,
houtl.language                                                      AS language,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ORG_ID,
po_pcc_orders_util_pvt.GET_TIME_IN_POOL(poh.po_header_id)           AS time_in_pool,
po_pcc_orders_util_pvt.GET_TIME_IN_SOURCING(poh.po_header_id)       AS time_in_sourcing,
po_pcc_orders_util_pvt.GET_TIME_IN_ORDER_DRAFTING(poh.po_header_id) AS time_in_ord_drafting,
po_pcc_orders_util_pvt.GET_TIME_IN_ORDER_APPROVAL(poh.po_header_id) AS time_in_ord_approval,
po_pcc_orders_util_pvt.get_fnd_message('PO_PCC_ORD_TIME_IN_POOL','201',houtl.language) AS time_in_pool_msg,
po_pcc_orders_util_pvt.get_fnd_message('PO_PCC_ORD_TIME_IN_NEG','201',houtl.language) AS time_in_sourcing_msg,
po_pcc_orders_util_pvt.get_fnd_message('PO_PCC_ORD_TIME_IN_ORD_DRAFT','201',houtl.language) AS time_in_ord_drafting_msg,
po_pcc_orders_util_pvt.get_fnd_message('PO_PCC_ORD_TIME_IN_ORD_APP','201',houtl.language) AS time_in_ord_approval_msg
FROM po_headers_all poh,po_doc_style_headers doc_style, PO_DOCUMENT_TYPES_ALL pdt,
hr_all_organization_units_tl houtl
WHERE poh.type_lookup_code IN ('STANDARD')
AND doc_style.style_id = poh.style_id
AND nvl(doc_style.clm_flag,'N') = 'N'
AND pdt.org_id = poh.org_id
AND pdt.DOCUMENT_TYPE_CODE = 'PO'
AND pdt.DOCUMENT_SUBTYPE = poh.TYPE_LOOKUP_CODE
and houtl.LANGUAGE IN ('US')
AND houtl.organization_id (+) = poh.org_id  and poh.last_update_date &gt; to_date(to_char(to_timestamp('27-APR-20'),'DD-MON-YY HH24.MI.SS'),'DD-MON-YY HH24.MI.SS') ) grp_poh unpivot ((duration_type,duration) FOR  req_duration IN ((time_in_pool_msg,time_in_pool)AS '1',
                                                           (time_in_sourcing_msg,time_in_sourcing) AS '2',
                                                           (time_in_ord_drafting_msg,time_in_ord_drafting) AS '3' ,
                                                            (time_in_ord_approval_msg,time_in_ord_approval ) AS '4'
                                                            ))) pivot(Max(duration_type) AS duration_type FOR LANGUAGE IN ('US' "US"))</t>
  </si>
  <si>
    <t>po-pcc-orders</t>
  </si>
  <si>
    <t>Purchase Orders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</si>
  <si>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gt.KEY=3140047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</si>
  <si>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gt.KEY=3140047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</si>
  <si>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gt.KEY=3140047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</si>
  <si>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gt.KEY=3140047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</si>
  <si>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gt.KEY=3140047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</si>
  <si>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po-pcc-ind-proc</t>
  </si>
  <si>
    <t>Indirect Procurement</t>
  </si>
  <si>
    <t>11s</t>
  </si>
  <si>
    <t>select * from (
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'SUGGESTIONS'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review.review_id suggestion_id,
    review.reviewer_id suggester_id,
    (select full_name from per_all_people_f
      where person_id = review.reviewer_id
        and trunc(sysdate) BETWEEN effective_start_date
                               and effective_end_date) suggester_name,
    review.creation_date suggestion_date,
    review.review_title suggestion_title,
    REPLACE(review.review_comments,'|',',') suggestion_comments,
    nvl(review.status,'O') suggestion_status,
    (select meaning from fnd_lookup_values
      where lookup_type = 'ICX_REVIEW_STATUS_TYPE' and lookup_code = nvl(review.status,'O') AND language= houtl.language) suggestion_status_code,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suggestion_responses,
	(select count(action_id) from po_buyer_actions where entity_type = 'SUGGESTION' and entity_id = review.review_id and status &lt;&gt; 'CLOSED') open_suggestion_action_count,
    (select count(response_id) from icx_rvw_responses where review_id = review.review_id) suggestion_response_count,
	review.purchased_from suggestion_item_purchased_from,
    'No'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'No' has_review_responses,
    decode(
    (select count(action_id) from po_buyer_actions where entity_type = 'SUGGESTION' and entity_id = review.review_id and status &lt;&gt; 'CLOSED'),
    0, 'No', 'Yes') has_suggestion_action_flag,
    decode(
    (select count(response_id) from icx_rvw_responses where review_id = review.review_id),
    0, 'No', 'Yes') has_suggestion_responses,
    --iExpense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fnd_lookup_values_vl
      where lookup_type = 'PO_BUYER_ACTION_STATUS' and lookup_code = pba.status)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PO_PCC_IND_PROC_UTIL_PVT.get_cost_center_for_employee(review.reviewer_id) cost_center,
    review.org_id,
    --(select name from hr_all_organization_units_tl where organization_id = review.org_id and language = userenv('LANG')) org_name,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review.item_id inventory_item_id,
    (select concatenated_segments
       from mtl_system_items_kfv
      where review.item_id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review.vendor_id supplier_id,
    (select VENDOR_NAME from ap_suppliers aps where aps.VENDOR_ID = review.vendor_id) supplier,
    'N'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'NULL' DOC_AUTHORIZED_USER_IDS,
       'Manage Feedback' MANAGE_FEEDBACK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	   po_doc_style_headers doc_style
 where review.review_entity                                         = 'SG'
   and review.org_id                                                = fsp.org_id(+)
   and review.org_id                                                = ctxh.owning_org_id(+)
   --and ctxh.language                                                = houtl.LANGUAGE
   and review.po_line_id                                            = ctxh.po_line_id(+)
   and review.req_template_name                                     = ctxh.req_template_name(+)
   and review.req_template_line_num                                 = ctxh.req_template_line_num(+)
   and review.item_id                                               = ctxh.inventory_item_id(+)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pba.entity_type(+)                                           = 'SUGGESTION'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houtl.organization_id (+) = review.org_id
   AND doc_style.style_id(+) = apoh.style_id
   AND nvl(doc_style.clm_flag,'N') = 'N'
and houtl.language IN ('US')
--Load CutOff Condition
   and review.last_update_date &gt;= nvl(fnd_date.Canonical_to_date(fnd_profile.Value('PO_PSC_ITEM_SUPP_LOAD_CUT_OFF')),review.last_update_date)  AND (pba.last_update_date &gt; '27-APR-20'
                            OR ctxh.last_update_date &gt; '27-APR-20'
                            OR av.last_update_date &gt; '27-APR-20'
                            OR avtlp.last_update_date &gt;  '27-APR-20'
                            OR review.last_update_date &gt;  '27-APR-20'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 ,
        max(suggestion_status_code) AS suggestion_status_code,
        max(CAT_IP_CATEGORY_NAME) AS   CAT_IP_CATEGORY_NAME
        for LANGUAGE in ('US' "US"))</t>
  </si>
  <si>
    <t>select * from (select NULL
    || '-'
    || NULL
    || '-'
    || NULL
    || '-'
    || NULL
    || '-'
    || NULL
    || '-'
    || NULL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replace(PO_PCC_IND_PROC_UTIL_PVT.remove_stop_words(pla.item_description), ' ', UNISTR('|')) std_po_line_desc_for_tag,
    pla.from_header_id std_po_from_header_id,
    pla.from_line_id std_po_from_line_id,
    decode(nvl(pla.from_header_id, pla.contract_id), null, 'Yes', 'No') std_po_line_off_contract,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pla.unit_price std_po_loc_unit_price,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std_po_loc_amount,
    decode(nvl(pla.from_header_id, pla.contract_id), null,
       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    (select min(need_by_date) from po_line_locations_all where po_line_id = pla.po_line_id)  std_po_loc_need_by_date,
    pha.approved_date std_po_loc_approved_date,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spend_amount,
    decode(nvl(pla.from_header_id, pla.contract_id), null, 'Off-Contract', 'Contract') spend_type,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PO_PCC_IND_PROC_UTIL_PVT.get_cost_center_for_po(pla.po_line_id)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PO_PCC_IND_PROC_UTIL_PVT.get_doc_authorized_userIds('POPA', pha.TYPE_LOOKUP_CODE, pha.AUTHORIZATION_STATUS,
	pha.org_id, pha.AGENT_ID, pha.PO_HEADER_ID)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extract(YEAR from pha.approved_date) spend_year
  from po_buyer_actions pba,
       po_lines_all pla,
       po_headers_all pha,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
 where (
             ( pba.entity_type                                      = 'PO_HEADER'
           and pba.entity_id                                        = pla.po_header_id
             )
    or       ( pba.entity_type                                      = 'PO_LINE'
           and pba.entity_id                                        = pla.po_line_id
             )
       )
   and pha.po_header_id                                             = pla.po_header_id
   and pha.type_lookup_code                                         = 'STANDARD'
   and pla.org_id                                                   = fsp.org_id(+)
   and pla.from_header_id                                           = ctxh.po_header_id(+)
   and pla.from_line_id                                             = ctxh.po_line_id(+)
   and pla.org_id                                                   = ctxh.org_id(+)
   and ctxh.req_template_name(+)                                    = '-2'
   and ctxh.req_template_line_num(+)                                = -2
   and ctxh.language                                            = houtl.LANGUAGE(+)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pla.from_header_id                                           = apol.po_header_id(+)
   and pla.from_line_id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 houtl.organization_id (+) = ctxh.owning_org_id
   AND doc_style.style_id(+) = pha.style_id
   AND nvl(doc_style.clm_flag,'N') = 'N'
   and houtl.language IN ('US')
--Load CutOff Condition
   and pha.last_update_date &gt;= nvl(fnd_date.Canonical_to_date(fnd_profile.Value('PO_PSC_ITEM_SUPP_LOAD_CUT_OFF')),pha.last_update_date)  AND (pba.last_update_date &gt; '27-APR-20'
                            OR ctxh.last_update_date &gt; '27-APR-20'
                            OR av.last_update_date &gt; '27-APR-20'
                            OR avtlp.last_update_date &gt;  '27-APR-20'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</si>
  <si>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||'...',ctxh.req_template_name),'INTERNAL_TEMPLATE',DECODE(least(LENGTH(ctxh.req_template_name) , 20),20,SUBSTR(ctxh.req_template_name,1,17)
        ||'...',ctxh.req_template_name),'QUOTATION',ICX_CAT_UTIL_PVT.get_message('ICX_CAT_QUOTATION_SOURCE','NUMBER',ctxh.document_number) ,
        'BLANKET',ICX_CAT_UTIL_PVT.get_message('ICX_CAT_BLANKET_SOURCE','NUMBER',ctxh.document_number),'GLOBAL_BLANKET',
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Least(pha.end_date, pla.expiration_date),
         Nvl(pha.end_date, pla.expiration_date)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pha.amount_limit agreement_amount_limit,
    NVL(pha.blanket_total_amount,0) agreed_agreement_amount,
    NVL(pla.committed_amount,0)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ctxh.org_id,
    --(select name from hr_all_organization_units_tl where organization_id = ctxh.org_id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 houtl.language) line_type,
    pha.currency_code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  PO_PCC_IND_PROC_UTIL_PVT.get_doc_authorized_userIds('POPA', pha.TYPE_LOOKUP_CODE, pha.AUTHORIZATION_STATUS,
	pha.org_id, pha.AGENT_ID, pha.PO_HEADER_ID) DOC_AUTHORIZED_USER_IDS,
    NULL project_ids,
    'N' is_proj_ref_on_po,
	(SELECT lkp.meaning
          FROM   fnd_lookup_values lkp
          WHERE  lkp.lookup_type = 'PO_DOCUMENT_CREATION_METHOD'
                 AND lkp.LANGUAGE =  houtl.language
                 AND lkp.lookup_code = pha.document_creation_method) document_creation_method,
    (CASE
	 WHEN NVL(pha.authorization_status,'INCOMPLETE') IN ('INCOMPLETE','IN PROCESS','PRE-APPROVED')
		OR EXISTS (SELECT 1
				  FROM po_change_requests
				  WHERE document_header_id = pha.po_header_id
				  and request_status = 'PENDING')
		OR 	SYSDATE  &gt;= pha.end_date - 30
		OR PO_CORE_S.get_total(Decode(pha.type_lookup_code,'BLANKET','GA','GC'), pha.po_header_id) &gt;=
		   (pha.amount_limit * 0.9)
		OR pha.end_date &lt;= SYSDATE
		OR  PO_CORE_S.get_total(Decode(pha.type_lookup_code,'BLANKET','GA','GC'), pha.po_header_id) =
		    pha.amount_limit
		OR exists (select 1 from po_buyer_actions
	             WHERE Trunc(Nvl(completion_date,SYSDATE )) - Trunc(TARGET_DATE)   &gt; 0
                 and status  &lt;&gt; 'CLOSED'  and entity_type = 'PA_HEADER' and entity_id =pha.po_header_id)
     THEN  'Y'
	 ELSE 'N'
 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null performance_date,
	   null ontime_delivery_rating,
       null quality_rating,
       null price_comp_rating ,
    houtl.language
  from po_buyer_actions pba,
       icx_cat_items_ctx_hdrs_tlp ctxh,
       icx_cat_attribute_values av,
       icx_cat_attribute_values_tlp avtlp,
       po_lines_all pla,
       po_headers_all pha,
       financials_system_params_all fsp,
       hr_all_organization_units_tl houtl,
	   po_doc_style_headers doc_style
 where (
             ( pba.entity_type                                      = 'PA_HEADER'
           and pba.entity_id                                        = pla.po_header_id
             )
    or       ( pba.entity_type                                      = 'PA_LINE'
           and pba.entity_id                                        = pla.po_line_id
             )
       )
   and 'Y'                                                          = pha.global_agreement_flag
   and pha.po_header_id                                             = pla.po_header_id
   and pla.org_id                                                   = fsp.org_id(+)
   and ctxh.po_line_id(+)                                           = pla.po_line_id
   and ctxh.po_header_id(+)                                         = pla.po_header_id
   and ctxh.org_id(+)                                               = pla.org_id
   and ctxh.language                                                = houtl.LANGUAGE(+)
   and ctxh.req_template_name(+)                                    = '-2'
   and ctxh.req_template_line_num(+)                                = -2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AND houtl.organization_id (+) = ctxh.owning_org_id
   AND doc_style.style_id(+) = pha.style_id
   AND nvl(doc_style.clm_flag,'N') = 'N'
   and houtl.language IN ('US')
 --Load CutOff Condition
   and pha.last_update_date &gt;= nvl(fnd_date.Canonical_to_date(fnd_profile.Value('PO_PSC_ITEM_SUPP_LOAD_CUT_OFF')),pha.last_update_date)  AND (pba.last_update_date &gt; '27-APR-20'
                              OR ctxh.last_update_date &gt; '27-APR-20'
                              OR av.last_update_date &gt; '27-APR-20'
                              OR avtlp.last_update_date &gt;  '27-APR-20'
                              OR pla.last_update_date &gt; '27-APR-20'
                              OR pha.last_update_date &gt; '27-APR-20'
              ))
     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    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</si>
  <si>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plla.line_location_id
    || '-'
    || NULL
    || '-'
    || NULL
    || '-'
    || NULL
    || '-'
    || NULL
    || '-'
    || NULL
    || '-'
    || NULL
    || '-'
    || 'STANDARD_PO'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VENDOR_NAME from ap_suppliers aps where aps.VENDOR_ID = pha.VENDOR_ID)  review_supplier,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replace(psgt.char1, ' ', UNISTR('|')) std_po_line_desc_for_tag,
    pla.from_header_id std_po_from_header_id,
    pla.from_line_id std_po_from_line_id,
    decode(nvl(pla.from_header_id, pla.contract_id), null, 'Yes', 'No') std_po_line_off_contract,
    plla.line_location_id std_po_line_location_id,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plla.quantity_cancelled std_po_loc_quantity_cancelled,
    plla.unit_meas_lookup_code std_po_loc_uom,
    (select uom_code from mtl_units_of_measure_tl WHERE unit_of_measure = plla.unit_meas_lookup_code and language =  houtl.language) std_po_loc_uom_code,
    pla.unit_price std_po_loc_unit_price,
    psgt.num1 std_po_loc_amount,
    decode(nvl(pla.from_header_id, pla.contract_id), null,
           psgt.num1,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	(select min(need_by_date) from po_line_locations_all where po_line_id = pla.po_line_id)  std_po_loc_need_by_date,
    plla.ship_to_location_id std_po_ship_location_id,
    (select loc_tl.location_code
       from hr_locations_all_tl loc_tl
      where plla.ship_to_location_id = loc_tl.location_id
        and loc_tl.language =  houtl.language
    ) std_po_ship_location,
	plla.quantity_received  std_po_loc_received_quantity,
	plla.quantity_rejected  std_po_loc_rejected_quantity,
    pha.approved_date std_po_loc_approved_date,
     psgt.num1 spend_amount,
    decode(nvl(pla.from_header_id, pla.contract_id), null, 'Off-Contract', 'Contract') spend_type,
    --action items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psgt.char2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psgt.char3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 houtl.language
                 AND lkp.lookup_code = pha.document_creation_method 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 THEN  'Y'
	 ELSE 'N'
    END )   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 houtl.language,
        extract(YEAR from pha.approved_date) spend_year
  from po_lines_all pla,
       po_headers_all pha,
       po_line_locations_all plla,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 ,
     po_session_gt psgt
 where pha.po_header_id                                             = pla.po_header_id
   and pla.po_line_id                                               = plla.po_line_id(+)
   and pha.type_lookup_code                                         = 'STANDARD'
   and pla.from_header_id                                           = ctxh.po_header_id(+)
   and pla.from_line_id                                             = ctxh.po_line_id(+)
   and pla.org_id                                                   = fsp.org_id(+)
   and pla.org_id                                                   = ctxh.org_id(+)
   and ctxh.req_template_name(+)                                    = '-2'
   and ctxh.req_template_line_num(+)                                = -2
   and Nvl(ctxh.LANGUAGE,houtl.LANGUAGE)                            = houtl.LANGUAGE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pla.from_header_id                                           = apol.po_header_id(+)
   and pla.from_line_id                                             = apol.po_line_id(+)
   and apol.po_header_id                                            = apoh.po_header_id(+)
and houtl.language IN ('US')
and (ctxh.po_header_id is null
         or 'Y' = (SELECT global_agreement_flag FROM po_headers_all WHERE po_header_id = ctxh.po_header_id))
   AND houtl.organization_id (+) = pha.org_id
   AND doc_style.style_id(+) = pha.style_id
   AND nvl(doc_style.clm_flag,'N') = 'N'
   AND psgt.index_char1(+) = 'IND_PROC_PO_' || pla.po_header_id ||'_'||  pla.po_line_id
   --Load CutOff Condition
   and pha.last_update_date &gt;= nvl(fnd_date.Canonical_to_date(fnd_profile.Value('PO_PSC_ITEM_SUPP_LOAD_CUT_OFF')),pha.last_update_date)  AND ( ctxh.last_update_date &gt; '27-APR-20'
                        OR av.last_update_date &gt; '27-APR-20'
                        OR avtlp.last_update_date &gt;  '27-APR-20'
                        OR plla.last_update_date &gt; '27-APR-20'
                        OR pla.last_update_date &gt;  '27-APR-20'
                        OR pha.last_update_date &gt;  '27-APR-20'
         ) )
   PIVOT (max(org_name) as Org_name,
        max(cat_source_type_code) as cat_source_type_code,
        max(cat_uom_code) as cat_uom_code,
        max(line_type) as line_type,
        max(cat_manufacturer) AS cat_manufacturer ,
        max(cat_item_description) AS cat_item_description,
        max(cat_long_description) AS cat_long_description,
        max(std_po_loc_uom_code) AS std_po_loc_uom_code,
        max(document_creation_method) AS document_creation_method,
        max(CAT_IP_CATEGORY_NAME) AS   CAT_IP_CATEGORY_NAME,
        max(STD_PO_SHIP_LOCATION) AS   STD_PO_SHIP_LOCATION
        for LANGUAGE in ('US' "US"))</t>
  </si>
  <si>
    <t>select * from (select NULL
       || '-'
       || NULL
       || '-'
       || NULL
       || '-'
       || NULL
       || '-'
       || NULL
       || '-'
       || NULL
       || '-'
       || NULL
       || '-'
       || ai.invoice_id
       || '-'
       || ail.line_number
       || '-'
       || ai.source
       || '-'
       || NULL
       || '-'
       || NULL
       || '-'
       || NULL
       || '-'
       || pba.action_id
       || '-'
       || pba.entity_id
       || '-'
       || pba.entity_type
       || '-'
       || NULL
       || '-'
       || NULL
       || '-'
       || NULL
       || '-'
       || 'iEXPENSE' ecc_spec_id,
       --catalog items
       --iExpense
       ai.invoice_id,
       ai.invoice_num invoice_number,
       ai.invoice_amount,
       ail.line_number invoice_line_number,
       ai.source invoice_source,
       ail.description invoice_description,
       ail.justification invoice_justification,
	     replace(PO_PCC_IND_PROC_UTIL_PVT.remove_stop_words(ail.justification) ,' ',UNISTR('|')) inv_just_split_words_tag,
       nvl(ail.base_amount, ail.amount) invoice_line_amount,
       ail.creation_date invoice_date,
       ail.merchant_name invoice_merchant_name,
       --standard po
       nvl(ail.base_amount, ail.amount) AS spend_amount,
       'iExpense' AS spend_type,
       --action items
       pba.action_id,
       pba.entity_id action_entity_id,
       pba.entity_type action_entity_type,
	   (select meaning from fnd_lookup_values
        where lookup_type = 'PO_BUYER_ACTION_ENTITY_TYPE' and lookup_code = pba.entity_type AND language= houtl.language) action_entity_type_code,
       pba.action_type,
       (select meaning
          from fnd_lookup_values_vl
         where lookup_type = decode(pba.entity_type, 'REVIEW',     'PO_BUYER_REVIEW_ACTIONS',
		                                             'SUGGESTION', 'PO_BUYER_SUGGESTION_ACTIONS',
                                                     'REQ_LINE',   'PO_BUYER_REQ_LINE_ACTIONS',
                                                     'PO_HEADER',  'PO_BUYER_PO_HEADER_ACTIONS',
                                                     'PO_LINE',    'PO_BUYER_PO_LINE_ACTIONS',
                                                     'PA_HEADER',  'PO_BUYER_PA_HEADER_ACTIONS',
                                                     'PA_LINE',    'PO_BUYER_PA_LINE_ACTIONS',   null)
           and lookup_code = pba.action_type
       ) action_type_code,
       pba.description action_description,
       pba.assignee_per_id,
       (select full_name from per_all_people_f
         where person_id = pba.assignee_per_id
           and trunc(sysdate) BETWEEN effective_start_date
                                  and effective_end_date) action_assignee,
       pba.target_date action_due_date,
       pba.status action_status,
       (select meaning from fnd_lookup_values
         where lookup_type = 'PO_BUYER_ACTION_STATUS' and lookup_code = pba.status AND language= houtl.language) action_status_code,
       pba.comments action_comments,
	   (case
		   when Trunc(Nvl(pba.COMPLETION_DATE,SYSDATE )) - Trunc(pba.TARGET_DATE)   &gt; 0
				 and pba.STATUS  &lt;&gt; 'CLOSED'
		   then
			 Trunc(Nvl(pba.COMPLETION_DATE,SYSDATE )) - Trunc(pba.TARGET_DATE)
		   else null
	   end ) action_days_remaining,
       --common
       ail.creation_date spend_date,
       (
       select REPLACE (ppg.group_name,'|',',')
         from per_all_assignments_f paf, pay_people_groups ppg
        where paf.people_group_id = ppg.people_group_id
          and paf.primary_flag = 'Y'
          and trunc(sysdate) between trunc(effective_start_date)
                                 and trunc(effective_end_date)
          and person_id = decode(ai.invoice_type_lookup_code, 'EXPENSE REPORT', (select employee_id from ap_suppliers where vendor_id = ai.vendor_id),
                                                              'PAYMENT REQUEST', ai.paid_on_behalf_employee_id, null)
          and rownum = 1
       ) employee_group,
       PO_PCC_IND_PROC_UTIL_PVT.get_cost_center_for_expense(ail.invoice_id, ail.line_number) cost_center,
       ail.org_id,
       --(select name from hr_all_organization_units_tl where organization_id = ail.org_id and language = userenv('LANG')) org_name,
       houtl.name org_name,
       (select currency_code from gl_sets_of_books where ail.set_of_books_id = set_of_books_id) functional_currency,
       ai.exchange_rate rate,
       ai.exchange_rate_type rate_type,
       ai.exchange_date rate_date,
       ai.invoice_currency_code transaction_currency,
       'N' is_proj_ref_on_po,
    houtl.language,
    extract(YEAR from ail.creation_date) spend_year,
    'NULL' DOC_AUTHORIZED_USER_IDS
  from ap_invoices_all ai,
       ap_invoice_lines_all ail,
       po_buyer_actions pba ,
       hr_all_organization_units_tl houtl
 where ai.source IN ('SelfService', 'XpenseXpress')
   and ai.invoice_id                                                = ail.invoice_id
   and pba.entity_type(+)                                           = 'EXPENSE'
   and pba.entity_id(+)                                             = ai.invoice_id
   AND houtl.organization_id (+) = ail.org_id
   and houtl.language IN ('US')
   --Load CutOff Condition
   and ail.last_update_date &gt;= nvl(fnd_date.Canonical_to_date(fnd_profile.Value('PO_PSC_ITEM_SUPP_LOAD_CUT_OFF')),ail.last_update_date) AND (pba.last_update_date &gt; '27-APR-20'
                            OR ai.last_update_date &gt; '27-APR-20'
                            OR ail.last_update_date &gt; '27-APR-20'
            ) )
   PIVOT (max(org_name) as Org_name,
        max(action_entity_type_code) as action_entity_type_code,
        max(action_type_code) as action_type_code,
        max(action_status_code) as action_status_code
 for LANGUAGE in ('US' "US"))</t>
  </si>
  <si>
    <t xml:space="preserve">select * from (select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'CATALOG_ITEMS'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review.review_id,
    review.reviewer_id,
    (select full_name from per_all_people_f
      where person_id = review.reviewer_id
        and trunc(sysdate) BETWEEN effective_start_date
                               and effective_end_date) reviewer_name,
    review.creation_date review_date,
    review.review_title,
    REPLACE(review.review_comments,'|',',') review_comments,
    review.rating review_rating,
    decode(review.review_entity, 'I', rating, null) review_item_rating,
    decode(review.review_entity, 'S', rating, null) review_supplier_rating,
    review.review_entity,
    (select meaning from fnd_lookup_values
      where lookup_type = 'ICX_REVIEW_ENTITY_TYPE' and lookup_code = review.review_entity AND language= houtl.language) review_for,
    (select VENDOR_NAME from ap_suppliers aps where aps.VENDOR_ID = review.vendor_id) review_supplier,
	review.vendor_id review_supplier_id,
    nvl(review.status,'O') review_status,
    (select meaning from fnd_lookup_values
      where lookup_type = 'ICX_REVIEW_STATUS_TYPE' and lookup_code = nvl(review.status,'O')
        AND language= houtl.language AND view_application_id = 3) review_status_code,
    review.purchased_from review_item_purchased_from,
	(select meaning from fnd_lookup_values
      where lookup_type = 'PO_REVIEW_PURCHASED_FROM_TYPES' and lookup_code = review.purchased_from AND language= houtl.language) review_purchased_from_code,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review_responses,
	(select count(usefull_flag) from icx_review_usefull_dtls where review_id = review.review_id and usefull_flag = 'Y') review_useful_count,
	REPLACE (psgt.char1,' ',UNISTR('|')) review_keywords,
	NVL(
        (SELECT 'Yes'
		   FROM icx_rvw_reviews
		  WHERE review_id    = review.review_id
			AND review_entity IN ('I', 'S')
			AND rating         &lt; 3
        ), 'No') open_poor_rating,
    (select count(action_id) from po_buyer_actions where entity_type = 'REVIEW' and entity_id = review.review_id and status &lt;&gt; 'CLOSED') open_review_action_count,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(select count(response_id) from icx_rvw_responses where review_id = review.review_id) review_response_count,
    (select count(usefull_flag) from icx_review_usefull_dtls where review_id = review.review_id and usefull_flag = 'Y')
    || '/'
    ||
    (select count(usefull_flag) from icx_review_usefull_dtls where review_id = review.review_id and usefull_flag = 'N') usefull_useless,
    apoh.amount_limit agreement_amount_limit,
    NVL(apoh.blanket_total_amount,0) agreed_agreement_amount,
    NVL(apol.committed_amount,0) agreed_line_amount,
    extract(YEAR from review.creation_date) review_year,
    --suggestions
    decode(
    (select count(action_id) from po_buyer_actions where entity_type = 'REVIEW' and entity_id = review.review_id and status &lt;&gt; 'CLOSED'),
    0, 'No', 'Yes')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decode(
    (select count(response_id) from icx_rvw_responses where review_id = review.review_id),
    0, 'No', 'Yes') has_review_responses,
    --iExpense
    --standard po
    --action items
    pba.action_id,
    pba.entity_id action_entity_id,
    pba.entity_type action_entity_type,
	(select meaning from fnd_lookup_values
      where lookup_type = 'PO_BUYER_ACTION_ENTITY_TYPE' and lookup_code = pba.entity_type AND language= houtl.language) action_entity_type_code,
    pba.action_type,
    (select meaning
       from fnd_lookup_values_vl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psgt.char2 cost_center,
    ctxh.org_id,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'N' is_proj_ref_on_po,
  (SELECT lkp.meaning
          FROM   fnd_lookup_values lkp
          WHERE  lkp.lookup_type = 'PO_DOCUMENT_CREATION_METHOD'
                 AND lkp.LANGUAGE = houtl.language
                 AND lkp.lookup_code = apoh.document_creation_method) document_creation_method,
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(SELECT MAX(poh.approved_date)
     FROM   po_headers_all poh,
            po_lines_all pol
     WHERE ctxh.po_line_id = pol.from_line_id
     AND poh.po_header_id    = pol.po_header_id
     and poh.type_lookup_code  = 'STANDARD'
    ) cat_last_used_on,
   psgt.date1 performance_date,
   psgt.num2 ontime_delivery_rating,
   psgt.num3 quality_rating,
   psgt.num4 price_comp_rating,
   houtl.LANGUAGE ,
    psgt.char3 DOC_AUTHORIZED_USER_IDS,
    psgt.num5 purchased_agreement_amount,
    psgt.num6 purchased_line_amount,
    'Update Catalog Item' UPDATE_CATALOG_ITEM,
    'Renegotiate Agreement' RENEGOTIATE_AGREEMENT,
    'Manage Review' MANAGE_REVIEW,
    'View Agreement' VIEW_AGREEMENT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    po_session_gt psgt
 where ctxh.owning_org_id                                           = fsp.org_id
   and ctxh.language                                                = houtl.LANGUAGE(+)
   and ctxh.owning_org_id                                           = review.org_id(+)
   and ctxh.po_line_id                                              = review.po_line_id(+)
   and ctxh.req_template_name                                       = review.req_template_name(+)
   and ctxh.req_template_line_num                                   = review.req_template_line_num(+)
   and ctxh.inventory_item_id                                       = review.item_id(+)
   and review.review_entity(+) &lt;&gt; 'Q'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pba.entity_type(+)                                           = 'REVIEW'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houtl.language IN ('US')
and (ctxh.po_header_id is null
         or 'Y' = (SELECT global_agreement_flag FROM po_headers_all WHERE po_header_id = ctxh.po_header_id))
	AND houtl.organization_id (+) = ctxh.org_id
  AND psgt.index_char1(+) = 'IND_PROC_ITEMS_' || ctxh.po_header_id ||'_'||  ctxh.po_line_id
  AND (psgt.num7 = review.review_id OR psgt.num7 IS NULL)
   --Load CutOff Condition
   and ctxh.last_update_date &gt;= nvl(fnd_date.Canonical_to_date(fnd_profile.Value('PO_PSC_ITEM_SUPP_LOAD_CUT_OFF')),ctxh.last_update_date)  AND (pba.last_update_date &gt; '27-APR-20'
                        OR ctxh.last_update_date &gt; '27-APR-20'
                        OR av.last_update_date &gt; '27-APR-20'
                        OR avtlp.last_update_date &gt;  '27-APR-20'
                        OR review.last_update_date &gt; '27-APR-20'
         ))
   PIVOT (max(org_name) as Org_name,
        max(cat_source_type_code) as cat_source_type_code,
        max(cat_uom_code) as cat_uom_code,
        max(review_for) as review_for,
        max(review_status_code) as review_status_code,
        max(review_purchased_from_code) as review_purchased_from_code,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for LANGUAGE in ('US' "US")) </t>
  </si>
  <si>
    <t>po-pcc-requisitions</t>
  </si>
  <si>
    <t>Requisitions</t>
  </si>
  <si>
    <t>SELECT
          req_header.requisition_header_id || '-' || req_line.requisition_line_id || '-' || req_dist.distribution_Id AS ecc_spec_id
          FROM
          po_requisition_headers_all req_header,
          po_requisition_lines_all req_line,
          po_req_distributions_all req_dist
          WHERE
          req_header.requisition_header_id = req_line.requisition_header_id
          and (nvl(req_header.closed_code,'NO') = 'FINALLY CLOSED'
          or NVL(req_header.cancel_flag, 'N') = 'Y'
          or nvl(req_line.cancel_flag,'N') = 'Y'
          or Nvl(req_line.modified_by_agent_flag,'N') = 'Y'
          or Nvl(req_line.closed_code,'NO') IN ('CLOSED','FINALLY CLOSED')
          or  (nvl(req_header.AUTHORIZATION_STATUS,'NO') = 'RETURNED'
                  AND req_line.line_location_id IS NULL AND
                  nvl(req_line.reqs_in_pool_flag,'N')='N')
	  )
          AND req_line.requisition_line_id = req_dist.requisition_line_id(+)
          and req_header.last_update_date &gt; to_date(to_char(to_timestamp('27-APR-20'),'DD-MON-YY HH24.MI.SS'),'DD-MON-YY HH24.MI.SS')</t>
  </si>
  <si>
    <t xml:space="preserve">select * from (
SELECT
req_header.requisition_header_id || '-' || req_line.requisition_line_id || '-' || req_dist.distribution_Id  AS ecc_spec_id,
DFV_H.*, DFV_L.*, DFV_D.*,
req_header.requisition_header_id requisition_header_id,
req_header.segment1 requisition,
req_header.description description,
CASE
  WHEN req_header.closed_code = 'CLOSED'
  THEN fnd_message.Get_string('PO', 'PO_STATUS_CLOSED')
  WHEN req_header.closed_code = 'FINALLY CLOSED'
  THEN fnd_message.Get_string('PO', 'PO_STATUS_FINALLY_CLOSED')
  WHEN NVL(req_header.cancel_flag, 'N') = 'Y'
  THEN fnd_message.Get_string('PO', 'PO_STATUS_CANCELED')
  ELSE status_lkup.meaning
END  status,
status_lkup.lookup_code requisition_status_code,
status_lkup.LANGUAGE status_language,
nvl((SELECT emp.full_name FROM per_all_people_f emp WHERE emp.person_id = req_line.suggested_buyer_id
AND ( ( emp.effective_end_date IS NULL )
OR ( emp.effective_end_date =
  (SELECT Max(c.effective_end_date)
  FROM   per_all_people_f c
  WHERE  emp.person_id = c.person_id
) ) )),po_pcc_agreements_util_pvt.get_fnd_message ('PO_PCC_BUYER_UNASSIGNED', '201',status_lkup.language)) buyer_name,
req_header.preparer_id,
( SELECT emp.full_name
  FROM   per_all_people_f emp
  WHERE  emp.person_id = req_header.preparer_id
  AND ( ( emp.effective_end_date IS NULL )
  OR ( emp.effective_end_date =
    (SELECT Max(c.effective_end_date)
    FROM   per_all_people_f c
    WHERE  emp.person_id = c.person_id
  ) ) )
  ) 	preparer	,
por_view_reqs_pkg.get_req_total(req_header.requisition_header_id) amount	,
(SELECT sob.currency_code
FROM gl_sets_of_books sob,financials_system_params_all fsp
WHERE sob.set_of_books_id = fsp.set_of_books_id
AND fsp.org_id = req_header.org_id)
AS currency , -- functional currency
(SELECT description
  FROM   fnd_lookup_values
  WHERE  lookup_type = 'REQUISITION TYPE'
  AND lookup_code = req_header.type_lookup_code
  AND LANGUAGE = status_lkup.LANGUAGE
) 	requisition_type	,
req_header.creation_date 	creation_date	,
req_header.approved_date 	approved_date	,
EXTRACT( YEAR FROM approved_date ) approved_date_year,
To_Char(approved_date,'Month') approved_date_month,
To_Char(NULL) approved_date_range,
(SELECT houtl.name
  FROM   hr_all_organization_units_tl houtl
  WHERE  houtl.organization_id (+) = req_header.org_id
  AND houtl.LANGUAGE = status_lkup.LANGUAGE
) 	operating_unit	,
  req_header.org_id org_id,
  req_line.requisition_line_id requisition_line_id,
req_line.item_id,
req_line.line_num 	line_number,
  mtl_sys_item.concatenated_segments item,
req_line.item_description item_description,
req_line.category_id,
req_mtl_cat.concatenated_segments category,
req_line.quantity quantity,
req_line.quantity - req_line.quantity_cancelled requested_quantity,
req_line.need_by_date need_by_date,
(req_line.need_by_date -
         nvl(((SELECT nvl(lead_time,0)
          FROM icx_cat_attribute_values
          WHERE po_line_id = (SELECT po_line_id
                              FROM po_lines_all
                              WHERE po_header_id = req_line.BLANKET_PO_HEADER_ID
                              AND line_num = req_line.BLANKET_PO_LINE_NUM
                              AND ROWNUM =1) )), 0)) order_by_date,
EXTRACT( YEAR FROM need_by_date ) need_by_date_year,
To_Char(need_by_date,'Month') need_by_date_month,
NVL(req_line.REQS_IN_POOL_FLAG,'N') reqs_in_pool_flag,
req_line.unit_meas_lookup_code uom_code,
req_line.unit_meas_lookup_code uom,
req_line.unit_price unit_price,
req_line.line_type_id,
(SELECT line_type
FROM po_line_types_tl
WHERE line_type_id = req_line.line_type_id
AND LANGUAGE = status_lkup.language)	line_type	,
req_line.matching_basis,
req_line.item_revision  item_revision	,
  DECODE(req_line.matching_basis,
        'AMOUNT', req_line.amount,
		(req_line.quantity-NVL(req_line.quantity_cancelled,0)) * req_line.unit_price
  ) 	line_amount	,
    Nvl2(req_line.currency_code,req_line.currency_code,
    (SELECT sob.currency_code
    FROM gl_sets_of_books sob,financials_system_params_all fsp
    WHERE sob.set_of_books_id = fsp.set_of_books_id
    AND fsp.org_id = req_header.org_id)) line_currency,
(SELECT gsb.currency_code
  FROM   financials_system_params_all fsp,
        gl_sets_of_books gsb
  WHERE  fsp.set_of_books_id = gsb.set_of_books_id
  AND fsp.org_id = req_line.org_id
) 	line_functional_currency	,
(CASE WHEN req_line.MODIFIED_BY_AGENT_FLAG = 'Y' THEN 0
    WHEN req_line.currency_code IS NOT NULL AND req_line.matching_basis = 'AMOUNT'  THEN Nvl(req_line.currency_amount, req_line.amount)
    WHEN req_line.currency_code IS NOT NULL AND req_line.matching_basis &lt;&gt; 'AMOUNT'
     THEN (Nvl(req_line.currency_unit_price,req_line.unit_price) * (req_line.quantity - nvl(req_line.quantity_cancelled,0)))
    WHEN req_line.matching_basis = 'AMOUNT' THEN req_line.amount
    ELSE
          req_line.unit_price *(req_line.quantity - nvl(req_line.quantity_cancelled,0))
  END) 	line_currency_amount	,
  req_header.cancel_flag,
req_line.cancel_flag line_cancel_flag,
  req_header.closed_code,
req_line.closed_code line_closed_code,
req_line.modified_by_agent_flag,
( CASE
  WHEN req_line.cancel_flag='Y'
    THEN po_pcc_agreements_util_pvt.get_fnd_message ('PO_PCC_REQ_CANCELLED', '201',status_lkup.language)
  WHEN req_line.urgent_flag = 'Y' AND req_line.REQS_IN_POOL_FLAG='Y'
    THEN po_pcc_agreements_util_pvt.get_fnd_message ('PO_PCC_REQLINE_URGENT', '201',status_lkup.language)
  WHEN  req_line.REQS_IN_POOL_FLAG='Y' AND Trunc(req_line.need_by_date) &lt;
            Trunc(SYSDATE + (SELECT nvl(lead_time,0)
                            FROM icx_cat_attribute_values
                            WHERE po_line_id = (SELECT po_line_id
                                                FROM po_lines_all
                                                WHERE po_header_id = req_line.BLANKET_PO_HEADER_ID
                                                AND line_num = req_line.BLANKET_PO_LINE_NUM
                                                AND ROWNUM =1) ) )
    THEN po_pcc_agreements_util_pvt.get_fnd_message ('PO_PCC_REQLINE_LATE2', '201',status_lkup.language)
  WHEN req_line.REQS_IN_POOL_FLAG='Y' AND req_line.need_by_date &lt;= SYSDATE
    THEN po_pcc_agreements_util_pvt.get_fnd_message ('PO_PCC_REQLINE_LATE', '201',status_lkup.language)
  WHEN req_line.reqs_in_pool_flag = 'Y'
    THEN po_pcc_agreements_util_pvt.get_fnd_message ('PO_PCC_REQLINE_POOL', '201',status_lkup.language)
  WHEN req_line.at_sourcing_flag = 'Y'
    THEN po_pcc_agreements_util_pvt.get_fnd_message ('PO_PCC_REQLINE_NEG', '201',status_lkup.language)
    WHEN (SELECT Count(1)
      FROM
      po_distributions_all pod
      WHERE pod.REQ_DISTRIBUTION_ID IN (SELECT distribution_Id FROM po_req_distributions_all WHERE requisition_line_id = req_line.requisition_line_id)
      AND ROWNUM &lt; 2) &gt; 0
    THEN po_pcc_agreements_util_pvt.get_fnd_message ('PO_PCC_REQLINE_ORDER', '201',status_lkup.language)
  ELSE
    (SELECT meaning
    FROM   fnd_lookup_values
    WHERE  lookup_type = 'AUTHORIZATION STATUS'
    AND lookup_code = req_header.authorization_status
    AND LANGUAGE = status_lkup.language)
  END
)  line_status	,
req_line.to_person_id requester_id,
( SELECT emp.full_name
	FROM   per_all_people_f emp
	WHERE  emp.person_id = req_line.to_person_id
	AND ( ( emp.effective_end_date IS NULL )
	OR ( emp.effective_end_date =
		(SELECT Max(c.effective_end_date)
		FROM   per_all_people_f c
		WHERE  emp.person_id = c.person_id))
)) requester,
(SELECT SUM(Nvl(prd1.recoverable_tax,0))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	recoverable_tax	,
(SELECT SUM(Nvl(prd1.nonrecoverable_tax,0))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 	non_recoverable_tax	,
req_line.suggested_buyer_id,
( SELECT emp.full_name
  FROM   per_all_people_f emp
  WHERE  emp.person_id =req_line.suggested_buyer_id
  AND ( ( emp.effective_end_date IS NULL )
        OR ( emp.effective_end_date =
                  (SELECT Max(c.effective_end_date)
                  FROM   per_all_people_f c
                  WHERE  emp.person_id = c.person_id  )
			)
	)
) 	suggested_buyer	,
req_line.note_to_agent note_to_buyer,
req_line.suggested_vendor_name suggested_supplier	,
(SELECT description
  FROM   hr_locations_all_tl
  WHERE  location_id = req_line.deliver_to_location_id
        AND LANGUAGE = status_lkup.language
) 	deliver_to_location	,
req_line.deliver_to_location_id,
(SELECT LOCATION_CODE FROM HR_LOCATIONS_ALL_TL WHERE location_id = req_line.deliver_to_location_id
and language = status_lkup.language)  ship_to_location,
req_line.destination_type_code,
(SELECT meaning
  FROM   fnd_lookup_values
  WHERE  lookup_type = 'DESTINATION TYPE'
  AND lookup_code = req_line.destination_type_code
  AND LANGUAGE = status_lkup.language
)  destination_type	,
req_line.urgent_flag urgent_flag,
req_line.last_update_date req_last_upd_date,
Decode(req_header.type_lookup_code,
                  'INTERNAL',TO_CHAR(OE_ORDER_IMPORT_INTEROP_PUB.Get_Order_Number(PSP.order_source_id,req_line.requisition_header_id,req_line.requisition_line_id)),
                    po_v.segment1) AS purchase_order,
po_v.po_header_id,
req_line.blanket_po_header_id,
(SELECT segment1 FROM po_headers_all WHERE po_header_id = req_line.blanket_po_header_id) AS agreement,
(SELECT document_number FROM pon_auction_Headers_all WHERE auction_header_id = req_line.auction_header_id) AS negotiation,
To_Char(NULL) next_action_owner,
To_Char(NULL) next_action_type,
  DECODE (po_pcc_requisitions_util_pvt.is_fully_reserved('REQUISITION','LINE',req_line.requisition_line_id),'Y',
	           (SELECT meaning
               FROM fnd_lookup_values POLC
               WHERE POLC.lookup_type = 'DOCUMENT STATE'
               AND POLC.lookup_code = 'RESERVED'
               AND LANGUAGE = status_lkup.language),
			   (SELECT meaning
               FROM fnd_lookup_values POLC
               WHERE POLC.lookup_type = 'DOCUMENT STATE'
               AND POLC.lookup_code = 'NOT RESERVED'
               AND LANGUAGE = status_lkup.language)) AS reservation_status,
req_dist.distribution_id distribution_id,
req_header.segment1 || ', ' || req_line.line_Num requisition_line,
req_dist.distribution_num distribution_number,
req_dist.req_line_quantity distribution_quantity,
req_dist.code_combination_id,
(SELECT  concatenated_segments
  FROM gl_code_combinations_kfv  gl_code_kfv
  WHERE code_combination_id = req_dist.code_combination_id
)   	charge_account	,
req_dist.expenditure_type expenditure_type,
(SELECT name
FROM hr_all_organization_units_tl
WHERE organization_id=req_dist.expenditure_organization_id
AND LANGUAGE = status_lkup.language) expenditure_org,
req_dist.expenditure_item_date expenditure_item_date,
pa_project.name project ,
pa_project.project_id,
pa_project.project_currency_code project_currency_code,
pa_project.segment1 project_number,
pa_task.task_number task_number,
pa_task.task_id,
To_Char(NULL) project_status,
DECODE(req_line.requisition_line_id,NULL,NULL,pa_task.task_name ) task_name
FROM
po_requisition_headers_all req_header,
po_requisition_lines_all req_line,
po_req_distributions_all req_dist,
pa_projects_all pa_project,
pa_tasks  pa_task,
mtl_system_items_b_kfv mtl_sys_item,
ap_suppliers ap_supplier,
mtl_categories_kfv req_mtl_cat,
fnd_lookup_values status_lkup,
(SELECT poh.segment1,poh.po_header_id, pod.REQ_DISTRIBUTION_ID
FROM
po_distributions_all pod,
po_headers_all poh
WHERE pod.po_header_id = poh.po_header_id
AND poh.type_lookup_code = 'STANDARD'
) po_v,
ORG_ORGANIZATION_DEFINITIONS OOD,
PO_SYSTEM_PARAMETERS_ALL PSP,
 (select 'PO_REQ_H_ROW_ID','PO_REQ_H_CONTEXT','PO_REQ_H_CONCATENATED_SEGMENTS' from dual where 1=2  union select ROWIDTOCHAR(ROW_ID),CONTEXT,CONCATENATED_SEGMENTS from PO_REQUISITION_HEADERS_ALL_DFV) DFV_H, (select 'PO_REQ_L_ROW_ID','PO_REQ_L_CONTEXT','PO_REQ_L_CONCATENATED_SEGMENTS' from dual where 1=2  union select ROWIDTOCHAR(ROW_ID),CONTEXT,CONCATENATED_SEGMENTS from PO_REQUISITION_LINES_ALL3_DFV) DFV_L, (select 'PO_REQ_D_ROW_ID','PO_REQ_D_CONTEXT_VALUE','PO_REQ_D_CONCATENATED_SEGMENTS' from dual where 1=2  union select ROWIDTOCHAR(ROW_ID),CONTEXT_VALUE,CONCATENATED_SEGMENTS from PO_REQ_DISTRIBUTIONS_ALL1_DFV) DFV_D
WHERE
req_header.authorization_status = 'APPROVED'
and nvl(req_header.closed_code,'NO') &lt;&gt; 'FINALLY CLOSED'
and NVL(req_header.cancel_flag, 'N') &lt;&gt; 'Y'
and nvl(req_header.federal_flag,'N') = 'N'
AND req_header.requisition_header_id = req_line.requisition_header_id
and nvl(req_line.cancel_flag,'N') &lt;&gt; 'Y'
AND Nvl(req_line.modified_by_agent_flag,'N') &lt;&gt; 'Y'
AND Nvl(req_line.closed_code,'NO') NOT IN ('CLOSED','FINALLY CLOSED')
AND req_line.requisition_line_id = req_dist.requisition_line_id(+)
and req_dist.task_id  = pa_task.task_id (+)
and req_dist.project_id = 	pa_task.project_id (+)
and pa_task.project_id = pa_project.project_id(+)
AND NVL(req_header.authorization_status,'INCOMPLETE') = status_lkup.lookup_code
AND status_lkup.lookup_type = 'AUTHORIZATION STATUS'
AND status_lkup.LANGUAGE IN ('US')
and req_line.vendor_id = ap_supplier.vendor_id(+)
and req_line.category_id = req_mtl_cat.category_id(+) --req line category to req mtl category
and req_line.item_id = mtl_sys_item.inventory_item_id(+) --req line item to mtl system inv item
and req_line.destination_organization_id = mtl_sys_item.organization_id(+)
AND po_v.REQ_DISTRIBUTION_ID(+) = req_dist.distribution_id
AND      OOD.ORGANIZATION_ID(+) = req_line.SOURCE_ORGANIZATION_ID
AND      PSP.ORG_ID(+) = OOD.OPERATING_UNIT
AND (nvl(req_header.CONTRACTOR_REQUISITION_FLAG,'N')='N'
or (req_header.AUTHORIZATION_STATUS='APPROVED'  and
req_header.CONTRACTOR_STATUS='ASSIGNED'))
AND req_header.rowid = dfv_h."'PO_REQ_H_ROW_ID'" (+)
AND req_line.rowid = dfv_l."'PO_REQ_L_ROW_ID'" (+)
AND req_dist.rowid = dfv_d."'PO_REQ_D_ROW_ID'" (+) and Greatest(req_header.last_update_date, req_line.last_update_date) &gt; to_date(to_char(to_timestamp('27-APR-20'),'DD-MON-YY HH24.MI.SS'),'DD-MON-YY HH24.MI.SS')
               ) pivot(Max(status) AS status,
                                     Max(operating_unit) AS operating_unit,
                                     Max(buyer_name) AS buyer_name,
                                     Max(line_type) AS line_type,
                                     Max(line_status) AS line_status,
                                     Max(requisition_type) AS requisition_type,
                                     Max(deliver_to_location) AS deliver_to_location,
                                     Max(ship_to_location) AS ship_to_location,
                                     Max(destination_type) AS destination_type,
                                     Max(expenditure_org) AS expenditure_org,
                                     Max(reservation_status) AS reservation_status
                                     FOR status_language IN ('US' "US")) </t>
  </si>
  <si>
    <t>There are 2 documents processed successfully and 0 documents failed to be processed.</t>
  </si>
  <si>
    <t>2</t>
  </si>
  <si>
    <t>po-pcc-orders-metric</t>
  </si>
  <si>
    <t>Purchase Order Metrics</t>
  </si>
  <si>
    <t>select aha.INVOICE_ID  ||'-'|| aha.LINE_LOCATION_ID ||'-'||REPLACE(aha.HOLD_LOOKUP_CODE,' ','_') ECC_SPEC_ID,
aha.invoice_id, aha.line_location_id, aha.HOLD_ID, aha.release_lookup_code, nvl(aha.release_lookup_code,'Yes') as on_hold_flag,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
  from ap_holds_all aha,po_line_locations_all po_lineloc,po_headers_all poh,PO_DOCUMENT_TYPES_ALL pdt,
  po_doc_style_headers doc_style
  where aha.line_location_id = po_lineloc.line_location_id
  AND aha.hold_lookup_code in
       (select hold_lookup_code
        from ap_hold_codes
        where hold_type = 'MATCHING HOLD REASON'
        and NVL(inactive_date, trunc(sysdate) + 1) &gt;= trunc(sysdate))
  AND pdt.org_id = poh.org_id
  AND pdt.DOCUMENT_TYPE_CODE = 'PO'
  AND pdt.DOCUMENT_SUBTYPE = poh.TYPE_LOOKUP_CODE
  AND po_lineloc.po_header_id = poh.po_header_id
  and poh.type_lookup_code IN ('STANDARD')
  AND doc_style.style_id = poh.style_id
  AND nvl(doc_style.clm_flag,'N') = 'N' and aha.last_update_date &gt; to_date(to_char(to_timestamp('27-APR-20'),'DD-MON-YY HH24.MI.SS'),'DD-MON-YY HH24.MI.SS')</t>
  </si>
  <si>
    <t>po-pcc-agreements</t>
  </si>
  <si>
    <t>Agreements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</si>
  <si>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gt.KEY=3140042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</si>
  <si>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gt.KEY=3140042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</si>
  <si>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gt.KEY=3140042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</si>
  <si>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>pa-ds-cost-bcbalances</t>
  </si>
  <si>
    <t>Projects Costing: Budget Balances</t>
  </si>
  <si>
    <t>select * from (SELECT
trx.RECORD_TYPE,
trx.ECC_SPEC_ID,
trx.PROJECT_ID,
trx.PROJECT_NAME,
trx.PROJECT_NUMBER,
trx.ORG_ID,
trx.OPERATING_UNIT,
trx.PROJECT_ORGANIZATION,
trx.PROJECT_MANAGER,
trx.PROJECT_START_DATE,
trx.PROJECT_COMPLETION_DATE,
trx.PROJECT_TYPE,
trx.PROJECT_TYPE_CLASS_CODE,
trx.PROJECT_STATUS_CODE,
trx.PROJECT_STATUS_NAME,
trx.PROJECT_SYSTEM_STATUS_CODE,
trx.PROJFUNC_CURRENCY_CODE,
trx.TEMPLATE_FLAG,
trx.AMOUNT_TYPE || '-' || trx.BOUNDARY_CODE PERIODICITY,
trx.BALANCE_TYPE,
trx.EXTERNAL_BUDGET_CODE,
trx.GL_BUDGET_VERSION_ID,
trx.ENCUMBRANCE_TYPE_ID,
trx.BDGT_CNTRL_FLAG,
trx.AMOUNT_TYPE,
trx.BOUNDARY_CODE,
trx.FUND_CONTROL_LEVEL_PROJECT,
trx.FUND_CONTROL_LEVEL_TASK,
trx.FUND_CONTROL_LEVEL_RES_GRP,
trx.FUND_CONTROL_LEVEL_RES,
trx.PROJECT_CONTROL_LEVEL,
trx.TASK_CONTROL_LEVEL,
trx.RES_GROUP_CONTROL_LEVEL,
trx.RESOURCE_CONTROL_LEVEL,
trx.BUDGET_VERSION_ID,
trx.BUDGET_TYPE_CODE,
trx.BUDGET_TYPE,
trx.VERSION_NUMBER,
trx.VERSION_NAME,
trx.VERSION_DESCRIPTION,
trx.BUDGET_STATUS_CODE,
trx.BUDGET_STATUS,
trx.CURRENT_FLAG,
trx.ORIGINAL_FLAG,
trx.CURRENT_ORIGINAL_FLAG,
trx.BUDGET_ENTRY_METHOD_CODE,
trx.LABOR_QUANTITY,
trx.LABOR_UNIT_OF_MEASURE,
trx.RAW_COST,
trx.BURDENED_COST,
trx.REVENUE,
trx.FIRST_BUDGET_PERIOD,
trx.WF_STATUS_CODE,
trx.TOTAL_PROJECT_RAW_COST,
trx.TOTAL_PROJECT_BURDENED_COST,
trx.TOTAL_PROJECT_REVENUE,
trx.TASK_ID,
trx.TASK_NUMBER,
trx.TASK_NAME,
trx.TASK_ORGANIZATION,
trx.TASK_MANAGER,
trx.TASK_START_DATE,
trx.TASK_COMPLETION_DATE,
trx.TASK_STATUS,
trx.TOP_TASK_ID,
trx.TOP_TASK_NUMBER,
trx.TOP_TASK_NAME,
trx.RESOURCE_LIST_MEMBER_ID,
trx.PARENT_MEMBER_ID,
trx.START_DATE,
trx.END_DATE,
trx.PA_PERIOD_NAME,
trx.GL_PERIOD_NAME,
trx.ENCUMBRANCE_TYPE_CODE,
trx.ENCUMBRANCE_TYPE,
trx.BUDGET,
trx.ACTUALS,
trx.ENCUMBRANCES,
trx.BGT_CONSUMPTION,
trx.PROJECT_BUDGET,
trx.PROJECT_COMMITMENTS,
trx.PROJECT_ACTUALS,
trx.PROJ_CMTS_ALL + trx.PROJ_ACTLS_ALL PROJECT_CONSUMPTION,
trx.PROJ_UNCONSUMED_FUNDS,
trx.PROJ_PERCENT_SPENT_BUDGET,
trx.TASK_BUDGET,
trx.TASK_COMMITMENTS,
trx.TASK_ACTUALS,
trx.TASK_CMTS_ALL + trx.TASK_ACTLS_ALL TASK_CONSUMPTION,
trx.TASK_UNCONSUMED_FUNDS,
trx.TASK_PERCENT_SPENT_BUDGET,
trx.PROJECT_REQ_CMT,
trx.PROJECT_PO_CMT,
trx.PROJECT_AP_CMT,
trx.PROJECT_UNUTLFUND_CT,
trx.TASK_REQ_CMT,
trx.TASK_PO_CMT,
trx.TASK_AP_CMT,
trx.TASK_UNUTLFUND_CT,
trx.PROJ_BALANCE_BGT,
trx.TASK_BALANCE_BGT,
trx.PROJ_FAILED_FC,
trx.TASK_FAILED_FC,
TRX.FC_START_DATE,
TRX.FC_END_DATE,
TRX.PROJ_BDGT_ALL,
TRX.PROJ_CMTS_ALL,
TRX.PROJ_ACTLS_ALL,
TRX.PROJ_RMNG_ALL,
TRX.PROJ_FC_FAIL_ALL,
TRX.TASK_BDGT_ALL,
TRX.TASK_CMTS_ALL,
TRX.TASK_ACTLS_ALL,
TRX.TASK_RMNG_ALL,
TRX.TASK_FC_FAIL_ALL,
TRX.PROJ_UNCONSUMED_FUNDS_FLAG,
TRX.TASK_UNCONSUMED_FUNDS_FLAG,
trx.project_id || trx.task_id || trx.GL_PERIOD_NAME ASSC_ID,
trx.LANGUAGE 
FROM PA_ECC_COST_BC_BALANCES trx, pa_tasks pt 
where  trx.task_id = pt.task_id (+)
and trx.language in ('US')
)
PIVOT (
max(OPERATING_UNIT) as OPERATING_UNIT,
max(PROJECT_ORGANIZATION) as PROJECT_ORGANIZATION,
max(PROJECT_TYPE_CLASS_CODE) as PROJECT_TYPE_CLASS_CODE,
max(PROJECT_STATUS_CODE) as PROJECT_STATUS_CODE,
max(PROJECT_SYSTEM_STATUS_CODE) as PROJECT_SYSTEM_STATUS_CODE,
max(AMOUNT_TYPE) as AMOUNT_TYPE,
max(BOUNDARY_CODE) as BOUNDARY_CODE,
max(PROJECT_CONTROL_LEVEL) as PROJECT_CONTROL_LEVEL,
max(TASK_CONTROL_LEVEL) as TASK_CONTROL_LEVEL,
max(RES_GROUP_CONTROL_LEVEL) as RES_GROUP_CONTROL_LEVEL,
max(RESOURCE_CONTROL_LEVEL) as RESOURCE_CONTROL_LEVEL,
max(BUDGET_STATUS) as BUDGET_STATUS,
max(TASK_ORGANIZATION) as TASK_ORGANIZATION,
max(ENCUMBRANCE_TYPE) as ENCUMBRANCE_TYPE,
max(PERIODICITY) as PERIODICITY
for LANGUAGE in ('US' "US"))</t>
  </si>
  <si>
    <t>Contract Lifecycle Management</t>
  </si>
  <si>
    <t>po-clm-solicitations</t>
  </si>
  <si>
    <t>Solicitations</t>
  </si>
  <si>
    <t xml:space="preserve">Failed as one of the load rules failed which is [id =  13,476,  po_pon_ecc_util_pvt.GET_ECC_DATA_LOAD_INFO]. Please check the load rule audit entry for more details.. </t>
  </si>
  <si>
    <t xml:space="preserve">There is SQLException while applying load rule for dataset po-clm-solicitations for job 63,920.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</si>
  <si>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po-clm-sol-time</t>
  </si>
  <si>
    <t>Solicitation Time Line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</si>
  <si>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3140041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</si>
  <si>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>po-clm-requisitions</t>
  </si>
  <si>
    <t xml:space="preserve">Failed as one of the load rules failed which is [id =  13,162,  PO_ICX_CLM_ECC_UTIL_PVT.GET_ECC_DATA_LOAD_INFO]. Please check the load rule audit entry for more details.. </t>
  </si>
  <si>
    <t xml:space="preserve">There is SQLException while applying load rule for dataset po-clm-requisitions for job 63,920.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</si>
  <si>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po-clm-deliverables</t>
  </si>
  <si>
    <t>CLM Deliverables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</si>
  <si>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3140039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</si>
  <si>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3140039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</si>
  <si>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3140039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</si>
  <si>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3140039 )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</si>
  <si>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3140039 )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</si>
  <si>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3140039 )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</si>
  <si>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po-clm-close-out</t>
  </si>
  <si>
    <t>CLM Closeout Tasks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</si>
  <si>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3140038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</si>
  <si>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3140038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</si>
  <si>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3140038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</si>
  <si>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3140038 )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</si>
  <si>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3140038 )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</si>
  <si>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3140038 )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</si>
  <si>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po-clm-sol-offers</t>
  </si>
  <si>
    <t>Solicitation Responses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</si>
  <si>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3140037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</si>
  <si>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>po-clm-award</t>
  </si>
  <si>
    <t>Awards</t>
  </si>
  <si>
    <t xml:space="preserve">Failed as one of the load rules failed which is [id =  12,634,  PO_CLM_ECC_UTIL_PVT.GET_ECC_DATA_LOAD_INFO]. Please check the load rule audit entry for more details.. </t>
  </si>
  <si>
    <t xml:space="preserve">There is SQLException while applying load rule for dataset po-clm-award for job 63,920.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</si>
  <si>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po-clm-acquisitions</t>
  </si>
  <si>
    <t>Acquisitions</t>
  </si>
  <si>
    <t xml:space="preserve">select * from (select
          orc.contract_id||'-'||ord.deliverable_id as ecc_spec_id,
          orc.contract_id acquisition_plan_summary,
          orc.contract_number acquisition_plan_number,
          orc.contract_name name,
          lkup1.meaning status,
          lkup1.language doc_language,
          orc.contract_status_code,
          orc.latest_signed_ver_number,
          orc.contract_version_num version,
          orc.version_comments,
          orc.contract_desc as description,
          orc.org_id,
          ou.name   operating_unit,
          orc.contract_type contract_type_code,
          docs.name contract_type,
          orc.owner_id,
          (select nvl(pf.full_name, fu.user_name)
          from   per_all_people_f   pf,
                  fnd_user    fu
          where  fu.user_id = orc.owner_id
          and    pf.person_id (+) = fu.employee_id
          and   (fu.employee_id is null or pf.effective_start_date = (select max(effective_start_date)
                                                                      from   per_all_people_f
                                                                      where  person_id = fu.employee_id)))  administrator,
          orc.currency_code currency,
          orc.amount,
          orc.contract_effective_date as effective_date,
          orc.contract_expiration_date as expiration_date,
          orc.reference_document_type source_doc_type,
          orc.reference_document_number source_doc_reference,
          orc.reference_document_id source_doc_id,
          (select nvl(pf.full_name, fu.user_name)
                  from   per_all_people_f   pf,
                        fnd_user    fu
                  where  fu.user_id = orc.contract_last_updated_by
                  and    pf.person_id (+) = fu.employee_id
                  and   (fu.employee_id is null or pf.effective_start_date = (select max(effective_start_date)
                                                                              from   per_all_people_f
                                                                              where  person_id = fu.employee_id))) last_updated_by,
          trunc(orc.contract_last_update_date) as last_updated_date,
          PO_ACQUISITION_ECC_UTIL_PVT.get_next_approver(orc.contract_id) AS next_approver_id,
          orc.authoring_party_code,
          orc.overall_risk_code,
          orc.cancellation_comments,
          orc.cancellation_date,
          orc.termination_comments,
          orc.termination_date,
          orc.keywords,
          orc.object_version_number,
          Trunc(orc.contract_expiration_date) - Trunc(orc.contract_effective_date) planned_duration,
          CASE
            when orc.contract_status_code &lt;&gt; 'APPROVED'
              THEN null
            when trunc(orc.contract_effective_date) &lt; trunc(sysdate)
              THEN Decode(
                  (SELECT 'INCOMPLETE' FROM okc_deliverables WHERE business_document_id=orc.contract_id AND deliverable_status&lt;&gt;'COMPLETED'
                    AND ROWNUM &lt;2),
                  'INCOMPLETE', (Trunc(SYSDATE) - Trunc(contract_effective_date)),
                  --NULL )
                  (SELECT Max(Trunc(completion_date)) FROM okc_deliverables WHERE orc.contract_id = business_document_id AND deliverable_status='COMPLETED'
                    --AND (business_document_version(+) = Decode(t1.contract_status_code,'APPROVED',t1.contract_version_num,-99))
                    ) - Trunc(orc.contract_effective_date))
            ELSE null
          end elapsed_duration,
          (SELECT
                LISTAGG(replace(wfn.TO_USER,',',''),'|') WITHIN GROUP  (ORDER BY orc.contract_id) AS approval_pending_with
                  FROM
                  wf_notifications wfn,
                  wf_item_activity_statuses wfa
                WHERE
                          wfn.notification_id = wfa.notification_id
                         AND wfa.item_type         = 'OKCREPMA'
                         AND SUBSTR(wfa.item_key, 0, INSTR(wfa.item_key, '_')-1) =  orc.WF_ITEM_KEY
                         AND wfn.status            = 'OPEN'
                  GROUP BY orc.contract_id) current_approvers,
          ord.deliverable_id milestone,
          ord.deliverable_type,
          ord.deliverable_name milestone_name,
          ord.description milestone_description,
          ord.fixed_due_date_yn,
          ord.actual_due_date due_date,
          ord.internal_party_contact_id,
          (select buyer_contact.full_name
            from   per_all_people_f buyer_contact
            where  buyer_contact.person_id = ord.internal_party_contact_id
            and  buyer_contact.effective_start_date &lt;= sysdate
            and (buyer_contact.effective_end_date is null or buyer_contact.effective_end_date&gt; sysdate)
          ) milestone_owner,
          ord.schedule_type,
          ord.fixed_start_date,
          ord.fixed_end_date,
          ord.internal_party_id,
          ord.deliverable_status milestone_status_code,
          CASE
            WHEN orc.contract_status_code='REJECTED' THEN lkup1.meaning
            WHEN ord.DELIVERABLE_STATUS='INACTIVE' THEN fnd_message.get_string('PO','PO_ECC_ACQUISITION_DRAFT')
            WHEN ord.DELIVERABLE_STATUS='COMPLETED' THEN PO_PON_ECC_UTIL_PVT.get_lookup_meaning(ord.deliverable_status,'OKC_DELIVERABLE_STATUS',0,lkup1.language)
            WHEN ord.DELIVERABLE_STATUS='FAILED_TO_PERFORM' THEN  PO_PON_ECC_UTIL_PVT.get_lookup_meaning(ord.deliverable_status,'OKC_DELIVERABLE_STATUS',0,lkup1.language)
            WHEN trunc(ord.actual_due_date) &gt;= SYSDATE and trunc(ord.actual_due_date) &lt; Trunc(NEXT_DAY(sysdate, 'SUNDAY')) AND ord.deliverable_status='OPEN'
            THEN  fnd_message.get_string('PO','PO_ECC_ACQUISITION_DUE')
            WHEN trunc(ord.actual_due_date) &lt; SYSDATE AND ord.deliverable_status='OPEN' THEN
            fnd_message.get_string('PO','PO_ECC_ACQUISITION_OVERDUE')
            ELSE fnd_message.get_string('PO','PO_ECC_ACQUISITION_OPEN')
          END milestone_status_derived,
          PO_PON_ECC_UTIL_PVT.get_lookup_meaning(ord.deliverable_status,'OKC_DELIVERABLE_STATUS',0,lkup1.language) milestone_status,
          ord.business_document_version,
          ord.start_event_date,
          ord.end_event_date,
          ord.del_category_code,
          ord.external_party_id,
          ord.external_party_contact_id,
          ord.external_party_role,
          ord.comments milestone_comments,
          ord.completion_date,
          Trunc(ord.actual_due_date) - Trunc(orc.contract_effective_date) milestone_planned_duration,
          CASE
          WHEN ord.deliverable_status='COMPLETED' THEN Trunc(ord.completion_date) -Trunc(orc.contract_effective_date)
          WHEN trunc(orc.contract_effective_date) &gt; trunc(sysdate) THEN null
          WHEN Trunc(orc.contract_effective_date) &lt; Trunc(SYSDATE) AND ord.actual_due_date IS NOT null THEN
               Trunc(SYSDATE) - Trunc(orc.contract_effective_date)
          end milestone_elapsed_duration
          FROM OKC_REP_CONTRACTS_ALL orc,
          okc_deliverables ord,
          FND_LOOKUP_VALUES  lkup1,
          HR_ALL_ORGANIZATION_UNITS_tl ou,
          okc_bus_doc_types_tl docs
          WHERE
          CONTRACT_TYPE='REP_ACQ'
          AND orc.creatioN_date &gt;= nvl(fnd_date.Canonical_to_date(fnd_profile.Value('PO_CLM_DASHBOARD_CUT_OFF')),orc.creation_date)
          AND orc.contract_id = ord.business_document_id(+)
          AND lkup1.lookup_type = 'OKC_REP_CONTRACT_STATUSES'
          AND   lkup1.lookup_code = orc.contract_status_code
          AND lkup1.language in ('US')
          and ou.organization_id = orc.org_id
          and ou.language = lkup1.language
          and docs.document_type = orc.contract_type
          and docs.language = lkup1.language
          AND ord.business_document_version(+) = Decode(orc.contract_status_code,'APPROVED',orc.contract_version_num,-99)
          AND orc.creatioN_date &gt;= nvl(fnd_date.Canonical_to_date(fnd_profile.Value('PO_CLM_DASHBOARD_CUT_OFF')),orc.creation_date)
          AND (Greatest(orc.last_update_date,Nvl(ord.last_update_date,orc.last_update_date)) &gt; to_date(to_char(to_timestamp('27-APR-20'),'DD-MON-YY HH24.MI.SS'),'DD-MON-YY HH24.MI.SS')
               OR
               orc.contract_effective_date &lt;= sysdate )
          ) pivot(Max(status) AS status,
                                     Max(milestone_status) AS milestone_status,
                                     Max(operating_unit) AS operating_unit,
                                     Max(contract_type) AS contract_type,
                                     Max(milestone_status_derived) AS milestone_status_derived
                                     FOR doc_language IN ('US' "US")) </t>
  </si>
  <si>
    <t>po-clm-sol-protests</t>
  </si>
  <si>
    <t>Solicitation Protests</t>
  </si>
  <si>
    <t>SELECT * from (select pah.auction_header_id||'-'|| prt.protest_id ECC_SPEC_ID,
        pah.auction_header_id,
        pah.document_number SOLICITATION_NUMBER,
        po_pon_ecc_util_pvt.get_auction_status(pah.auction_header_id, hrou.language) document_status,
        pon_locale_pkg.get_party_display_name(pah.trading_partner_contact_id,12,hrou.language) buyer,
        prt.protest_id
      ,prt.protest_number
      ,prt.description protest_description
      ,prt.protest_category protest_category_code
      ,PO_PON_ECC_UTIL_PVT.get_lookup_meaning(prt.protest_category,'PO_PROTEST_CATEGORY',201,HROU.LANGUAGE) protest_category
      ,prt.protest_status protest_status_code
      ,PO_PON_ECC_UTIL_PVT.get_lookup_meaning(prt.protest_status,'PO_PROTEST_STATUS',201,HROU.LANGUAGE) protest_status
      ,DECODE(prt.protest_status, 'CLOSED', 'No', 'Yes') pending_solicitation_protests
      ,prt.document_id protest_document_id
      ,prt.document_type protest_document_type_code
      ,prt.created_by protest_created_by_id
      ,pon_locale_pkg.get_party_display_name(users.person_party_id) protest_created_by
      ,PO_PON_ECC_UTIL_PVT.get_lookup_meaning(prt.document_type,'DOCUMENT TYPE',201,HROU.LANGUAGE) protest_Document_Type
      ,prt.protest_case_number
      ,prt.filing_date protest_filing_date
      ,prt.resolution_date protest_resolution_date
      ,decode(nvl(prt.protestor_in_system,'N'),'Y',PO_PON_ECC_UTIL_PVT.get_fnd_message ('PO_YES', '201',hrou.language),PO_PON_ECC_UTIL_PVT.get_fnd_message ('PO_NO', '201',hrou.language)) protestor_in_system
       ,prt.supplier_id protest_supplier_id,
        prt.supplier_contact_name protest_Supplier_User,
        prt.supplier_name protest_Supplier_Organization,
        prt.supplier_contact_id protest_supp_contact_id,
        prt.address protest_address,
        prt.phone protest_telephone_number,
        prt.email protest_email,
        prt.fax protest_fax,
        prt.cage_code protest_CAGE_NCAGE_Code,
        prt.duns protest_duns_number,
        HROU.LANGUAGE LANGUAGE,
        pah.org_id,
     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    po_protests prt,
        fnd_user users,
        pon_auction_headers_all pah,
        HR_ALL_ORGANIZATION_UNITS_TL HROU
WHERE   prt.document_type = 'SOLICITATION'
        AND pah.auction_status NOT IN ('APPLIED','DELETED')
        AND users.user_id=    prt.created_by
        AND pah.auction_header_id= prt.document_id
        AND HROU.ORGANIZATION_ID = pah.ORG_ID
        and HROU.language in ( 'US')
         AND prt.last_update_date &gt; to_date(to_char(to_timestamp('27-APR-20'),'DD-MON-YY HH24.MI.SS'),'DD-MON-YY HH24.MI.SS')) PIVOT (max(protest_category) as protest_category,
                         max(protest_status) as protest_status,
                         max(protest_Document_Type) as protest_Document_Type,
                         max(buyer) as buyer,
                         max(document_status) as document_status,
                         max(protestor_in_system) as  protestor_in_system
                         FOR LANGUAGE in ('US' "US"))</t>
  </si>
  <si>
    <t>po-clm-protest</t>
  </si>
  <si>
    <t>CLM Protest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</si>
  <si>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3140036 )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</si>
  <si>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3140036 )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</si>
  <si>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3140036 )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</si>
  <si>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3140036 )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</si>
  <si>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3140036 ) PIVOT ( max(protest_document_type) as protest_document_type
                                             FOR language in ( 'US' "US"))</t>
  </si>
  <si>
    <t>po-clm-idv</t>
  </si>
  <si>
    <t>IDVs</t>
  </si>
  <si>
    <t xml:space="preserve">Failed as one of the load rules failed which is [id =  11,977,  PO_CLM_ECC_UTIL_PVT.GET_ECC_DATA_LOAD_INFO]. Please check the load rule audit entry for more details.. </t>
  </si>
  <si>
    <t xml:space="preserve">There is SQLException while applying load rule for dataset po-clm-idv for job 63,920.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</si>
  <si>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po-clm-sol-deliverables</t>
  </si>
  <si>
    <t>Solicitation Deliverables</t>
  </si>
  <si>
    <t xml:space="preserve"> select * from ( select pah.auction_header_id||'-'||deliverable.deliverable_id as ECC_SPEC_ID,
       deliverable.deliverable_id,
       pah.auction_header_id,
       pah.document_number solicitation_number,
       deliverable.business_document_id,
       deliverable.BUSINESS_DOCUMENT_NUMBER,
       deliverable.business_document_version,
       'Y' AS deliverables_record,
       deliverable.deliverable_name,
       deliverable.deliverable_status deliverable_status_code,
       PO_PON_ECC_UTIL_PVT.get_lookup_meaning(deliverable.deliverable_status,'OKC_DELIVERABLE_STATUS',0,deliverabletypes_tl.language) deliverable_status,
       deliverable.del_category_code,
       PO_PON_ECC_UTIL_PVT.get_lookup_meaning(deliverable.del_category_code,'OKC_DEL_CATEGORIES',0,deliverabletypes_tl.language) deliverable_category,
       deliverable.deliverable_type deliverable_type_code,
       deliverabletypes_tl.name deliverable_type,
       resp_party_tl.name responsible_party,
              (CASE deliverable.responsible_party WHEN 'INTERNAL_ORG' THEN
                org.name
               ELSE
                okc_deliverable_process_pvt.get_party_name(deliverable.external_party_id,deliverable.responsible_party)
               END) party_name,
               deliverable.description,
               (SELECT Name
              FROM   HR_ALL_ORGANIZATION_UNITS_TL  hrou
              WHERE  deliverable.internal_party_id = hrou.organization_id
                      and hrou.language = deliverabletypes_tl.language) Internal_Organization,
               (SELECT distinct buyer_contact.full_name
              FROM   per_all_people_f buyer_contact
              WHERE  buyer_contact.person_id = deliverable.internal_party_contact_id
               AND  buyer_contact.effective_start_date &lt;= SYSDATE
      AND (buyer_contact.effective_end_date is NULL OR buyer_contact.effective_end_date&gt; sysdate)
       )  Internal_Contact,
       (SELECT party_name
              FROM   hz_parties
              WHERE  party_id = deliverable.external_party_contact_id)  supplier_contact,
       (SELECT distinct requester_contact.full_name
              FROM   per_all_people_f requester_contact
              WHERE  deliverable.requester_id = requester_contact.person_id
              AND requester_contact.effective_start_date &lt;= SYSDATE
             AND (requester_contact.effective_end_date is NULL OR requester_contact.effective_end_date&gt; sysdate)
      ) requestor_name ,
      busdoc_tl.name Document_Type,
      deliverable.completion_date actual_date_of_completion,
      deliverable.actual_due_date due_date,
      deliverable.comments notes,
      deliverable.description deliverable_description,
   DECODE(deliverable.deliverable_status, 'OPEN', 'Yes', 'SUBMITTED', 'Yes', 'No') deliverable_due_flag,
   CASE
	 WHEN
	   deliverable.actual_due_date &lt; sysdate and deliverable.deliverable_status = 'OPEN'
	 THEN 'OA_MEDIA/warningind_status.gif'
   else
   null
   end deliverable_alert,
case
   when deliverable.completion_date is not null and deliverable.deliverable_status = 'COMPLETED' then
     case
       when deliverable.completion_date &lt;= deliverable.actual_due_date  then
        PO_PON_ECC_UTIL_PVT.get_fnd_message ('PO_YES', '201',deliverabletypes_tl.language)
       else
        PO_PON_ECC_UTIL_PVT.get_fnd_message ('PO_NO', '201',deliverabletypes_tl.language)
       end
     else
      null
     end as on_time_completion,
   deliverabletypes_tl.language language ,
   pah.org_id,
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  okc_deliverables deliverable,
  okc_deliverable_types_tl deliverabletypes_tl,
  hr_all_organization_units org,
  okc_resp_parties_tl resp_party_tl,
  okc_bus_doc_types_b busdoc,
  okc_bus_doc_types_tl busdoc_tl,
  pon_bid_headers pbh,
  pon_auction_headers_all pah
WHERE
  pah.auction_status NOT IN ('APPLIED','DELETED')
  AND pbh.auction_header_id=pah.auction_header_id
  AND deliverable.business_document_type='SOLICITATION_RESPONSE'
  AND deliverable.deliverable_status &lt;&gt; 'INACTIVE'
  AND deliverable.business_document_id=pbh.bid_number
  AND deliverable.deliverable_type = deliverabletypes_tl.deliverable_type_code
  AND deliverabletypes_tl.language = deliverabletypes_tl.language
  and deliverable.internal_party_id = org.organization_id (+)
  and deliverable.responsible_party = resp_party_tl.resp_party_code
  and busdoc.document_type_class = resp_party_tl.document_type_class
  and busdoc.intent = resp_party_tl.intent
  and resp_party_tl.language = deliverabletypes_tl.language
  and deliverable.business_document_type = busdoc.document_type
  and busdoc.intent = resp_party_tl.intent
  and busdoc.document_type = busdoc_tl.document_type
  AND busdoc_tl.language = deliverabletypes_tl.language
  and deliverabletypes_tl.language in ( 'US')
  AND (deliverable.last_update_date &gt; to_date(to_char(to_timestamp('27-APR-20'),'DD-MON-YY HH24.MI.SS'),'DD-MON-YY HH24.MI.SS')
                OR (trunc(deliverable.creation_date) &gt;= trunc(to_date(to_char(to_timestamp(nvl(fnd_date.Canonical_to_date(fnd_profile.Value('PO_CLM_DASHBOARD_CUT_OFF')),deliverable.creation_date)),'DD-MON-YY HH24.MI.SS'),'DD-MON-YY HH24.MI.SS'))
                     and deliverable.actual_due_date &lt; sysdate and deliverable.deliverable_status = 'OPEN'
                     and to_date(to_char(to_timestamp('27-APR-20'),'DD-MON-YY HH24.MI.SS'),'DD-MON-YY HH24.MI.SS')&lt;=deliverable.actual_due_date))) PIVOT (max(deliverable_status) as deliverable_status,
                         max(deliverable_category) as deliverable_category,
                         max(deliverable_type) as deliverable_type,
                         max(responsible_party) as responsible_party,
                         max(Document_Type) as Document_Type,
                         max(Internal_Organization) as Internal_Organization,
                         max(on_time_completion) as on_time_completion
                         for LANGUAGE in ('US' "US"))</t>
  </si>
  <si>
    <t>po-clm-sol-forms</t>
  </si>
  <si>
    <t>Solicitation Forms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</si>
  <si>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3140035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3140035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</si>
  <si>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3140034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3140034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</si>
  <si>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>po-clm-par</t>
  </si>
  <si>
    <t>Post Award Requests</t>
  </si>
  <si>
    <t xml:space="preserve">Failed as one of the load rules failed which is [id =  11,481,  PO_CLM_ECC_UTIL_PVT.GET_ECC_DATA_LOAD_INFO]. Please check the load rule audit entry for more details.. </t>
  </si>
  <si>
    <t xml:space="preserve">There is SQLException while applying load rule for dataset po-clm-par for job 63,920.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</si>
  <si>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po-item-asl</t>
  </si>
  <si>
    <t>Approved Supplier List</t>
  </si>
  <si>
    <t>SELECT * FROM (
  SELECT /*+ leading(apl) cardinality(apl 10) index(apl PO_APPROVED_SUPPLIER_LIST_EN1) */
						DISTINCT
							'ASL_LIST' RECORD_TYPE,
							pov.segment1 || ' - ' || msi.concatenated_segments || psa.vendor_site_code ECC_SPEC_ID,
							pov.segment1 || ' - ' || msi.concatenated_segments || psa.vendor_site_code RECORD_IDENTIFIER,
							pov.segment1  supplier_number,
							pov.vendor_name supplier_name,
							psa.vendor_site_code supplier_site,
							msi.concatenated_segments  item_number,
							msi.description item_description,
							cat.concatenated_segments category_item,
							plc.meaning business_type,
							pst.status asl_status,
							apl.primary_vendor_item supplier_item,
							mma.manufacturer_name manufacturer,
							ORG.ORGANIZATION_ID as ORG_ID,
							1 amount9,
              lang.language_code language
						from
							MTL_SYSTEM_ITEMS_B_KFV msi,
							MTL_CATEGORIES_B_KFV cat,
							po_approved_supplier_list apl,
							AP_SUPPLIERS pov,
							AP_SUPPLIER_SITES_ALL psa,
							mtl_manufacturers mma,
							FND_LOOKUP_VALUES plc,
							po_asl_statuses pst,
							hz_parties hp,
							HZ_PARTY_SITES HPS,
							hz_organization_profiles org_profile	,
							HZ_LOCATIONS HL,
							hz_geo_struct_map_dtl dtl,
							hz_geo_struct_map map,
							HR_ALL_ORGANIZATION_UNITS ORG,
              FND_LANGUAGES lang
						where
							pst.status_id = apl.asl_status_id
							and plc.lookup_type = 'ASL_VENDOR_BUSINESS_TYPE'
							and plc.lookup_code = apl.vendor_business_type
							and plc.VIEW_APPLICATION_ID = 201
              and lang.installed_flag in ('I', 'B')
							and nvl(plc.language, lang.language_code) = lang.language_code
							and SECURITY_GROUP_ID = fnd_global.lookup_security_group(plc.LOOKUP_TYPE,plc.VIEW_APPLICATION_ID)
							and mma.manufacturer_id (+) = apl.manufacturer_id
							and psa.vendor_site_id = apl.vendor_site_id
							and pov.vendor_id = apl.vendor_id
							and psa.org_id = org.organization_id(+)
							and cat.CATEGORY_ID (+) = apl.category_id
							and msi.inventory_item_id = apl.item_id
							and msi.INVENTORY_ITEM_ID(+)  = apl.ITEM_ID
							and msi.ORGANIZATION_ID(+) = apl.OWNING_ORGANIZATION_ID
							AND hp.party_id = pov.party_id
							AND HPS.PARTY_SITE_ID(+) = psa.PARTY_SITE_ID
							AND org_profile.party_id(+)           = pov.party_id
							AND org_profile.effective_end_date(+) IS NULL
							AND dtl.map_id(+)                         = map.map_id
							AND NVL(hl.address_style, 'XX')        = NVL(map.address_style, NVL(hl.address_style, 'XX'))
							AND NVL(map.loc_tbl_name, 'HZ_LOCATIONS')                   = 'HZ_LOCATIONS'
							AND map.country_code(+)                   = hl.country
							AND nvl(dtl.loc_seq_num, 2)                    = 2
							AND HL.LOCATION_ID(+) = HPS.LOCATION_ID
              AND apl.last_update_date &gt;= to_date(to_char(to_timestamp('27-APR-20'),'DD-MON-YY HH24.MI.SS'),'DD-MON-YY HH24.MI.SS') AND  LANG.LANGUAGE_CODE in ('US')
				) PIVOT (
				 MAX(BUSINESS_TYPE) AS BUSINESS_TYPE
				for LANGUAGE in ('US' "US")
				 )</t>
  </si>
  <si>
    <t>po-item-summary</t>
  </si>
  <si>
    <t>Item Summary</t>
  </si>
  <si>
    <t xml:space="preserve"> SELECT * FROM
									(
									select 'ITEM_SUMMARY' RECORD_TYPE,
									       ITEM_DESCRIPTION
									       || ' - '
										   || ITEM_ID ECC_SPEC_ID,
										   ITEM_DESCRIPTION
									       || ' - '
										   || ITEM_ID RECORD_IDENTIFIER,
									       ITEM_ID,
									       CATEGORY_ID,
									       ITEM_DESCRIPTION,
									       INVENTORY_ITEM_STATUS_CODE,
									       LIST_PRICE,
									       MARKET_PRICE,
									       INVENTORY_PLANNING_CODE,
									       UOM.unit_of_measure PRIMARY_UOM,
									       CATEGORY_ITEM,
									       ITEM_NUMBER,
									       CURRENCY_CODE,
									       ORG_ID,
											  (SELECT meaning
											  FROM fnd_lookup_values flv
											  WHERE flv.lookup_type = 'MTL_MATERIAL_PLANNING'
											  AND flv.lookup_code   = summary.inventory_planning_code
											  AND flv.LANGUAGE      = lang.language_code
											  ) inventory_planning_method,
									       PRIMARY_UOM_CODE,
                         LEAD_TIME,
									       UNIT_PRICE,
									       UNIT_PRICE_MIN,
									       UNIT_PRICE_AVG,
									       TOTAL_SPEND,
									       OFF_CONTRACT_SPEND,
													CONTRACT_SPEND,
									       QUANTITY_AVAILABLE,
									       QUANTITY_OVERDUE,
									       RECEIPT_PENDING,
									       REQS_IN_POOL_QTY,
									       OPEN_PO,
									       OPEN_REQ,
									       ACTIVE_AGR,
									       ACTIVE_NEG,
									       LANG.LANGUAGE_CODE LANGUAGE
									 FROM
									 (select
									   item_id,
									   category_id,
									   item_description,
									  inventory_item_status_code,
									  MIN(list_price) LIST_PRICE,
									  MIN(market_price) MARKET_PRICE,
									  inventory_planning_code ,
									  primary_uom_code,
                    AVG(LEAD_TIME) LEAD_TIME,
									       max(CATEGORY_ITEM) CATEGORY_ITEM,
									       max(ITEM_NUMBER) ITEM_NUMBER,
									       max(CURRENCY_CODE) CURRENCY_CODE,
									       max(ORG_ID) ORG_ID,
									    max(unit_price) UNIT_PRICE,
									   min(unit_price) UNIT_PRICE_MIN,
									   avg(unit_price) UNIT_PRICE_AVG,
									   sum(total_spend) TOTAL_SPEND,
									   sum(off_contract_spend) OFF_CONTRACT_SPEND,
									  sum(contract_spend) CONTRACT_SPEND,
									  max(quantity_available) QUANTITY_AVAILABLE,
									  sum(quantity_overdue) QUANTITY_OVERDUE,
									  sum(receipt_pending) RECEIPT_PENDING,
									  sum(reqs_in_pool_qty) REQS_IN_POOL_QTY,
									  count(distinct open_po) open_po,
									  count(distinct open_req) open_req,
									  count(distinct active_agr) active_agr,
									  count(distinct active_neg) active_neg
									from
									(SELECT
									  pol.item_id,
									  pol.category_id,
									  pol.item_description,
									  cat.concatenated_segments category_item,
									  item_kfv.concatenated_segments item_number,
									  gsb.currency_code,
									  fsp.ORG_ID,
									  itm.inventory_item_status_code,
									  itm.list_price_per_unit list_price,
									  itm.market_price,
									  itm.inventory_planning_code,
									  itm.primary_uom_code,
									  NVL(pll.quantity_cancelled, 0) quantity_cancelled,
									  NVL(pll.quantity_rejected, 0) quantity_rejected,
									  NVL(pll.quantity_received, 0) quantity_received,
									  DECODE(pll.lead_time_unit, 'Week', ( NVL(pll.lead_time, apav.lead_time) * 7 ), ( NVL(pll.lead_time, apav.lead_time) )) lead_time,
									  DECODE(NVL(pll.closed_code, 'OPEN'), 'OPEN', (nvl(pll.quantity,0)-nvl(pll.quantity_cancelled,0)-nvl(pll.quantity_received,0)), 0) receipt_pending,
									  decode(nvl(pll.closed_code, 'OPEN'), 'OPEN', 'PO:'||poh.po_header_id, null) open_po,
									  null open_req,
									  null active_agr,
									  null active_neg,
									  (CASE
										 WHEN (poh.currency_code is null or gsb.currency_code = poh.currency_code)
										  THEN
											NVL(pol.unit_price, 0)
										  ELSE
											(GL_CURRENCY_API.convert_closest_amount_sql(
																		poh.currency_code,
																		gsb.currency_code,
																		poh.rate_date,
																		poh.rate_type,
																		poh.rate,
																		NVL(pol.unit_price, 0), 0
																		))
										END ) unit_price,
									  NVL(pll.quantity, 0) quantity,
										(CASE
										 WHEN (poh.currency_code is null or gsb.currency_code = poh.currency_code)
										  THEN
                       decode(pll.matching_basis,'QUANTITY', (nvl(pol.unit_price,1)* (nvl(pll.quantity,0)-nvl(pll.quantity_cancelled,0))),
											( NVL(pll.amount,0) - NVL(pll.amount_cancelled, 0) ))
										  ELSE
											(GL_CURRENCY_API.convert_closest_amount_sql(
																		poh.currency_code,
																		gsb.currency_code,
																		poh.rate_date,
																		poh.rate_type,
																		poh.rate,
																		decode(pll.matching_basis,'QUANTITY', (nvl(pol.unit_price,1)* (nvl(pll.quantity,0)-nvl(pll.quantity_cancelled,0))),
											                ( NVL(pll.amount,0) - NVL(pll.amount_cancelled, 0) ))
                                    , 0
																		))
										END ) total_spend,
									  DECODE(poh.type_lookup_code, 'STANDARD', DECODE( NVL(agh.type_lookup_code, 'STANDARD'), 'BLANKET', 0,'CONTRACT', 0,
									  (CASE
										 WHEN (poh.currency_code is null or gsb.currency_code = poh.currency_code)
										  THEN
											decode(pll.matching_basis,'QUANTITY', (nvl(pol.unit_price,1)* (nvl(pll.quantity,0)-nvl(pll.quantity_cancelled,0))),
											( NVL(pll.amount,0) - NVL(pll.amount_cancelled, 0) ))
										  ELSE
											(GL_CURRENCY_API.convert_closest_amount_sql(
																		poh.currency_code,
																		gsb.currency_code,
																		poh.rate_date,
																		poh.rate_type,
																		poh.rate,
																		decode(pll.matching_basis,'QUANTITY', (nvl(pol.unit_price,1)* (nvl(pll.quantity,0)-nvl(pll.quantity_cancelled,0))),
											               ( NVL(pll.amount,0) - NVL(pll.amount_cancelled, 0) ))
                                       , 0
																		))
										END )
									  )) off_contract_spend,
									  DECODE(NVL(agh.type_lookup_code, 'STANDARD'), 'BLANKET',
									  (CASE
										 WHEN (poh.currency_code is null or gsb.currency_code = poh.currency_code)
										  THEN
											decode(pll.matching_basis,'QUANTITY', (nvl(pol.unit_price,1)* (nvl(pll.quantity,0)-nvl(pll.quantity_cancelled,0))),
											( NVL(pll.amount,0) - NVL(pll.amount_cancelled, 0) ))
										  ELSE
											(GL_CURRENCY_API.convert_closest_amount_sql(
																		poh.currency_code,
																		gsb.currency_code,
																		poh.rate_date,
																		poh.rate_type,
																		poh.rate,
																		decode(pll.matching_basis,'QUANTITY', (nvl(pol.unit_price,1)* (nvl(pll.quantity,0)-nvl(pll.quantity_cancelled,0))),
											             ( NVL(pll.amount,0) - NVL(pll.amount_cancelled, 0) ))
                                    , 0
																		))
										END )
									  , 'CONTRACT',
									  (CASE
										 WHEN (poh.currency_code is null or gsb.currency_code = poh.currency_code)
										  THEN
											decode(pll.matching_basis,'QUANTITY', (nvl(pol.unit_price,1)* (nvl(pll.quantity,0)-nvl(pll.quantity_cancelled,0))),
											( NVL(pll.amount,0) - NVL(pll.amount_cancelled, 0) ))
										  ELSE
											(GL_CURRENCY_API.convert_closest_amount_sql(
																		poh.currency_code,
																		gsb.currency_code,
																		poh.rate_date,
																		poh.rate_type,
																		poh.rate,
																		decode(pll.matching_basis,'QUANTITY', (nvl(pol.unit_price,1)* (nvl(pll.quantity,0)-nvl(pll.quantity_cancelled,0))),
											( NVL(pll.amount,0) - NVL(pll.amount_cancelled, 0) ))
                        , 0
																		))
										END )
									  , 0) contract_spend,
									  NVL(pll.quantity_accepted, 0) quantity_accepted,
									  NVL(pll.quantity_billed, 0) quantity_billed,
									  (
									  CASE
									    WHEN ( pll.need_by_date IS NOT NULL
									    AND pll.need_by_date     &lt; SYSDATE )
									    THEN NVL(pod.quantity_ordered, 0) - NVL(pll.quantity_received, 0)
									    ELSE NULL
									  END ) quantity_overdue,
									  'PO' type_line,
									  pod.po_distribution_id,
									  pll.line_location_id,
									  poh.po_header_id,
									  pol.po_line_id,
									  prj.project_id,
									  (select sum(primary_transaction_quantity)
									   from mtl_onhand_quantities_detail detail
									   where detail.inventory_item_id = pol.item_id
									   and detail.organization_id = fsp.inventory_organization_id) quantity_available,
									 0 reqs_in_pool_qty
									FROM po_line_locations_all pll,
									  po_lines_all pol,
									  po_headers_all poh,
									  po_attribute_values apav,
									  mtl_system_items_kfv item_kfv,
									  mtl_categories_kfv cat,
									  po_headers_all agh,
									  po_distributions_all pod,
									  mtl_system_items_b itm,
									  pa_projects_all prj,
									  financials_system_params_all fsp,
									  gl_sets_of_books gsb
									WHERE pol.matching_basis                         IN ('QUANTITY','AMOUNT')
									AND pol.po_header_id                              = poh.po_header_id
									AND pll.po_line_id                                = pol.po_line_id
									AND pll.po_header_id                              = poh.po_header_id
									AND apav.po_line_id(+)                            = pol.po_line_id
									AND fsp.ORG_ID                 = poh.org_id
									AND gsb.set_of_books_id        = fsp.set_of_books_id
									AND pol.item_id                                   = itm.inventory_item_id (+)
									AND fsp.inventory_organization_id                 = nvl(itm.organization_id, fsp.inventory_organization_id)
									AND itm.inventory_item_id = item_kfv.inventory_item_id (+)
									AND itm.organization_id = item_kfv.organization_id (+)
									AND pol.category_id                               = cat.category_id(+)
									AND agh.po_header_id(+)                           = NVL(pol.from_header_id,pol.contract_id)
									AND agh.type_lookup_code (+)                     IN ('BLANKET','CONTRACT')
									AND agh.global_agreement_flag(+)                  = 'Y'
									AND pod.line_location_id                          = pll.line_location_id
									AND pod.po_header_id                              = poh.po_header_id
									AND poh.type_lookup_code                          = 'STANDARD'
									AND pod.project_id                                = prj.project_id (+)
									AND poh.authorization_status                     != 'INCOMPLETE'
									AND poh.creation_date                            &gt;= fnd_date.Canonical_to_date( fnd_profile.Value('PO_PSC_ITEM_SUPP_LOAD_CUT_OFF'))
									AND pol.item_description in (
											select pol1.item_description
											from po_lines_all pol1,
													 po_headers_all poh1,
													 po_session_gt ps
											where poh1.po_header_id = pol1.po_header_id
												and ps.index_char1 = 'END_ITM_SUM_INC_PO'
											  AND ps.num1 = poh1.po_header_id
											UNION
											select prl1.item_description
											from po_requisition_lines_all prl1,
												 po_requisition_headers_all prh1,
												 po_session_gt ps
											where prl1.requisition_header_id = prh1.requisition_header_id
											  AND ps.index_char1 = 'END_ITM_SUM_INC_REQ'
											  AND ps.num1 = prh1.requisition_header_id
											UNION
											select itm1.item_description
											from pon_auction_item_prices_all itm1,
												 pon_auction_headers_all pah1,
												 po_session_gt ps
											where itm1.auction_header_id = pah1.auction_header_id
											 AND ps.index_char1 = 'END_ITM_SUM_INC_NEG'
											 AND ps.num1 = pah1.auction_header_id
											)
									UNION ALL
									SELECT   prl.item_id,
									  prl.category_id,
									  prl.item_description,
									  cat.concatenated_segments category_item,
									  item_kfv.concatenated_segments item_number,
									  gsb.currency_code,
									  fsp.ORG_ID,
									  itm.inventory_item_status_code,
									  itm.list_price_per_unit list_price,
									  itm.market_price,
									  itm.inventory_planning_code,
									  itm.primary_uom_code,
									  NVL(prl.quantity_cancelled, 0) quantity_cancelled,
									  0 quantity_rejected,
									  NVL(prl.quantity_received, 0) quantity_received,
									  NULL lead_time,
									  0 receipt_pending,
									  null open_po,
									  DECODE(NVL(prl.closed_code, DECODE(prl.reqs_in_pool_flag,'Y','OPEN','CLOSED')), 'OPEN', 'REQ:'||prh.requisition_header_id, null) open_req,
									  null active_agr,
									  null active_neg,
									  NVL(prl.unit_price, 0) unit_price,
									  NVL(prl.quantity, 0) quantity,
                    DECODE(prl.order_type_lookup_code, 'FIXED PRICE', prl.amount, 'RATE', prl.amount,
                    decode(prl.cancel_flag, 'Y', 0, decode(prl.matching_basis, 'AMOUNT', PRL.AMOUNT, PRL.UNIT_PRICE * (PRL.QUANTITY - NVL(PRL.QUANTITY_CANCELLED, 0))))) total_spend,
									  0 off_contract_spend,
									  0 contract_spend,
									  0 quantity_accepted,
									  0 quantity_billed,
									  0 quantity_overdue,
									  'REQ' type_line,
									  prd.distribution_id,
									  NULL,
									  prl.requisition_line_id,
									  prh.requisition_header_id,
									  prj.project_id   ,
									  (select sum(primary_transaction_quantity)
									   from mtl_onhand_quantities_detail detail
									   where detail.inventory_item_id = prl.item_id
									   and detail.organization_id = fsp.inventory_organization_id) quantity_available,
									 decode(prl.reqs_in_pool_flag, 'Y',(nvl(prl.quantity,0)-nvl(prl.quantity_delivered,0)) ,0) reqs_in_pool_qty
									FROM po_req_distributions_all prd,
									  po_requisition_lines_all prl,
									  po_requisition_headers_all prh,
									  mtl_system_items_kfv item_kfv,
									  mtl_categories_kfv cat,
									  mtl_system_items_b itm,
									  pa_projects_all prj,
									  gl_sets_of_books gsb,
									  financials_system_params_all fsp
									WHERE prd.requisition_line_id = prl.requisition_line_id
									AND prl.requisition_header_id = prh.requisition_header_id
									AND fsp.org_id = prh.org_id
									AND prl.item_id                                   = itm.inventory_item_id (+)
									AND fsp.inventory_organization_id                 = nvl(itm.organization_id, fsp.inventory_organization_id)
									AND itm.inventory_item_id = item_kfv.inventory_item_id (+)
									AND itm.organization_id = item_kfv.organization_id (+)
									AND prl.category_id                               = cat.category_id(+)
									AND prl.matching_basis       IN ('QUANTITY','AMOUNT')
									AND prd.project_id             = prj.project_id (+)
									AND gsb.set_of_books_id        = prd.set_of_books_id
                                    AND prh.creation_date         &gt;= fnd_date.Canonical_to_date( fnd_profile.Value('PO_PSC_ITEM_SUPP_LOAD_CUT_OFF'))
									AND prl.item_description in (
											select pol1.item_description
											from po_lines_all pol1,
													 po_headers_all poh1,
													 po_session_gt ps
											where poh1.po_header_id = pol1.po_header_id
												and ps.index_char1 = 'END_ITM_SUM_INC_PO'
											  AND ps.num1 = poh1.po_header_id
											UNION
											select prl1.item_description
											from po_requisition_lines_all prl1,
												 po_requisition_headers_all prh1,
												 po_session_gt ps
											where prl1.requisition_header_id = prh1.requisition_header_id
											  AND ps.index_char1 = 'END_ITM_SUM_INC_REQ'
											  AND ps.num1 = prh1.requisition_header_id
											UNION
											select itm1.item_description
											from pon_auction_item_prices_all itm1,
												 pon_auction_headers_all pah1,
												 po_session_gt ps
											where itm1.auction_header_id = pah1.auction_header_id
											 AND ps.index_char1 = 'END_ITM_SUM_INC_NEG'
											 AND ps.num1 = pah1.auction_header_id
											)
									UNION ALL
									SELECT
									  pol.item_id,
									  pol.category_id,
									  pol.item_description,
									  cat.concatenated_segments category_item,
									  item_kfv.concatenated_segments item_number,
									  gsb.currency_code,
									  fsp.ORG_ID,
									  itm.inventory_item_status_code,
									  itm.list_price_per_unit list_price,
									  itm.market_price,
									  itm.inventory_planning_code,
									  itm.primary_uom_code,
									  0 quantity_cancelled,
									  0 quantity_rejected,
									  pol.quantity_committed quantity_received,
									  apav.lead_time lead_time,
									 0 receipt_pending,
									  null open_po,
									  null open_req,
									  decode(nvl(pol.closed_code, 'OPEN'), 'OPEN', 'AGR:'||poh.po_header_id, null) active_agr,
									  null active_neg,
										(CASE
										 WHEN (poh.currency_code is null or gsb.currency_code = poh.currency_code)
										  THEN
											pol.unit_price
										  ELSE
											(GL_CURRENCY_API.convert_closest_amount_sql(
																		poh.currency_code,
																		gsb.currency_code,
																		poh.rate_date,
																		poh.rate_type, poh.rate,
																		pol.unit_price,0))
										END )   unit_price,
									  pol.quantity,
									  	(CASE
										 WHEN (poh.currency_code is null or gsb.currency_code = poh.currency_code)
										  THEN
											DECODE(NVL(pol.quantity, 0), 0, NVL(pol.unit_price,pol.amount), ( NVL(pol.quantity, 1) * pol.unit_price ))
										  ELSE
											(GL_CURRENCY_API.convert_closest_amount_sql(
																		poh.currency_code,
																		gsb.currency_code,
																		poh.rate_date,
																		poh.rate_type, poh.rate,
																		DECODE(NVL(pol.quantity, 0), 0, NVL(pol.unit_price,pol.amount), ( NVL(pol.quantity, 1) * pol.unit_price )), 0
																		))
										END ) total_spend,
									  0 off_contract_spend,
									  	(CASE
										 WHEN (poh.currency_code is null or gsb.currency_code = poh.currency_code)
										  THEN
											DECODE(NVL(pol.quantity, 0), 0, pol.unit_price, ( NVL(pol.quantity, 1) * pol.unit_price ))
										  ELSE
											(GL_CURRENCY_API.convert_closest_amount_sql(
																		poh.currency_code,
																		gsb.currency_code,
																		poh.rate_date,
																		poh.rate_type, poh.rate,
																		DECODE(NVL(pol.quantity, 0), 0, pol.unit_price, ( NVL(pol.quantity, 1) * pol.unit_price )), 0
																		))
										END )   contract_spend,
									  0 quantity_accepted,
									  0 quantity_billed ,
									  0 quantity_overdue,
									  'AGR' type_line,
									  NULL po_distribution_id,
									  NULL line_location_id,
									  poh.po_header_id,
									  pol.po_line_id,
									  ppa.project_id,
									  (select sum(primary_transaction_quantity)
									   from mtl_onhand_quantities_detail detail
									   where detail.inventory_item_id = pol.item_id
									   and detail.organization_id = fsp.inventory_organization_id) quantity_available,
									 0 reqs_in_pool_qty
									FROM po_lines_all pol,
									  po_headers_all poh,
									  pa_projects_all ppa,
									  po_attribute_values apav,
									  mtl_system_items_kfv item_kfv,
									  mtl_categories_kfv cat,
									  financials_system_params_all fsp,
									  mtl_system_items_b itm,
									  gl_sets_of_books gsb
									WHERE pol.matching_basis      IN ('QUANTITY','AMOUNT')
									AND pol.po_header_id(+)        = poh.po_header_id
									AND poh.type_lookup_code      IN ('BLANKET','CONTRACT')
									AND poh.global_agreement_flag  = 'Y'
									AND fsp.ORG_ID                 = poh.org_id
									AND apav.po_line_id(+)                            = pol.po_line_id
									AND gsb.set_of_books_id        = fsp.set_of_books_id
									AND pol.item_id                                   = itm.inventory_item_id (+)
									AND fsp.inventory_organization_id                 = nvl(itm.organization_id, fsp.inventory_organization_id)
									AND itm.inventory_item_id = item_kfv.inventory_item_id (+)
									AND itm.organization_id = item_kfv.organization_id (+)
									AND pol.category_id = cat.category_id(+)
									AND pol.project_id             = ppa.project_id(+)
									AND poh.authorization_status  != 'INCOMPLETE'
                                    AND poh.creation_date         &gt;= fnd_date.Canonical_to_date( fnd_profile.Value('PO_PSC_ITEM_SUPP_LOAD_CUT_OFF'))
								    AND pol.item_description in (
											select pol1.item_description
											from po_lines_all pol1,
													 po_headers_all poh1,
													 po_session_gt ps
											where poh1.po_header_id = pol1.po_header_id
												and ps.index_char1 = 'END_ITM_SUM_INC_PO'
											  AND ps.num1 = poh1.po_header_id
											UNION
											select prl1.item_description
											from po_requisition_lines_all prl1,
												 po_requisition_headers_all prh1,
												 po_session_gt ps
											where prl1.requisition_header_id = prh1.requisition_header_id
											  AND ps.index_char1 = 'END_ITM_SUM_INC_REQ'
											  AND ps.num1 = prh1.requisition_header_id
											UNION
											select itm1.item_description
											from pon_auction_item_prices_all itm1,
												 pon_auction_headers_all pah1,
												 po_session_gt ps
											where itm1.auction_header_id = pah1.auction_header_id
											 AND ps.index_char1 = 'END_ITM_SUM_INC_NEG'
											 AND ps.num1 = pah1.auction_header_id
											)
									UNION ALL
									SELECT
									  itm.item_id,
									  itm.category_id,
									  itm.item_description,
									  itm.category_name category_item,
									  item_kfv.concatenated_segments item_number,
									  gsb.currency_code,
									  fsp.ORG_ID,
									  itmB.inventory_item_status_code,
									  itmB.list_price_per_unit list_price,
									  itmB.market_price,
									  itmB.inventory_planning_code,
									  itmB.primary_uom_code,
									  0 quantity_cancelled,
									  0 quantity_rejected,
									  0 quantity_received,
									  NULL lead_time,
									  0 receipt_pending,
									  null open_po,
									  null open_req,
									  null active_agr,
									  DECODE(NVL(ah.auction_status, 'ACTIVE'), 'ACTIVE', 'NEG:'||ah.auction_header_id, 'COMMIT_ACTIVE','NEG:'||ah.auction_header_id , NULL) active_neg,
									  	(CASE
										  WHEN (pbi.unit_price IS NULL)
											THEN NULL
										  WHEN (ah.currency_code IS NULL OR  gsb.currency_code = ah.currency_code)
										   THEN
											 pbi.unit_price
										   ELSE
											 (GL_CURRENCY_API.convert_closest_amount_sql(
																			ah.currency_code,
																			gsb.currency_code,
																			ah.rate_date,
																			ah.rate_type, ah.rate,
																			pbi.unit_price, 0))
										  END) unit_price,
									  itm.quantity,
									  	(CASE
										  WHEN (pbi.unit_price IS NULL OR pbi.quantity IS NULL)
											THEN 0
										  WHEN (ah.currency_code IS NULL OR  gsb.currency_code = ah.currency_code)
										   THEN
											 (pbi.unit_price*pbi.quantity)
										   ELSE
											 (GL_CURRENCY_API.convert_closest_amount_sql(
																			ah.currency_code,
																			gsb.currency_code,
																			ah.rate_date,
																			ah.rate_type, ah.rate,
																			(pbi.unit_price*pbi.quantity), 0))
										  END) total_spend,
									  0 off_contract_spend,
									  0 contract_spend,
									  0 quantity_accepted,
									  0 quantity_billed,
									  0 quantity_overdue,
									  'NEG' type_line,
									  NULL po_distribution_id,
									  NULL line_location_id,
									  ah.auction_header_id po_header_id,
									  NULL po_line_id,
									  proj.project_id,
									  (select sum(primary_transaction_quantity)
									   from mtl_onhand_quantities_detail detail
									   where detail.inventory_item_id = itm.item_id
									   and detail.organization_id = fsp.inventory_organization_id) quantity_available,
									 0 reqs_in_pool_qty
									FROM pon_auction_item_prices_all itm,
									  pon_auction_headers_all ah,
									  pon_bid_item_prices pbi,
									  pa_projects_all proj,
									  mtl_system_items_kfv item_kfv,
									financials_system_params_all fsp,
									  mtl_system_items_b itmB,
									  gl_sets_of_books gsb
									WHERE  itm.order_type_lookup_code IN ('QUANTITY','AMOUNT')
									AND ah.auction_status NOT      IN ( 'DRAFT', 'DELETED', 'CANCELLED' )
									AND pbi.award_status (+)       &lt;&gt; 'REJECTED'
									AND pbi.line_number (+)         = itm.line_number
									AND pbi.auction_header_id (+)   = itm.auction_header_id
									AND itm.auction_header_id       = ah.auction_header_id
									AND fsp.org_id                  = ah.org_id
									AND gsb.set_of_books_id         = fsp.set_of_books_id
									AND itm.item_id                                   = itmB.inventory_item_id (+)
									AND fsp.inventory_organization_id                 = nvl(itmB.organization_id, fsp.inventory_organization_id)
									AND itmB.inventory_item_id = item_kfv.inventory_item_id (+)
									AND itmB.organization_id = item_kfv.organization_id (+)
									AND itm.project_id              = proj.project_id(+)
								    AND ah.creation_date           &gt;= fnd_date.Canonical_to_date( fnd_profile.Value('PO_PSC_ITEM_SUPP_LOAD_CUT_OFF' ))
								    AND itm.item_description in (
											select pol1.item_description
											from po_lines_all pol1,
													 po_headers_all poh1,
													 po_session_gt ps
											where poh1.po_header_id = pol1.po_header_id
												and ps.index_char1 = 'END_ITM_SUM_INC_PO'
											  AND ps.num1 = poh1.po_header_id
											UNION
											select prl1.item_description
											from po_requisition_lines_all prl1,
												 po_requisition_headers_all prh1,
												 po_session_gt ps
											where prl1.requisition_header_id = prh1.requisition_header_id
											  AND ps.index_char1 = 'END_ITM_SUM_INC_REQ'
											  AND ps.num1 = prh1.requisition_header_id
											UNION
											select itm1.item_description
											from pon_auction_item_prices_all itm1,
												 pon_auction_headers_all pah1,
												 po_session_gt ps
											where itm1.auction_header_id = pah1.auction_header_id
											 AND ps.index_char1 = 'END_ITM_SUM_INC_NEG'
											 AND ps.num1 = pah1.auction_header_id
											)
									)
									group by    item_id,
									   category_id,
									   item_description
									  ,inventory_item_status_code
									  ,inventory_planning_code
									  ,primary_uom_code
									) summary,
									mtl_units_of_measure_tl uom,
									fnd_languages lang
									WHERE  lang.installed_flag in ('I', 'B')
									AND summary.primary_uom_code = uom.uom_code(+)
									AND nvl(uom.language, lang.language_code) = lang.language_code
									and  LANG.LANGUAGE_CODE in ('US')
									 ) PIVOT (
									   MAX(INVENTORY_PLANNING_METHOD) AS INVENTORY_PLANNING_METHOD ,
									   MAX(PRIMARY_UOM) AS PRIMARY_UOM
									  for LANGUAGE in ('US' "US")
									   )
									</t>
  </si>
  <si>
    <t>po-proc-item</t>
  </si>
  <si>
    <t>Item Analysis</t>
  </si>
  <si>
    <t>SELECT
									 RECORD_TYPE,
									 ECC_SPEC_ID,
									 RECORD_IDENTIFIER,
									 ORG_ID,
									 OU_NAME,
									 DELIVER_TO_LOCATION,
									 ADDRESS,
									 ADDRESS_LINE_1,
									 ADDRESS_LINE_2,
									 ADDRESS_LINE_3,
									 COUNTRY,
									 TOWN_OR_CITY,
									 STATE,
									 ITEM_ID,
									 CATEGORY_ID,
									 ITEM_DESCRIPTION,
									 ITEM_NUMBER,
									 PRIMARY_UOM_CODE,
									 PRIMARY_UNIT_OF_MEASURE,
									 CATEGORY_ITEM,
									 UOM,
									 DATE_YEAR,
									 DATE_TRX,
									 DATE_QUARTER,
									 PROMISED_DATE,
									 QUANTITY_CANCELLED,
									 QUANTITY_REJECTED,
									 QUANTITY_RECEIVED,
									 UNIT_PRICE,
									 QUANTITY,
									 LEAD_TIME,
									 LEAD_TIME_UNIT,
									 TOTAL_SPEND,
									 TYPE_REQ,
									 DOC_TYPE,
									 TYPE_AGR,
									 OFF_CONTRACT_SPEND,
									 PO_TYPE_LOOKUP_CODE,
									 CONTRACT_SPEND,
									 QUANTITY_ACCEPTED,
									 QUANTITY_BILLED,
									 QUANTITY_OVERDUE,
									 PRICE_OVERRIDE,
									 ORDER_NUMBER,
									 AGREEMENT_NUMBER,
									 REQUISITION_NUMBER,
									 PROJECT_NUMBER,
									 PROJECT_NAME,
									 TASK_NUMBER,
									 TASK_NAME,
									 TASK_SCH_START_DATE,
									 TASK_SCH_END_DATE,
									 SUPPLIER_NAME,
									 SUPPLIER_NUMBER,
									 CURRENCY_CODE,
									 PO_STATUS,
									 NULL ORDER_STATUS_CODE,
									 REQUISITION_STATUS,
									 AGREEMENT_STATUS,
									 ORGANIZATION_ID,
									 ORGANIZATION_NAME,
									 ORGANIZATION_CODE,
									 TYPE_LINE,
									 SUPPLIER_TYPE,
									 SUPPLIER_SITE,
									 AUTHORIZATION_STATUS,
									 ORDER_DATE,
									 BUYER_NAME,
									 PROJECT_STATUS,
									 PROJECT_MANAGER_NAME,
									 INVENTORY_ITEM_STATUS_CODE,
									 LIST_PRICE,
									 MARKET_PRICE,
									 INVENTORY_PLANNING_METHOD,
									 ITEM_LONG_DESCRIPTION,
									 PO_LINE_STATUS,
									 CREATION_DATE,
									 SUGGESTED_BUYER_NAME,
									 QUANTITY_DELIVERED,
									 REQUESTOR_NAME,
									 AMOUNT_AGREED,
									 AMOUNT_RELEASED,
									 RFQ_NUMBER,
									 NEGOTIATION_STATUS,
									 NEGOTIATION_TITLE,
									 START_DATE,
									 END_DATE,
									 PREVIEW_DATE,
									 PUBLISH_DATE,
									 AWARD_DATE,
									 AWARD_AMOUNT,
									 PO_DISTRIBUTION_ID,
									 LINE_LOCATION_ID,
									 PO_HEADER_ID,
									 PO_LINE_ID,
									 DISTRIBUTION_ID,
									 REQUISITION_LINE_ID,
									 REQUISITION_HEADER_ID,
									 AMOUNT1,
									 AMOUNT2,
									 AMOUNT3,
									 AMOUNT4,
									 AMOUNT5,
									 AMOUNT6,
									 AMOUNT7,
									 AMOUNT8,
									 AMOUNT9,
									 PROJECT_ID,
									 CLOSED_DATE,
									 BUSINESS_TYPE,
									 ASL_STATUS,
									 MANUFACTURER,
									 SUPPLIER_ITEM,
									 ONE_TIME_FLAG,
									 QUALITY_RATING,
									 PRICE_COMPLIANCE,
									 SHIPMENT_ONTIME_FLAG,
									 PO_LINE_ATTACHMENT_TEXT,
									 END_DATE_MONTH,
									 END_DATE_YEAR,
									 NULL PA_COST_CODE,
                   QUANTITY_RECEIVED QUANTITY_COMMITED,
                   END_DATE NEED_BY_DATE
									FROM PO_ECC_ITEMS_PROCUREMENT_INC_V
									</t>
  </si>
  <si>
    <t>po-supp-analysis</t>
  </si>
  <si>
    <t>Supplier Analysis</t>
  </si>
  <si>
    <t>
SELECT * FROM
(
SELECT
v.*,
1 c_one,
document_type_dsp as C_DOCUMENT_TYPE_DSP,
(agmt_avg_item_rating * agmt_item_ratings_count) as C_AGMT_ITEM_RATINGS_TOTAL,
(agmt_avg_sup_rating  * agmt_sup_ratings_count)  as C_AGMT_SUPP_RATINGS_TOTAL,
CASE WHEN (shipment_ontime_flag IS NOT NULL ) AND order_status_code IN ('APPROVED', 'PO_STATUS_CLOSED',
          'PO_STATUS_FINALLY_CLOSED', 'PO_STATUS_CANCELED', 'PO_STATUS_FROZEN', 'PO_STATUS_ON_HOLD')
	 THEN quality_rating
     ELSE NULL
END as C_QUALITY_RATING,
CASE WHEN (shipment_ontime_flag='Y')  AND order_status_code IN ('APPROVED', 'PO_STATUS_CLOSED',
          'PO_STATUS_FINALLY_CLOSED', 'PO_STATUS_CANCELED', 'PO_STATUS_FROZEN', 'PO_STATUS_ON_HOLD')
	 THEN line_location_id
     ELSE NULL
END as C_ONTIME_LINE_LOCATIONS,
CASE WHEN (shipment_ontime_flag IS NOT NULL ) AND order_status_code IN ('APPROVED', 'PO_STATUS_CLOSED',
          'PO_STATUS_FINALLY_CLOSED', 'PO_STATUS_CANCELED', 'PO_STATUS_FROZEN', 'PO_STATUS_ON_HOLD')
	 THEN line_location_id
     ELSE NULL
END as C_LINE_LOCATIONS,
CASE WHEN order_status_code IN ('APPROVED', 'PO_STATUS_CLOSED', 'PO_STATUS_FINALLY_CLOSED',
                                'PO_STATUS_CANCELED', 'PO_STATUS_FROZEN', 'PO_STATUS_ON_HOLD')
	 THEN (quantity_invoiced * unit_price * price_compliance)
     ELSE NULL
END as C_PRICE_COMP_TOTAL,
CASE WHEN ( order_status_code IN ('APPROVED', 'PO_STATUS_CLOSED', 'PO_STATUS_FINALLY_CLOSED',
                                'PO_STATUS_CANCELED', 'PO_STATUS_FROZEN', 'PO_STATUS_ON_HOLD')
            AND	(quantity_invoiced * unit_price) &lt;&gt; 0
		  )
	 THEN (quantity_invoiced * unit_price)
     ELSE NULL
END as C_PRICE_TOTAL,
CASE WHEN ((neg_status_code &lt;&gt; 'COMPLETED') AND auction_status IN ('DRAFT', 'ACTIVE') AND (record_type = 'NEGOTIATION_DETAILS')) THEN
	         auction_header_id
     ELSE  NULL
END as C_ACTIVE_NEGOTIATIONS,
CASE WHEN ((bid_status = 'ACTIVE') AND (record_type = 'NEGOTIATION_DETAILS')) THEN
	         auction_header_id
     ELSE  NULL
END as C_PPT_NEGOTIATIONS,
CASE WHEN (AWARD_STATUS_CODE IN ('AWARDED', 'PARTIAL')AND (record_type = 'NEGOTIATION_DETAILS')) THEN
	         auction_header_id
     ELSE  NULL
END as C_AWARDED_NEGOTIATIONS,
NVL(item_category,approved_item_category) as C_ASL_ITEM_CATEGORY,
CASE WHEN (record_type = 'ORDER_DETAILS') THEN
	         NVL(item_name , item_description)
     ELSE  NULL
END as C_ITEM_NAME_DESC,
CASE WHEN (bid_status = 'ACTIVE') THEN
	         supplier_id
     ELSE  NULL
END as C_BID_SUPPLIER_ID,
CASE WHEN (order_status_code = 'APPROVED')
	 THEN contract_spend
     ELSE 0
END as C_CONTRACT_SPEND,
CASE WHEN (order_status_code = 'APPROVED')
	 THEN off_contract_spend
     ELSE 0
END as C_OFF_CONTRACT_SPEND,
CASE WHEN (order_status_code = 'APPROVED')
	 THEN shipment_amount
     ELSE 0
END as C_SHIPMENT_AMOUNT,
CASE
	WHEN (contract_spend &lt;&gt; 0) THEN 10
	WHEN (off_contract_spend &lt;&gt; 0) THEN 20
	ELSE 0
END as C_SPEND_TYPE,
CASE
	WHEN ( (purchase_order_hold = 'Y') AND (payment_all_hold = 'Y') AND (unmatched_invoices_hold = 'Y') ) THEN 45
	WHEN (                                   (payment_all_hold = 'Y') AND (unmatched_invoices_hold = 'Y') ) THEN 40
	WHEN ( (purchase_order_hold = 'Y') AND                                (unmatched_invoices_hold = 'Y') ) THEN 30
	WHEN ( (purchase_order_hold = 'Y') AND (payment_all_hold = 'Y')                                       ) THEN 20
	WHEN ( (unmatched_invoices_hold = 'Y') ) THEN 25
	WHEN ( (payment_all_hold = 'Y') )        THEN 15
	WHEN ( (purchase_order_hold = 'Y') )     THEN 5
	ELSE 0
END as C_HOLD_TYPE
FROM PO_ECC_SUPP_ANALYSIS_INC_V v  WHERE  LANGUAGE in ('US')
) PIVOT (
max(SUPPLIER_TYPE) as SUPPLIER_TYPE,
max(PURCHASE_ORDER_HOLD_MEANING) as PURCHASE_ORDER_HOLD_MEANING,
max(PAYMENT_ALL_HOLD_MEANING) as PAYMENT_ALL_HOLD_MEANING,
max(UNMATCHED_INVOICES_MEANING) as UNMATCHED_INVOICES_MEANING,
max(SUP_PAYMENT_TERM) as SUP_PAYMENT_TERM,
max(SUP_COUNTRY_NAME) as SUP_COUNTRY_NAME,
max(SUP_ADDRESS_PURPOSE) as SUP_ADDRESS_PURPOSE,
max(SUP_ADDRESS_STATUS_MEANING) as SUP_ADDRESS_STATUS_MEANING,
max(SUP_CONTACT_STATUS) as SUP_CONTACT_STATUS,
max(SUP_OPERATING_UNIT) as SUP_OPERATING_UNIT,
max(SUP_PURCHASING_SITE) as SUP_PURCHASING_SITE,
max(SUP_RFQ_ONLY) as SUP_RFQ_ONLY,
max(SUP_PAY_SITE) as SUP_PAY_SITE,
max(SUP_PRIMARY_PAY_SITE) as SUP_PRIMARY_PAY_SITE,
max(SUP_FOB) as SUP_FOB,
max(COUNTRY_OF_ORIGIN) as COUNTRY_OF_ORIGIN,
max(PAY_GROUP_MEANING) as PAY_GROUP_MEANING,
max(SUP_SUPPLIER_CATEGORY_TYPE) as SUP_SUPPLIER_CATEGORY_TYPE,
max(SUP_GLOBAL_FLAG) as SUP_GLOBAL_FLAG,
max(SUP_OWNING_ORGANIZATION) as SUP_OWNING_ORGANIZATION,
max(SUP_APPR_LIST_BUSINESS_TYP) as SUP_APPR_LIST_BUSINESS_TYP,
max(SUPPLIER_STATUS) as SUPPLIER_STATUS,
max(SUPPLIER_CLASSIFICATION) as SUPPLIER_CLASSIFICATION,
max(ORDER_STATUS) as ORDER_STATUS,
max(LINE_TYPE) as LINE_TYPE,
max(PURCHASING_OU_NAME) as PURCHASING_OU_NAME,
max(UNIT_MEAS_LOOKUP_CODE) as UNIT_MEAS_LOOKUP_CODE,
max(AGREEMENT_STATUS) as AGREEMENT_STATUS,
max(AGREEMENT_ACTIVE_STATUS) as AGREEMENT_ACTIVE_STATUS,
max(AGREEMENT_OU_NAME) as AGREEMENT_OU_NAME,
max(PO_LINE_STATUS) as PO_LINE_STATUS,
max(AWARD_STATUS_MEANING) as AWARD_STATUS_MEANING,
max(NEG_LINE_STATUS) as NEG_LINE_STATUS,
max(DOCUMENT_TYPE_DSP) as DOCUMENT_TYPE_DSP,
max(C_DOCUMENT_TYPE_DSP) as C_DOCUMENT_TYPE_DSP,
max(DOCUMENT_TYPE_CODE) as DOCUMENT_TYPE_CODE,
max(NEGOTIATION_OU_NAME) as NEGOTIATION_OU_NAME,
max(PROJECT_OU) as PROJECT_OU,
max(APPROVED_SUPP_STATE) as APPROVED_SUPP_STATE,
max(APPR_SUPP_COUNTRY_NAME) as APPR_SUPP_COUNTRY_NAME,
max(OPERATING_UNIT) as OPERATING_UNIT
for LANGUAGE in ('US' "US"))
ORDER BY PARTY_ID , VENDOR_SITE_ID</t>
  </si>
  <si>
    <t>inv-onhand</t>
  </si>
  <si>
    <t>Inventory On Hand</t>
  </si>
  <si>
    <t xml:space="preserve">There are no load rules defined for dataset inv-onhand for load type INCREMENTAL_LOAD. </t>
  </si>
  <si>
    <t>Cost Management</t>
  </si>
  <si>
    <t>cst-phc-eam</t>
  </si>
  <si>
    <t>Maintenance</t>
  </si>
  <si>
    <t xml:space="preserve">There are no load rules defined for dataset cst-phc-eam for load type INCREMENTAL_LOAD. </t>
  </si>
  <si>
    <t>cst-phc-mfg-dis</t>
  </si>
  <si>
    <t>Manufacturing (Discrete)</t>
  </si>
  <si>
    <t xml:space="preserve">There are no load rules defined for dataset cst-phc-mfg-dis for load type INCREMENTAL_LOAD. </t>
  </si>
  <si>
    <t>cst-phc-invt</t>
  </si>
  <si>
    <t>Inventory Transactions</t>
  </si>
  <si>
    <t xml:space="preserve">There are no load rules defined for dataset cst-phc-invt for load type INCREMENTAL_LOAD. </t>
  </si>
  <si>
    <t>cst-phc-rcv</t>
  </si>
  <si>
    <t>Receiving</t>
  </si>
  <si>
    <t xml:space="preserve">There are no load rules defined for dataset cst-phc-rcv for load type INCREMENTAL_LOAD. </t>
  </si>
  <si>
    <t>cst-phc-ovw</t>
  </si>
  <si>
    <t>Overview</t>
  </si>
  <si>
    <t xml:space="preserve">There are no load rules defined for dataset cst-phc-ovw for load type INCREMENTAL_LOAD. </t>
  </si>
  <si>
    <t>cst-phc-gmfmfg</t>
  </si>
  <si>
    <t>Manufacturing (Process)</t>
  </si>
  <si>
    <t xml:space="preserve">There are no load rules defined for dataset cst-phc-gmfmfg for load type INCREMENTAL_LOAD. </t>
  </si>
  <si>
    <t>inv-cyclecounting</t>
  </si>
  <si>
    <t>Inventory Cycle Counting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</si>
  <si>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to_date(to_char(to_timestamp('27-APR-20 03.48.58.000000 AM'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to_date(to_char(to_timestamp('27-APR-20 03.48.58.000000 AM'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to_date(to_char(to_timestamp('27-APR-20 03.48.58.000000 AM'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to_date(to_char(to_timestamp('27-APR-20 03.48.58.000000 AM'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</si>
  <si>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Landed Cost Management</t>
  </si>
  <si>
    <t>LCM_SHIPMENTS</t>
  </si>
  <si>
    <t>Landed Cost Shipments</t>
  </si>
  <si>
    <t>select * from
(SELECT v.* ,dfv.* FROM
      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,ia_unit_actual_amt
       ,ia_unit_estimated_amt
       ,ia_act_estm_variance
       ,ia_unit_act_estm_variance
       ,ia_act_estm_variance_percent
       ,ia_matched_percent
       ,ia_unmatched_amt
       ,ia_unmatched_percent
       ,ia_charge_amt,ia_unit_charge_amt
       ,(ia_charge_amt - ia_charge_est_amt) CHARGE_VAR
       ,ia_tax_amt,ia_unit_tax_amt
       ,(ia_tax_amt - ia_tax_est_amt) TAX_VAR
       ,ia_item_amt,ia_unit_item_amt
       ,(ia_item_amt - ia_item_est_amt) ITEM_VAR
       ,ia_charge_est_amt
       ,ia_tax_est_amt
       ,ia_item_est_amt
       ,(ia_charge_amt + ia_tax_amt + ia_item_amt) i_total_amt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    from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,ia_actual_amt / isl_primary_qty ia_unit_actual_amt
       ,ia_estimated_amt / isl_primary_qty ia_unit_estimated_amt
       ,(ia_actual_amt - ia_estimated_amt) ia_act_estm_variance
       ,(ia_actual_amt / isl_primary_qty) - (ia_estimated_amt / isl_primary_qty) ia_unit_act_estm_variance
       ,to_number (decode (ia_estimated_amt
                                  ,0
                                  ,0
                                  ,round (((ia_actual_amt - ia_estimated_amt) * 100) / ia_estimated_amt
                                         ,2))) ia_act_estm_variance_percent
       ,decode (ia_estimated_amt
                       ,0
                       ,0
                       ,round (decode (sign (ia_matched_amt)
                                      ,- 1
                                      ,0
                                      ,(ia_matched_amt) * 100) / ia_estimated_amt
                              ,2)) ia_matched_percent
               ,decode (sign (ia_estimated_amt - ia_matched_amt)
                       ,- 1
                       ,0
                       ,(ia_estimated_amt - ia_matched_amt)) ia_unmatched_amt
               ,decode (ia_estimated_amt
                       ,0
                       ,0
                       ,round (decode (sign (ia_estimated_amt - ia_matched_amt)
                                      ,- 1
                                      ,0
                                      ,(ia_estimated_amt - ia_matched_amt) * 100) / ia_estimated_amt
                              ,2)) ia_unmatched_percent
               ,nvl (sum (CASE
                          WHEN    (
                                          ia_component_type_code = 'CHARGE'
                                  )
                                  THEN    ia_actual_amt END) OVER (PARTITION BY ecc_spec_id,language)
                    ,0) ia_charge_amt
               ,nvl (sum (CASE
                          WHEN    (
                                          ia_component_type_code = 'CHARGE'
                                  )
                                  THEN    ia_actual_amt/isl_primary_qty END) OVER (PARTITION BY ecc_spec_id,LANGUAGE)
                    ,0) ia_unit_charge_amt
               ,nvl (sum (CASE
                          WHEN    (
                                          ia_component_type_code = 'TAX'
                                  )
                                  THEN    ia_actual_amt END) OVER (PARTITION BY ecc_spec_id,language)
                    ,0) ia_tax_amt
               ,nvl (sum (CASE
                          WHEN    (
                                          ia_component_type_code = 'TAX'
                                  )
                                  THEN    ia_actual_amt/isl_primary_qty END) OVER (PARTITION BY ecc_spec_id,LANGUAGE)
                    ,0) ia_unit_tax_amt
               ,nvl (sum (CASE
                          WHEN    (
                                          ia_component_type_code = 'ITEM PRICE'
                                  )
                                  THEN    ia_actual_amt END) OVER (PARTITION BY ecc_spec_id,language)
                    ,0) ia_item_amt
               ,nvl (sum (CASE
                          WHEN    (
                                          ia_component_type_code = 'ITEM PRICE'
                                  )
                                  THEN    ia_actual_amt/isl_primary_qty END) OVER (PARTITION BY ecc_spec_id,LANGUAGE)
                    ,0) ia_unit_item_amt
               ,nvl (sum (CASE
                          WHEN    (
                                          ia_component_type_code = 'CHARGE'
                                  )
                                  THEN    ia_estimated_amt END) OVER (PARTITION BY ecc_spec_id,language)
                    ,0) ia_charge_est_amt
               ,nvl (sum (CASE
                          WHEN    (
                                          ia_component_type_code = 'TAX'
                                  )
                                  THEN    ia_estimated_amt END) OVER (PARTITION BY ecc_spec_id,language)
                    ,0) ia_tax_est_amt
               ,nvl (sum (CASE
                          WHEN    (
                                          ia_component_type_code = 'ITEM PRICE'
                                  )
                                  THEN    ia_estimated_amt END) OVER (PARTITION BY ecc_spec_id,language)
                    ,0) ia_item_est_amt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FROM    (SELECT  ish.ship_header_id
         || '-'
         || islg.ship_line_group_id
         || '-'
         || nvl (isl.parent_ship_line_id
                ,isl.ship_line_id)
         || '-'
         || aa.component_type_code
         || '-'
         || aa.component_reference ECC_spec_id
        ,'LC' ECC_record_type
        ,greatest (ish.last_update_date
                  ,islg.last_update_date
                  ,isl.last_update_date) ECC_last_update_date
        ,flv3.language
        ,ish.ship_header_id ish_shipment_header_id
        ,ish.ship_num ish_shipment_num
        ,stb.ship_type_code ish_shipment_type_code
        ,sttl.ship_type_name ish_shipment_type
        ,ish.ship_status_code ish_shipment_status_code
        ,flv2.description ish_shipment_status
        ,ish.ship_date ish_shipment_date
        ,ish.org_id ish_org_id
        ,ou.name ish_operating_unit
        ,ish.organization_id ish_organization_id
        ,mp.organization_code ish_organization_code
        ,hao.name ish_organization_name
        ,hrl1.location_code ish_location_code
        ,hrl1.country ish_country
        ,to_number (to_char (ish.ship_date
                            ,'YYYY')) ish_shipment_year
        ,to_char (ish.ship_date
                 ,'YYYY')
         || ' '
         || to_char (ish.ship_date
                    ,'WW') ish_shipment_year_week
        ,to_char (ish.ship_date
                 ,'YYYY')
         || ' '
         || to_char (ish.ship_date
                    ,'MM') ish_shipment_year_month
        ,to_char (ish.ship_date
                 ,'YYYY')
         || ' '
         || to_char (ish.ship_date
                    ,'Q') ish_shipment_year_quarter
        ,nvl (ish.pending_matching_flag
             ,'N') ish_pending_matching_flag
        ,ish.attribute_category ish_attribute_category
        ,ish.attribute1 ish_attribute1
        ,ish.attribute2 ish_attribute2
        ,ish.attribute3 ish_attribute3
        ,ish.attribute4 ish_attribute4
        ,ish.attribute5 ish_attribute5
        ,ish.attribute6 ish_attribute6
        ,ish.attribute7 ish_attribute7
        ,ish.attribute8 ish_attribute8
        ,ish.attribute9 ish_attribute9
        ,ish.attribute10 ish_attribute10
        ,ish.attribute11 ish_attribute11
        ,ish.attribute12 ish_attribute12
        ,ish.attribute13 ish_attribute13
        ,ish.attribute14 ish_attribute14
        ,ish.attribute15 ish_attribute15
        ,islg.ship_line_group_id islg_shipment_line_group_id
        ,islg.ship_line_group_num islg_line_group_num
        ,islg.ship_line_group_reference islg_line_group_reference
        ,hp1.party_name islg_party_name
        ,hps1.party_site_name islg_party_site_name
        ,hl.country islg_party_site_country
        ,isl.ship_line_id isl_shipment_line_id
        ,isl.parent_ship_line_id isl_parent_shipment_line_id
        ,isl.ship_line_num isl_shipment_line_num
        ,msic.concatenated_segments isl_item
        ,msitl.description isl_item_description
        ,mcc.concatenated_segments isl_item_category_code
        ,mc.description isl_item_ctg_desc
        ,isl.primary_qty isl_primary_qty
        ,isl.primary_uom_code isl_primary_uom_code
        ,isl.primary_unit_price isl_primary_unit_price
        ,isl.attribute_category isl_attribute_category
        ,isl.attribute1 isl_attribute1
        ,isl.attribute2 isl_attribute2
        ,isl.attribute3 isl_attribute3
        ,isl.attribute4 isl_attribute4
        ,isl.attribute5 isl_attribute5
        ,isl.attribute6 isl_attribute6
        ,isl.attribute7 isl_attribute7
        ,isl.attribute8 isl_attribute8
        ,isl.attribute9 isl_attribute9
        ,isl.attribute10 isl_attribute10
        ,isl.attribute11 isl_attribute11
        ,isl.attribute12 isl_attribute12
        ,isl.attribute13 isl_attribute13
        ,isl.attribute14 isl_attribute14
        ,isl.attribute15 isl_attribute15
        ,gll.currency_code ia_currency_code
        ,aa.component_type_code ia_component_type_code
        ,flv1.description ia_component_type
        ,aa.component_reference_id ia_component_reference_id
        ,CASE
        WHEN    aa.component_type_code = 'CHARGE'
                THEN
                        (
                        SELECT  pet1.name
                        FROM    pon_price_element_types_tl pet1
                        WHERE   pet1.price_element_type_id = aa.component_reference_id
                        AND     pet1.language = flv3.language
                        )
        WHEN    aa.component_type_code = 'ITEM PRICE'
                THEN
                        (
                        SELECT  islt.ship_line_type_name
                        FROM    inl_ship_line_types_tl islt
                        WHERE   islt.ship_line_type_id = aa.component_reference_id
                        AND     islt.language = flv3.language
                        )
        ELSE    aa.component_reference END ia_component_reference
        ,round (aa.allocation_amt
               ,2) ia_actual_amt
        ,round (aa.estimated_allocation_amt
               ,2) ia_estimated_amt
        ,decode (aa.from_parent_table_name
                ,'INL_SHIP_LINES'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,m.to_parent_table_id
                                     ,m.match_id
                                     ,m.parent_match_id
                                     ,m.matched_amt
                                     ,
                                      (
                                      SELECT  max (m2.match_id)
                                      FROM    inl_matches m2
                                      WHERE   m2.ship_header_id =
							m.ship_header_id
                                      AND     nvl (m2.parent_match_id
                                                  ,m2.match_id) = nvl
							(m.parent_match_id
							,m.match_id)
                                      ) last_match_id
                              FROM    inl_matches m
                              WHERE   m.match_type_code
                                      || '' = 'ITEM'
                              AND     m.to_parent_table_name =
					'INL_SHIP_LINES'
                              ) m1
                      WHERE   m1.ship_header_id = ish.ship_header_id
                      AND     m1.to_parent_table_id = nvl
							(isl.parent_ship_line_id
							,isl.ship_line_id)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							(isl.parent_ship_line_id
							,isl.ship_line_id)
                      CONNECT BY PRIOR m1.match_id = m1.parent_match_id
                      )
                     ,0)
                ,'INL_CHARGE_LINES'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,m.charge_line_type_id
                                     ,
                                      (
                                      SELECT  max (m2.match_id)
                                      FROM    inl_matches m2
                                      WHERE   m2.ship_header_id =
						m.ship_header_id
                                      AND     nvl (m2.parent_match_id
                                                  ,m2.match_id) = nvl
								(m.parent_match_id
								,m.match_id)
                                      ) last_match_id
                              FROM    inl_matches m
                              WHERE   m.match_type_code
                                      || '' = 'CHARGE'
                              AND     m.to_parent_table_name =
						'INL_SHIP_LINES'
                              ) m1
                      WHERE   m1.ship_header_id = ish.ship_header_id
                      AND     m1.to_parent_table_id = nvl
(isl.parent_ship_line_id
,isl.ship_line_id)
                      AND     m1.charge_line_type_id =
aa.component_reference_id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m1.charge_line_type_id =
aa.component_reference_id
                      CONNECT BY PRIOR m1.match_id = m1.parent_match_id
                      )
                     ,0)
                ,'INL_TAX_LINES'
                ,nvl (
                      (
                      SELECT  sum (nvl (round (m1.matched_amt
                                              ,2)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,m.tax_code
                                     ,
                                      (
                                      SELECT  max (m2.match_id)
                                      FROM    inl_matches m2
                                      WHERE   m2.ship_header_id =
m.ship_header_id
                                      AND     nvl (m2.parent_match_id
                                                  ,m2.match_id) = nvl
(m.parent_match_id
,m.match_id)
                                      ) last_match_id
                              FROM    inl_matches m
                              WHERE   m.to_parent_table_name =
'INL_SHIP_LINES'
                              AND     m.match_type_code
                                      || '' = 'TAX'
                              ) m1
                      WHERE   m1.ship_header_id = ish.ship_header_id
                      AND     m1.to_parent_table_id = nvl
(isl.parent_ship_line_id
,isl.ship_line_id)
                      AND     m1.tax_code = aa.component_reference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m1.tax_code = aa.component_reference
                      CONNECT BY PRIOR m1.match_id = m1.parent_match_id
                      )
                     ,0)
                ,NULL) ia_matched_amt
        ,ph.segment1 ph_po_num
        ,ph.creation_date ph_po_creation_date
        ,flv3.meaning ph_po_type
        ,pbv.full_name ph_po_agent_name
        ,pl.line_num pl_po_line_num
        ,pl.vendor_product_num pl_supplier_item
        ,pl.unit_price pl_unit_price
        ,nvl (pl.closed_flag
             ,'Y') pl_line_closed_flag
        ,pll.shipment_num pll_po_shipment_num
        ,pll.need_by_date pll_need_by_date
        ,pll.promised_date pll_promised_date
        ,decode (sign (nvl (pll.closed_for_receiving_date
                           ,sysdate + 1) - sysdate)
                ,1
                ,'N'
                ,0
                ,'Y'
                ,'Y') pll_closed_for_receiving_flag
        ,decode (sign (nvl (pll.closed_for_invoice_date
                           ,sysdate + 1) - sysdate)
                ,1
                ,'N'
                ,0
                ,'Y'
                ,'Y') pll_closed_for_invoicing_flag
        ,pll.quantity * pl.unit_price pll_amount
        ,rsh.receipt_num rsh_receipt_num
        ,rsh.creation_date rsh_receipt_date
        ,hrl3.location_code rsh_ship_to_location_code
        ,rsh.bill_of_lading rsh_bill_of_lading
        ,rsh.packing_slip rsh_packing_slip
        ,rsh.shipped_date rsh_shipped_date
        ,rsh.waybill_airbill_num rsh_waybill_airbill_num
        ,hrl2.location_code rsl_deliver_to_location_code
        ,rsl.container_num rsl_container_num
FROM    (
         SELECT  a.ship_header_id
                ,a.ship_line_id
                ,a.adjustment_num
                ,a.from_parent_table_name
                ,a.component_type_code
                ,a.component_reference
                ,a.component_reference_id
                ,sum (nvl (a.allocation_amt
                          ,0)) allocation_amt
                ,sum (nvl (a.estimated_allocation_amt
                          ,0)) estimated_allocation_amt
         FROM    (
                 SELECT
                         ia.ship_header_id
                        ,ship_line_id
                        ,ia.adjustment_num
                        ,from_parent_table_name
                        ,decode (from_parent_table_name
                                ,'INL_SHIP_LINES'
                                ,'ITEM PRICE'
                                ,'INL_CHARGE_LINES'
                                ,'CHARGE'
                                ,'INL_TAX_LINES'
                                ,'TAX'
                                ,NULL) component_type_code
                        ,decode (from_parent_table_name
                                ,'INL_SHIP_LINES'
                                ,
                                 (
                                 SELECT   DISTINCT TO_CHAR(ISLT.SHIP_LINE_TYPE_ID)
                                 FROM    inl_ship_line_types_tl islt
                                        ,inl_ship_lines_all isl
                                 WHERE   islt.ship_line_type_id =
isl.ship_line_type_id
                                 AND     isl.ship_line_id =
from_parent_table_id
                                 )
                                ,'INL_CHARGE_LINES'
                                ,
                                 (
                                 SELECT DISTINCT TO_CHAR(petl.PRICE_ELEMENT_TYPE_ID)
                                 FROM    pon_price_element_types_tl petl
                                        ,inl_charge_lines cl
                                 WHERE   petl.price_element_type_id =
cl.charge_line_type_id
                                 AND  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
                        ,decode (from_parent_table_name
                                ,'INL_SHIP_LINES'
                                ,
                                 (
                                 SELECT  to_char (isl.ship_line_type_id)
                                 FROM    inl_ship_lines_all isl
                                 WHERE   isl.ship_line_id =
from_parent_table_id
                                 )
                                ,'INL_CHARGE_LINES'
                                ,
                                 (
                                 SELECT  to_char (cl.charge_line_type_id)
                                 FROM    inl_charge_lines cl
                                 WHERE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component_reference_id
                        ,allocation_amt
                        ,decode (parent_allocation_id
                                ,NULL
                                ,0
                                ,first_value (nvl (allocation_amt
                                                  ,0)) OVER (PARTITION
BY ia.ship_header_id
,parent_allocation_id
                                                             ORDER BY
ia.adjustment_num) ) estimated_allocation_amt
                 FROM    inl_allocations ia
                        ,inl_ship_headers_all ish
                 WHERE   ia.landed_cost_flag = 'Y'
                 AND     ish.last_update_date &gt; to_date(to_char(to_timestamp('27-APR-20'),'DD-MON-YY HH24.MI.SS'),'DD-MON-YY HH24.MI.SS')
                 AND     ish.ship_header_id = ia.ship_header_id
                 ) a
         GROUP BY a.ship_header_id
                 ,a.ship_line_id
                 ,a.adjustment_num
                 ,a.from_parent_table_name
                 ,a.component_type_code
                 ,a.component_reference
                 ,a.component_reference_id
         ) aa
        ,fnd_lookup_values flv3
        ,fnd_lookup_values flv2
        ,fnd_lookup_values flv1
        ,inl_ship_types_tl sttl
        ,inl_ship_types_b stb
        ,inl_ship_headers_all ish
        ,inl_ship_line_groups islg
        ,gl_ledgers gll
        ,rcv_shipment_headers rsh
        ,rcv_shipment_lines rsl
        ,mtl_system_items_tl msitl
        ,mtl_system_items_kfv msic
        ,inl_ship_lines_all isl
        ,mtl_parameters mp
        ,hr_all_organization_units hao
        ,hr_locations_all hrl3
        ,hr_locations_all hrl2
        ,hr_locations_all hrl1
        ,hz_parties hp1
        ,hz_party_sites hps1
        ,hz_locations hl
        ,po_line_locations_all pll
        ,po_lines_all pl
        ,po_headers_all ph
        ,per_all_people_f pbv
        ,mtl_categories_tl mc
        ,mtl_categories_kfv mcc
        ,hr_operating_units ou
WHERE   ou.organization_id = ish.org_id
AND     ou.set_of_books_id = gll.ledger_id
AND     flv3.lookup_code = ph.type_lookup_code
AND     flv3.lookup_type = 'PO TYPE'
AND     flv2.lookup_code = ish.ship_status_code
AND     flv2.lookup_type = 'INL_SHIP_STATUSES'
AND     flv2.language =  flv3.language
AND     decode (aa.from_parent_table_name
                ,'INL_SHIP_LINES'
                ,'SL'
                ,'INL_CHARGE_LINES'
                ,'CHL'
                ,'INL_TAX_LINES'
                ,'TXL'
                ,NULL) = flv1.lookup_code
AND     flv1.lookup_type = 'INL_COMPONENTS'
AND     flv1.language =  flv3.language
AND     hrl3.location_id (+) = rsh.ship_to_location_id
AND     hrl2.location_id (+) = rsl.deliver_to_location_id
AND     hrl1.location_id (+) = ish.location_id
AND     mc.category_id (+) = mcc.category_id
AND    ( mc.language IS NULL OR mc.language= flv3.language)
AND     mcc.category_id (+) = pl.category_id
AND     msitl.organization_id = msic.organization_id
AND     msitl.inventory_item_id = msic.inventory_item_id
AND     msitl.language =flv3.language
AND     msic.organization_id = ish.organization_id
AND     hao.organization_id = ish.organization_id
AND     msic.inventory_item_id = isl.inventory_item_id
AND     hl.location_id (+) = hps1.location_id
AND     hps1.party_site_id (+) = islg.party_site_id
AND     hp1.party_id (+) = islg.party_id
AND     pbv.person_id = ph.agent_id
AND     sysdate BETWEEN nvl (pbv.effective_start_date
                             ,sysdate - 1)
                 AND     nvl (pbv.effective_end_date
                             ,sysdate + 1)
AND     sttl.ship_type_id = stb.ship_type_id
AND     sttl.language =  flv3.language
AND     stb.ship_type_id = ish.ship_type_id
AND     mp.organization_id = ish.organization_id
AND     rsh.shipment_header_id (+) = rsl.shipment_header_id
AND     rsl.lcm_shipment_line_id (+) = nvl (isl.parent_ship_line_id
                                            ,isl.ship_line_id)
AND     NOT EXISTS
             (
             SELECT  'X'
             FROM    rcv_transactions a
                    ,rcv_shipment_headers b
             WHERE   a.lcm_shipment_line_id = isl.ship_line_id
             AND     a.po_line_location_id = pll.line_location_id
             AND     b.shipment_header_id = a.shipment_header_id
             AND     b.asn_type IS NOT NULL
             AND     b.asn_type &lt;&gt; 'LCM'
             )
AND     ph.po_header_id = pl.po_header_id
AND     pl.po_line_id = pll.po_line_id
AND     pll.line_location_id = isl.ship_line_source_id
AND     aa.ship_header_id = ish.ship_header_id
AND     aa.ship_line_id = isl.ship_line_id
AND     aa.adjustment_num =
                             (
                             SELECT  max (adjustment_num)
                             FROM    inl_allocations a
                             WHERE   a.ship_header_id = aa.ship_header_id
                             )
AND     isl.ship_header_id = islg.ship_header_id
AND     isl.ship_line_group_id = islg.ship_line_group_id
AND     islg.ship_header_id = ish.ship_header_id
AND     ish.simulation_id IS NULL)) UNION SELECT  ecc_spec_id
       ,ecc_record_type
       ,ecc_last_update_date
       ,language
       ,ish_shipment_header_id
       ,ish_shipment_num
       ,ish_shipment_type_code
       ,ish_shipment_ty</t>
  </si>
  <si>
    <t>Discrete Manufacturing</t>
  </si>
  <si>
    <t>wip-wodelaydetails</t>
  </si>
  <si>
    <t>Work Order Delays</t>
  </si>
  <si>
    <t xml:space="preserve">SELECT * FROM (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('WIP_ECC_WEEK_BINS','WIP_JOB_STATUS','WIP_DISCRETE_JOB','WIP_SUPPLY','WIP_TOLERANCE_TYPE','SYS_YES_NO','WIP_PURGE_REPORT_TYPE')
                                          AND view_application_id = 700
                                          AND security_group_id   = 0
                                          ), wdj AS
                                         (SELECT /*+ materialize */ wdj.*,
                                           mp.organization_code ,
                                           haout.NAME ,
                                           we.wip_entity_name ,
                                           we.description job_description,
                                           haout.language
                                         FROM wip_entities we,
                                           mtl_parameters mp,
                                           hr_all_organization_units_tl haout,
                                           wip_discrete_jobs wdj
                                         WHERE we.wip_entity_id                                      = wdj.wip_entity_id
                                         AND we.entity_type                                         IN (1,3)
                                         AND mp.organization_id                                      = we.organization_id
                                         AND haout.organization_id                                   = mp.organization_id
                                         AND wdj.status_type                                                  IN (1,3,4,5,6,7,12,14,15)
                                         AND (NVL(wdj.date_completed,wdj.scheduled_completion_date) &gt;= SYSDATE - 30
                                          OR wdj.status_type  IN (3,6)
                                          OR (wdj.status_type  = 1
                                          AND wdj.scheduled_start_date  &lt;= SYSDATE + 7 ))  )
										 SELECT STARTED_TODAY_FLAG
                                         ,STARTED_LATE_FLAG
                                         ,RELEASE_DELAY_FLAG
                                         ,COMPLETED_TODAY_FLAG
                                         ,COMPLETED_YESTERDAY_FLAG
                                         ,STARTING_TOMORROW_FLAG
                                         ,COMPLETING_TOMORROW_FLAG
                                         ,ON_HOLD_FLAG
                                         ,JOB_START_DELAY
                                         ,JOB_FINISH_DELAY
                                         ,RELEASE_DELAY_DUATION
                                         ,OPERATION_DELAY_DURATION
                                         ,SCHEDULED_START_DATE
                                         ,SCHEDULED_COMPLETION_DATE
                                         ,ALTERNATE_BILL
                                         ,BILL_DESCRIPTION
                                         ,SUPPLY_TYPE
                                         ,BILL_REVISION
                                         ,BILL_REVISION_DATE
                                         ,ROUTING_REFERENCE
                                         ,ROUTING_REVISION
                                         ,ALTERNATE_ROUTING
                                         ,ROUTING_REVISION_DATE
                                         ,REQUESTED_DUE_DATE
                                         ,COMPLETION_SUBINVENTORY
                                         ,SERIALIZATION_START_OPERATION
                                         ,COMPLETION_LOCATOR
                                         ,PROJECT_NAME
                                         ,PROJECT_NUMBER
                                         ,UNIT_NUMBER
                                         ,TASK_NAME
                                         ,TASK_NUMBER
                                         ,WO_DEMAND_CLASS
                                         ,LOT_NUMBER
                                         ,SALES_ORDER
                                         ,CUSTOMER
                                         ,DEMAND_CLASS
                                         ,PRODUCTION_LINE
                                         ,STARTED_TODAY
                                         ,STARTED_LATE
                                         ,RELEASE_DELAY
                                         ,COMPLETED_TODAY
                                         ,COMPLETED_YESTERDAY
                                         ,STARTING_TOMORROW
                                         ,COMPLETING_TOMORROW
                                         ,ON_HOLD
                                         ,START_DELAY_DURATION
                                         ,COMPLETION_DELAY_DURATION
                                         ,START_DELAY_FLAG
                                         ,FINISH_DELAY_FLAG
                                         ,START_DELAY
                                         ,FINISH_DELAY
                                         ,OPERATION_DELAY_FLAG
                                         ,OPERATION_DELAY
                                         ,ONTRACK_FLAG
                                         ,ONTRACK
                                         ,DELAYED
										 ,DELAYED_FILTER
                                         ,DELAYED_FLAG
                                         ,INPROGRESS
                                         ,ECC_SPEC_ID
                                         ,ORGANIZATION_ID
                                         ,ORGANIZATION_CODE
                                         ,YES_FLAG
                                         ,NO_FLAG
                                         ,ORGANIZATION_NAME
                                         ,LOADED_DATE
                                         ,JOB
                                         ,JOB_NAME
                                         ,ASSEMBLY
                                         ,JOB_STATUS
                                         ,LANGUAGE
                                         ,JOB_STATUS_TYPE
                                         ,RELEASE_DATE
                                         ,ACTUAL_COMPLETION_DATE
                                         ,JOB_CREATION_DATE
                                         ,JOB_TYPE
                                         ,JOB_CLASS
                                         ,CLOSE_DATE
                                         ,BUILD_SEQUENCE
                                         ,SCHEDULE_GROUP_NAME
                                        FROM
                                          (SELECT src.*,
                                            CASE
                                              WHEN started_today_flag = 1
                                              THEN yes_flag
                                              ELSE no_flag
                                            END started_today,
                                            CASE
                                              WHEN started_late_flag = 1
                                              THEN yes_flag
                                              ELSE no_flag
                                            END started_late ,
                                            CASE
                                              WHEN release_delay_flag = 1
                                              THEN yes_flag
                                              ELSE no_flag
                                            END release_delay ,
                                            CASE
                                              WHEN completed_today_flag = 1
                                              THEN yes_flag
                                              ELSE no_flag
                                            END completed_today ,
                                            CASE
                                              WHEN completed_yesterday_flag = 1
                                              THEN yes_flag
                                              ELSE no_flag
                                            END completed_yesterday ,
                                            CASE
                                              WHEN starting_tomorrow_flag = 1
                                              THEN yes_flag
                                              ELSE no_flag
                                            END starting_tomorrow ,
                                            CASE
                                              WHEN completing_tomorrow_flag = 1
                                              THEN yes_flag
                                              ELSE no_flag
                                            END completing_tomorrow ,
                                            CASE
                                              WHEN on_hold_flag = 1
                                              THEN yes_flag
                                              ELSE no_flag
                                            END on_hold ,
                                            CASE
                                              WHEN job_status_type IN (1)
                                              THEN job_start_delay
                                              ELSE 0
                                            END start_delay_duration,
                                            CASE
                                              WHEN job_status_type IN (3,6)
                                              THEN job_finish_delay
                                              ELSE 0
                                            END Completion_delay_duration,
                                            CASE
                                              WHEN job_start_delay &gt; 0
                                              AND job_status_type IN (1)
                                              THEN 1
                                              ELSE 0
                                            END start_delay_flag,
                                            CASE
                                              WHEN job_finish_delay &gt; 0
                                              AND job_status_type  IN (3,6)
                                              THEN 1
                                              ELSE 0
                                            END finish_delay_flag ,
                                            CASE
                                              WHEN job_start_delay &gt; 0
                                              AND job_status_type IN (1)
                                              THEN yes_flag
                                              ELSE no_flag
                                            END Start_delay ,
                                            CASE
                                              WHEN job_finish_delay &gt; 0
                                              AND job_status_type  IN (3,6)
                                              THEN yes_flag
                                              ELSE no_flag
                                            END finish_delay ,
                                            CASE
                                              WHEN operation_delay_duration &gt; 0
                                              AND job_status_type          IN (3,6)
                                              THEN 1
                                              ELSE 0
                                            END operation_delay_flag ,
                                            CASE
                                              WHEN operation_delay_duration &gt; 0
                                              AND job_status_type          IN (3,6)
                                              THEN yes_flag
                                              ELSE no_flag
                                            END operation_delay,
                                            CASE
                                              WHEN job_status_type       IN (3,6)
                                              AND( job_start_delay        &gt; 0
                                              OR job_finish_delay         &gt; 0
                                              OR operation_delay_duration &gt; 0)
                                              THEN 0
                                              WHEN job_status_type NOT IN (3,6)
                                              THEN 0
                                              ELSE 1
                                            END ontrack_flag,
                                            CASE
                                              WHEN job_status_type       IN (3,6)
                                              AND( job_start_delay        &gt; 0
                                              OR job_finish_delay         &gt; 0
                                              OR operation_delay_duration &gt; 0)
                                              THEN no_flag
                                              WHEN job_status_type NOT IN (3,6)
                                              THEN no_flag
                                              ELSE yes_flag
                                            END ontrack,
                                            CASE
                                              WHEN (job_start_delay        &gt; 0
                                              AND job_status_type         IN (1))
                                              OR (job_finish_delay         &gt; 0
                                              AND job_status_type         IN (3,6))
                                              OR (operation_delay_duration &gt; 0
                                              AND job_status_type         IN (3,6))
                                              THEN yes_flag
                                              ELSE no_flag
                                            END delayed,
									         CASE
                                              WHEN (job_start_delay        &gt; 0
                                              AND job_status_type         IN (1))
                                              OR (job_finish_delay         &gt; 0
                                              AND job_status_type         IN (3,6))
                                              OR (operation_delay_duration &gt; 0
                                              AND job_status_type         IN (3,6))
                                              THEN 'YES'
                                              ELSE 'NO'
                                            END delayed_filter,
                                            CASE
                                              WHEN (job_start_delay        &gt; 0
                                              AND job_status_type         IN (1))
                                              OR (job_finish_delay         &gt; 0
                                              AND job_status_type         IN (3,6))
                                              OR (operation_delay_duration &gt; 0
                                              AND job_status_type         IN (3,6))
                                              THEN 1
                                              ELSE 0
                                            END delayed_flag,
                                            CASE
                                              WHEN job_status_type IN (3,6)
                                              THEN 1
                                              ELSE 0
                                            END inprogress
                                          FROM
                                            (SELECT
                                              /*+ PUSH_PRED(MSI4) PUSH_PRED(MSI8) */
                                              TO_CHAR (wdj.wip_entity_id
                                              ||'-'
                                              ||wdj.organization_id
                                              ||'-'
                                              ||mr.supply_source_header_id
                                              ||'-'
                                              ||ool1.line_id
                                              ||'-JOB') ecc_spec_id,
                                              wdj.organization_id organization_id ,
                                              wdj.organization_code organization_code ,
                                              yeslk.meaning yes_flag,
                                              nolk.meaning no_flag,
                                              wdj.NAME organization_name ,
                                              SYSDATE loaded_date ,
                                              wdj.wip_entity_id job ,
                                              wdj.wip_entity_name job_name ,
                                              WIP_ECC_UTIL_PVT.get_concatenated_segments(wdj.organization_id,wdj.primary_item_id) assembly ,
                                              status_lkp.meaning job_status,
                                              status_lkp.language language,
                                              wdj.status_type job_status_type ,
                                              wdj.date_released release_date ,
                                              wdj.date_completed actual_completion_date ,
                                              wdj.creation_date job_creation_date ,
                                              type_lkp.meaning job_type ,
                                              wdj.class_code job_class ,
                                              wdj.date_closed close_date ,
                                              wdj.build_sequence build_sequence ,
                                              NVL(
                                              (SELECT schedule_group_name
                                              FROM wip_schedule_groups
                                              WHERE schedule_group_id= wdj.schedule_group_id
                                              ) ,nonelk.meaning ) schedule_group_name ,
                                              CASE
                                                WHEN NVL(TRUNC(wdj.actual_start_date),TRUNC(wdj.date_released)) = TRUNC(SYSDATE)
                                                AND wdj.status_type                                            &lt;&gt; 1
                                                THEN 1
                                                ELSE 0
                                              END started_today_flag,
                                              CASE
                                                WHEN wdj.scheduled_start_date                     &lt; SYSDATE
                                                AND (NVL(wdj.actual_start_date,wdj.date_released) &gt; wdj.scheduled_start_date)
                                                THEN 1
                                                ELSE 0
                                              END started_late_flag,
                                              CASE
                                                WHEN wdj.status_type  = 3
                                                AND wdj.date_released &gt; wdj.scheduled_start_date
                                                THEN 1
                                                ELSE 0
                                              END release_delay_flag,
                                              CASE
                                                WHEN TRUNC(wdj.date_completed) = TRUNC(SYSDATE)
                                                THEN 1
                                                ELSE 0
                                              END completed_today_flag,
                                              CASE
                                                WHEN TRUNC(wdj.date_completed) = TRUNC(SYSDATE-1)
                                                THEN 1
                                                ELSE 0
                                              END completed_yesterday_flag,
                                              CASE
                                                WHEN TRUNC(wdj.scheduled_start_date) = TRUNC(SYSDATE+1)
                                                THEN 1
                                                ELSE 0
                                              END starting_tomorrow_flag,
                                              CASE
                                                WHEN TRUNC(wdj.scheduled_completion_date) = TRUNC(SYSDATE+1)
                                                THEN 1
                                                ELSE 0
                                              END completing_tomorrow_flag,
                                              CASE
                                                WHEN wdj.status_type = 6
                                                THEN 1
                                                ELSE 0
                                              END on_hold_flag,
                                              CASE
                                                WHEN wdj.status_type        IN( 1,3)
                                                AND wdj.scheduled_start_date &lt; SYSDATE
                                                THEN
                                                  CASE
                                                    WHEN (SYSDATE - (wdj.scheduled_start_date )) &gt; 0
                                                    THEN (SYSDATE - (wdj.scheduled_start_date ))* 24
                                                    ELSE 0
                                                  END
                                              END job_start_delay,
                                              CASE
                                                WHEN wdj.date_completed IS NOT NULL
                                                AND wdj.date_completed   &gt; wdj.scheduled_completion_date
                                                THEN
                                                  CASE
                                                    WHEN (wdj.date_completed - (wdj.scheduled_completion_date )) &gt; 0
                                                    THEN (wdj.date_completed - (wdj.scheduled_completion_date ))* 24
                                                    ELSE 0
                                                  END
                                              END job_finish_delay,
                                              CASE
                                                WHEN wdj.status_type  = 3
                                                AND wdj.date_released &gt; wdj.scheduled_start_date
                                                THEN
                                                  CASE
                                                    WHEN (wdj.date_released - (wdj.scheduled_start_date)) &gt; 0
                                                    THEN (wdj.date_released - (wdj.scheduled_start_date))* 24
                                                    ELSE 0
                                                  END
                                              END release_delay_duation,
                                              NVL(
                                              (SELECT MAX(
                                                CASE
                                                  WHEN wo.actual_completion_date IS NOT NULL
                                                  AND wo.actual_completion_date   &gt; (wo.last_unit_completion_date )
                                                  THEN
                                                    CASE
                                                      WHEN (wo.actual_completion_date - (wo.last_unit_completion_date )) &gt; 0
                                                      THEN (wo.actual_completion_date - (wo.last_unit_completion_date ))* 24
                                                      ELSE 0
                                                    END
                                                  WHEN wo.actual_completion_date     IS NULL
                                                  AND (wo.last_unit_completion_date ) &lt; sysdate
                                                  AND (wo.quantity_in_queue           &gt; 0
                                                  OR wo.quantity_running              &gt; 0)
                                                  THEN
                                                    CASE
                                                      WHEN (sysdate- (wo.last_unit_completion_date )) &gt; 0
                                                      THEN (sysdate- (wo.last_unit_completion_date ))* 24
                                                      ELSE 0
                                                    END
                                                  WHEN wo.actual_start_date IS NOT NULL
                                                  AND wo.actual_start_date   &gt; (wo.first_unit_start_date )
                                                  THEN
                                                    CASE
                                                      WHEN (wo.actual_start_date-(wo.first_unit_start_date )) &gt; 0
                                                      THEN (wo.actual_start_date-(wo.first_unit_start_date ))* 24
                                                      ELSE 0
                                                    END
                                                  WHEN wo.actual_start_date       IS NULL
                                                  AND (wo.first_unit_start_date )  &lt; sysdate
                                                  AND NVL(wo.quantity_in_queue,0)  = 0
                                                  AND NVL(wo.quantity_running,0)   = 0
                                                  AND NVL(wo.quantity_completed,0) = 0
                                                  THEN
                                                    CASE
                                                      WHEN (sysdate-(wo.first_unit_start_date )) &gt; 0
                                                      THEN (sysdate-(wo.first_unit_start_date ))* 24
                                                      ELSE 0
                                                    END
                                                  ELSE 0
                                                END)
                                              FROM wip_operations wo
                                              WHERE wo.organization_id                                                        = wdj.organization_id
                                              AND wo.wip_entity_id                                                            = wdj.wip_entity_id
                                              AND (( wo.quantity_in_queue                                                     &gt; 0
                                              OR wo.quantity_running                                                          &gt; 0 )
                                              OR ((wdj.start_quantity - wo.quantity_completed - wo.cumulative_scrap_quantity) &gt; 0 ))
                                              ), 0) operation_delay_duration,
                                              wdj.scheduled_start_date scheduled_start_date ,
                                              wdj.scheduled_completion_date scheduled_completion_date ,
                                              wdj.alternate_bom_designator alternate_bill ,
                                              bad.description Bill_description,
                                              supply_type_lkp.meaning supply_type ,
                                              wdj.bom_revision bill_revision ,
                                              wdj.bom_revision_date bill_revision_date ,
                                              WIP_ECC_UTIL_PVT.get_concatenated_segments(wdj.organization_id,wdj.routing_reference_id) routing_reference ,
                                              wdj.routing_revision routing_revision ,
                                              wdj.alternate_routing_designator alternate_routing,
                                              wdj.routing_revision_date routing_revision_date ,
                                              wdj.due_date requested_due_date ,
                                              wdj.completion_subinventory completion_subinventory ,
                                              wdj.serialization_start_op serialization_start_operation,
                                              (SELECT milk.concatenated_segments
                                              FROM mtl_item_locations_kfv milk
                                              WHERE milk.inventory_location_id = wdj.completion_locator_id
                                              ) completion_locator ,
                                              NVL(NVL(ppa.NAME,psn.project_name) ,nonelk.meaning) project_name ,
                                              NVL(ppa.segment1,psn.project_number) project_number ,
                                              wdj.end_item_unit_number unit_number ,
                                              NVL(pat.task_name ,nonelk.meaning ) task_name ,
                                              pat.task_number task_number ,
                                              wdj.demand_class wo_demand_class ,
                                              wdj.lot_number lot_number ,
                                              mso1.concatenated_segments sales_order ,
                                              NVL(hz.party_name,nonelk.meaning ) customer ,
                                              ool1.demand_class_code demand_class,
											  NVL(wl.description ,nonelk.meaning ) production_line
                                            FROM
                                              wdj wdj,
                                              csd_repair_job_xref xref,
                                              csd_repairs rep,
                                              wip_lines wl,
                                              mtl_reservations mr,
                                              oe_order_lines_all ool1,
                                              mtl_sales_orders_kfv mso1,
                                              hz_parties hz,
                                              hz_cust_accounts hzc,
                                              (SELECT meaning
                                              FROM oe_lookups
                                              WHERE lookup_type = 'LINE_FLOW_STATUS'
                                              AND lookup_code   = 'CLOSED'
                                              ) olclosed,
                                              (SELECT meaning
                                              FROM oe_lookups
                                              WHERE lookup_type = 'LINE_FLOW_STATUS'
                                              AND lookup_code   = 'CANCELLED'
                                              ) olcanceled,
                                              (SELECT meaning
                                              FROM oe_lookups
                                              WHERE lookup_type = 'LINE_FLOW_STATUS'
                                              AND lookup_code   = 'BOOKED'
                                              ) olbooked,
                                              (SELECT meaning
    </t>
  </si>
  <si>
    <t>There are 56 documents processed successfully and 0 documents failed to be processed.</t>
  </si>
  <si>
    <t>56</t>
  </si>
  <si>
    <t>wip-wodetails</t>
  </si>
  <si>
    <t>Work Orders</t>
  </si>
  <si>
    <t xml:space="preserve">SELECT * FROM (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('WIP_ECC_WEEK_BINS','WIP_JOB_STATUS','WIP_DISCRETE_JOB','WIP_SUPPLY','WIP_TOLERANCE_TYPE','SYS_YES_NO','WIP_PURGE_REPORT_TYPE')
                                          AND view_application_id = 700
                                          AND security_group_id   = 0
                                          ), wdj AS
                                         (SELECT /*+ materialize */ wdj.*,
                                           mp.organization_code ,
                                           haout.NAME ,
                                           we.wip_entity_name job_name,
                                           we.description job_description,
                                           haout.language,wdj.rowid row_id
                                         FROM wip_entities we,
                                           mtl_parameters mp,
                                           hr_all_organization_units_tl haout,
                                           wip_discrete_jobs wdj
                                         WHERE we.wip_entity_id                                      = wdj.wip_entity_id
                                         AND we.entity_type                                         IN (1,3)
                                         AND mp.organization_id                                      = we.organization_id
                                         AND haout.organization_id                                   = mp.organization_id
                                         AND wdj.status_type                                                  IN (1,3,4,5,6,7,12,14,15) AND (NVL(wdj.date_completed,wdj.scheduled_completion_date) &gt;= SYSDATE - 30
                                          OR wdj.status_type  IN (3,6)
                                          OR (wdj.status_type  = 1
                                          AND wdj.scheduled_start_date  &lt;= SYSDATE + 7 )) 
                                         ) SELECT ecc_spec_id ,
                                      organization_id ,
                                      organization_code ,
                                      organization_name ,
                                      organization_currency ,
                                      loaded_date ,
                                      job ,
                                      job_name ,
                                      job_description ,
                                      assembly ,
                                      assembly_uom ,
                                      assembly_description ,
									  planner,
                                      job_status ,
                                      language ,
                                      job_status_type ,
                                      job_start_quantity ,
                                      scrap_quantity ,
                                      completed_quantity ,
                                      release_date ,
                                      actual_completion_date ,
                                      job_creation_date ,
                                      open_quantity ,
									  Reject_quantity,
                                      job_type ,
                                      job_class ,
                                      net_quantity ,
                                      close_date ,
                                      build_sequence ,
                                      expedited_flag ,
                                      base_assembly ,
                                      assembly_fixed_lead_time ,
                                      assembly_var_lead_time ,
                                      assembly_total_lead_time ,
                                      repair_order_flag ,
									  repair_order,
                                      repair_line_id ,
                                      repair_number ,
                                      job_assembly_description ,
                                      schedule_group_name ,
                                      started_today_flag ,
                                      started_late_flag ,
                                      release_delay_flag ,
                                      completed_today_flag ,
                                      completed_yesterday_flag ,
                                      starting_tomorrow_flag ,
                                      completing_tomorrow_flag ,
                                      on_hold_flag ,
                                      started_today,
                                      started_late ,
                                      release_delay ,
                                      completed_today ,
                                      completed_yesterday ,
                                      starting_tomorrow ,
                                      completing_tomorrow ,
                                      on_hold ,
                                      job_start_delay ,
                                      job_finish_delay ,
                                      operation_delay_duration ,
                                      pending_material_issue,
                                      scheduled_start_date ,
                                      scheduled_completion_date ,
                                      bill_reference ,
                                      alternate_bill ,
                                      supply_type ,
                                      bill_revision ,
                                      bill_revision_date ,
									  bill_description,
									  routing_description,
                                      routing_reference ,
                                      routing_revision ,
                                      routing_revision_date ,
									  alternate_routing,
                                      requested_due_date ,
                                      completion_subinventory ,
                                      serialization_start_operation ,
                                      completion_locator ,
                                      project_name ,
                                      project_number ,
                                      unit_number ,
                                      task_name ,
                                      task_number ,
                                      wo_demand_class ,
                                      lot_number ,
									  Kanban,
                                      scheduleing_priority ,
                                      sales_order ,
                                      customer ,
                                      scheduled_ship_date ,
                                      actual_ship_date ,
                                      sales_order_line ,
									  ship_date_approach_risk_flag,
                                      ship_date_approach_risk_days,
                                      ship_date_passed_flag,
                                      ship_date_passed_days,
                                      job_note,
                                      demand_class ,
                                      sales_order_line_uom ,
                                      primary_quantity_reserved ,
                                      quantity_reserved ,
                                      sales_order_line_status ,
                                      delayed_sales_order ,
                                      sales_order_overdue ,
                                      assembly_category ,
                                      production_line ,
                                      operation_shop_floor_status ,
                                      start_delay_flag,
                                      finish_delay_flag ,
                                      Start_delay ,
                                      Completion_delay finish_delay,
                                      operation_delay_flag ,
                                      operation_delay,
                                      ontrack_flag,
                                      ontrack,
									  delayed,
									  delayed_flag,
									  inprogress,
									  start_delay_duration,
                                      Completion_delay_duration,
                                      release_delay_duation release_delay_duration,
                                      cal_rework_quantity rework_quantity,
									  osp_operation,
									  osp_operation_flag,
									  production_line_tbl,
									  schedule_group_name_tbl,
									  project_name_tbl,
									  task_name_tbl,
									  customer_tbl,
									  CASE WHEN pending_material_issue =1 THEN 'YES' ELSE 'NO' END unissued,
									  CASE WHEN delayed_flag =1 THEN 'YES' ELSE 'NO' END delayed_code,
									  CASE WHEN job_status_type = 1 THEN 'UNRELEASED'
                                           WHEN job_status_type = 3 THEN 'RELEASED'
	                                       WHEN job_status_type = 4 THEN 'COMPLETE'
	                                       WHEN job_status_type = 5 THEN 'COMPLETE - NO CHARGES ALLOWED'
	                                       WHEN job_status_type = 6 THEN 'HOLD'
	                                       WHEN job_status_type = 7 THEN 'CANCELED'
	                                       WHEN job_status_type = 12 THEN 'CLOSED'
	                                       WHEN job_status_type = 14 THEN 'PENDING CLOSE'
	                                       WHEN job_status_type = 15 THEN 'FAILED CLOSE'
									  END job_status_code,
									  CASE WHEN inprogress =1 THEN 'YES' ELSE 'NO' END open,
                                      CASE
                                        WHEN actual_completion_date IS NULL
                                        THEN NULL
                                        ELSE
                                          CASE
                                            WHEN (cal_scrap_quantity+cal_rejected_quantity+cal_rework_quantity) &gt; cal_completed_quantity OR cal_completed_quantity = 0
                                            THEN 0
                                            WHEN ((cal_completed_quantity - (cal_scrap_quantity+cal_rejected_quantity+cal_rework_quantity))/cal_completed_quantity) &gt; 1
                                            THEN 100
                                            ELSE 100 * ((cal_completed_quantity - (cal_scrap_quantity+cal_rejected_quantity+cal_rework_quantity))/cal_completed_quantity)
                                          END
                                      END yield, dfv.*
                                    FROM
                                      (SELECT src.*,
									    CASE WHEN osp_operation_cnt &gt; 0 THEN yes_flag ELSE no_flag END OSP_operation,
									    CASE WHEN osp_operation_cnt &gt; 0 THEN 1 ELSE 2 END OSP_operation_flag,
                                        CASE
                                          WHEN started_today_flag = 1
                                          THEN yes_flag
                                          ELSE no_flag
                                        END started_today,
                                        CASE
                                          WHEN started_late_flag = 1
                                          THEN yes_flag
                                          ELSE no_flag
                                        END started_late ,
                                        CASE
                                          WHEN release_delay_flag = 1
                                          THEN yes_flag
                                          ELSE no_flag
                                        END release_delay ,
                                        CASE
                                          WHEN completed_today_flag = 1
                                          THEN yes_flag
                                          ELSE no_flag
                                        END completed_today ,
                                        CASE
                                          WHEN completed_yesterday_flag = 1
                                          THEN yes_flag
                                          ELSE no_flag
                                        END completed_yesterday ,
                                        CASE
                                          WHEN starting_tomorrow_flag = 1
                                          THEN yes_flag
                                          ELSE no_flag
                                        END starting_tomorrow ,
                                        CASE
                                          WHEN completing_tomorrow_flag = 1
                                          THEN yes_flag
                                          ELSE no_flag
                                        END completing_tomorrow ,
                                        CASE
                                          WHEN on_hold_flag = 1
                                          THEN yes_flag
                                          ELSE no_flag
                                        END on_hold ,
									  CASE WHEN job_status_type IN (1) THEN job_start_delay ELSE 0 END start_delay_duration,
                                      CASE WHEN job_status_type IN (3,6) THEN job_finish_delay ELSE 0 END Completion_delay_duration,
                                        CASE
                                          WHEN job_start_delay &gt; 0 AND job_status_type IN (1)
                                          THEN 1
                                          ELSE 0
                                        END start_delay_flag,
                                        CASE
                                          WHEN job_finish_delay &gt; 0 AND job_status_type IN (3,6)
                                          THEN 1
                                          ELSE 0
                                        END finish_delay_flag ,
                                        CASE
                                          WHEN job_start_delay &gt; 0 AND job_status_type IN (1)
                                          THEN yes_flag
                                          ELSE no_flag
                                        END Start_delay ,
                                        CASE
                                          WHEN job_finish_delay &gt; 0 AND job_status_type IN (3,6)
                                          THEN yes_flag
                                          ELSE no_flag
                                        END Completion_delay ,
                                        CASE
                                          WHEN operation_delay_duration &gt; 0 AND job_status_type IN (3,6)
                                          THEN 1
                                          ELSE 0
                                        END operation_delay_flag ,
                                        CASE
                                          WHEN operation_delay_duration &gt; 0 AND job_status_type IN (3,6)
                                          THEN yes_flag
                                          ELSE no_flag
                                        END operation_delay,
                                        CASE WHEN job_status_type IN (3,6) AND
                                          ( job_start_delay        &gt; 0
                                          OR job_finish_delay         &gt; 0
                                          OR operation_delay_duration &gt; 0)
                                          THEN 0
									    WHEN job_status_type NOT IN (3,6)
                                          THEN 0
                                          ELSE 1
                                        END ontrack_flag,
                                        CASE WHEN job_status_type IN (3,6) AND
                                          ( job_start_delay        &gt; 0
                                          OR job_finish_delay         &gt; 0
                                          OR operation_delay_duration &gt; 0)
                                          THEN no_flag
									    WHEN job_status_type NOT IN (3,6)
									      THEN no_flag
                                          ELSE yes_flag
                                        END ontrack,
									    CASE
                                          WHEN (job_start_delay        &gt; 0 AND job_status_type IN (1))
                                           OR  (job_finish_delay         &gt; 0 AND job_status_type IN (3,6))
                                           OR  (operation_delay_duration &gt; 0 AND job_status_type IN (3,6))
                                          THEN yes_flag
                                          ELSE no_flag
                                        END delayed,
									    CASE
                                          WHEN (job_start_delay        &gt; 0 AND job_status_type IN (1))
                                           OR (job_finish_delay         &gt; 0 AND job_status_type IN (3,6))
                                           OR (operation_delay_duration &gt; 0 AND job_status_type IN (3,6))
                                          THEN 1
                                          ELSE 0
                                        END delayed_flag,
									    CASE
                                          WHEN job_status_type IN (3,6)
                                          THEN 1
                                          ELSE 0
                                        END inprogress,
                                        CASE
                                          WHEN NVL(TO_NUMBER(SUBSTR(rework_quantity,1,INSTR(rework_quantity,'-A')-1)),0) &gt; job_start_quantity
                                          THEN job_start_quantity
                                        ELSE  NVL(TO_NUMBER(SUBSTR(rework_quantity,1,INSTR(rework_quantity,'-A')-1)),0) END cal_rework_quantity,
                                        NVL(TO_NUMBER(SUBSTR(rework_quantity,INSTR(rework_quantity,'-A') +2,INSTR(rework_quantity,'-B',-1)-INSTR(rework_quantity,'-A')-2)),0)cal_scrap_quantity,
                                        NVL(TO_NUMBER(SUBSTR(rework_quantity,INSTR(rework_quantity,'-B') +2,INSTR(rework_quantity,'-C',-1)-INSTR(rework_quantity,'-B')-2)),0)cal_rejected_quantity,
                                        NVL(TO_NUMBER(SUBSTR(rework_quantity,INSTR(rework_quantity,'-C') +2,LENGTH(rework_quantity))),0)cal_completed_quantity
                                      FROM
                                        (SELECT
                                          TO_CHAR (wdj.wip_entity_id
                                          ||'-'
                                          ||wdj.organization_id
									      ||'-'
                                          ||mr.supply_source_header_id
                                          ||'-'
                                          ||ool1.line_id
                                          ||'-JOB') ecc_spec_id,
                                          wdj.organization_id organization_id , wdj.row_id,
                                          yeslk.meaning yes_flag,
                                          nolk.meaning no_flag,
                                          wdj.organization_code organization_code ,
                                          wdj.NAME organization_name ,
                                          WIP_ECC_UTIL_PVT.get_currency_code(wdj.organization_id) organization_currency ,
                                          SYSDATE loaded_date ,
                                          wdj.wip_entity_id job ,
									     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           )  osp_operation_cnt,
                                          wdj.job_name job_name ,
                                          wdj.job_description job_description ,
                                          WIP_ECC_UTIL_PVT.get_concatenated_segments(wdj.organization_id,wdj.primary_item_id) assembly ,
                                          WIP_ECC_UTIL_PVT.get_primary_uom_code(wdj.organization_id,wdj.primary_item_id) assembly_uom ,
                                          WIP_ECC_UTIL_PVT.get_description(wdj.organization_id,wdj.primary_item_id)  assembly_description ,
									      WIP_ECC_UTIL_PVT.get_planner(wdj.organization_id,wdj.primary_item_id)  Planner,
                                          status_lkp.meaning job_status,
                                          status_lkp.language language,
                                          wdj.status_type job_status_type ,
                                          wdj.start_quantity job_start_quantity ,
                                          wdj.quantity_scrapped scrap_quantity ,
                                          wdj.quantity_completed completed_quantity ,
                                          wdj.date_released release_date ,
                                          wdj.date_completed actual_completion_date ,
                                          wdj.creation_date job_creation_date ,
                                          (wdj.start_quantity - NVL(wdj.quantity_completed,0) ) open_quantity ,
									      (SELECT SUM(quantity_rejected) FROM wip_operations  wo
                                                 WHERE wo.wip_entity_id = wdj.wip_entity_id) Reject_quantity,
                                          type_lkp.meaning job_type ,
                                          wdj.class_code job_class ,
                                          wdj.net_quantity net_quantity ,
                                          wdj.date_closed close_date ,
                                          wdj.build_sequence build_sequence ,
                                          DECODE(wdj.expedited,'Y',yeslk.meaning,nolk.meaning) expedited_flag,
                                          (SELECT msi6.concatenated_segments
                                          FROM mtl_system_items_vl msi6
                                          WHERE msi6.inventory_item_id = WIP_ECC_UTIL_PVT.get_base_item_id(wdj.organization_id,wdj.primary_item_id)
                                          AND msi6.organization_id     = wdj.organization_id
                                          ) base_assembly,
                                          DECODE(wdj.routing_reference_id,NULL,WIP_ECC_UTIL_PVT.get_fixed_lead_time(wdj.organization_id,wdj.primary_item_id) ,WIP_ECC_UTIL_PVT.get_fixed_lead_time(wdj.organization_id,wdj.routing_reference_id)) assembly_fixed_lead_time,
                                          DECODE(wdj.routing_reference_id,NULL,WIP_ECC_UTIL_PVT.get_variable_lead_time(wdj.organization_id,wdj.primary_item_id),WIP_ECC_UTIL_PVT.get_variable_lead_time(wdj.organization_id,wdj.routing_reference_id)) assembly_var_lead_time,
                                          NVL(DECODE(wdj.routing_reference_id,NULL,WIP_ECC_UTIL_PVT.get_fixed_lead_time(wdj.organization_id,wdj.primary_item_id),WIP_ECC_UTIL_PVT.get_fixed_lead_time(wdj.organization_id,wdj.routing_reference_id)),0) + (NVL(DECODE(wdj.routing_reference_id,NULL,WIP_ECC_UTIL_PVT.get_variable_lead_time(wdj.organization_id,wdj.primary_item_id),WIP_ECC_UTIL_PVT.get_variable_lead_time(wdj.organization_id,wdj.routing_reference_id)),0)*wdj.start_quantity) assembly_total_lead_time,
                                          DECODE(wdj.wip_entity_id,xref.wip_entity_id,1,2) repair_order_flag ,
									      DECODE(wdj.wip_entity_id,xref.wip_entity_id,yeslk.meaning,nolk.meaning) repair_order,
                                          xref.repair_line_id repair_line_id ,
                                          rep.repair_number repair_number,
                                          WIP_ECC_UTIL_PVT.get_description(wdj.organization_id,wdj.primary_item_id) job_assembly_description ,
                                          NVL(
                                          (SELECT schedule_group_name
                                          FROM wip_schedule_groups
                                          WHERE schedule_group_id= wdj.schedule_group_id
                                          ) ,nonelk.meaning ) schedule_group_name ,
                                          (SELECT schedule_group_name
                                          FROM wip_schedule_groups
                                          WHERE schedule_group_id= wdj.schedule_group_id
                                          )  schedule_group_name_tbl ,
                                          (SELECT MAX(SUM(
                                            CASE
                                              WHEN wmt.fm_operation_seq_num        = wmt.to_operation_seq_num
                                              AND wmt.to_intraoperation_step_type  &lt; wmt.fm_intraoperation_step_type
                                              AND wmt.to_intraoperation_step_type IN (1,2)
                                              THEN wmt.primary_quantity
                                              WHEN wmt.fm_operation_seq_num &lt;&gt; wmt.to_operation_seq_num
                                              AND wmt.to_operation_seq_num   &lt; wmt.fm_operation_seq_num
                                              THEN
                                                CASE
                                                  WHEN wo.operation_seq_num            = wmt.to_operation_seq_num
                                                  AND wmt.to_intraoperation_step_type IN (1,2)
                                                  THEN wmt.primary_quantity
                                                  WHEN wo.operation_seq_num            = wmt.fm_operation_seq_num
                                                  AND wmt.fm_intraoperation_step_type &lt;&gt; 1
                                                  THEN wmt.primary_quantity
                                                  WHEN wo.operation_seq_num &lt;&gt; wmt.fm_operation_seq_num
                                                  OR wo.operation_seq_num   &lt;&gt; wmt.to_operation_seq_num
                                                  THEN wmt.primary_quantity
                                                  ELSE 0
                                                END
                                              ELSE 0
                                            END))
                                            ||'-A'
                                            ||SUM(MAX(wo.quantity_scrapped))
                                            ||'-B'
                                            || SUM(MAX(wo.quantity_rejected))
                                            ||'-C'
                                            || MAX(MAX(wo.quantity_completed))
                                          FROM wip_move_transactions WMT,
                                            Wip_Operations Wo
                                          WHERE 1                =1
                                          AND wo.organization_id = wmt.organization_id
                                          AND wo.wip_entity_id   = wmt.wip_entity_id
                                          AND ((wo.operation_seq_num BETWEEN wmt.fm_operation_seq_num AND wmt.to_operation_seq_num)
                                          OR ( wo.operation_seq_num BETWEEN wmt.to_operation_seq_num AND wmt.fm_operation_seq_num) )
                                          AND wo.wip_entity_id = wdj.wip_entity_id
                                          GROUP BY wo.wip_entity_id,
                                            wo.organization_id,
                                            wo.operation_seq_num
                                          ) rework_quantity,
                                          (SELECT SUM(wo.quantity_rejected)
                                          FROM wip_operations wo
                                          WHERE wo.wip_entity_id = wdj.wip_entity_id
                                          ) cumulative_reject,
                                          CASE
                                            WHEN NVL(TRUNC(wdj.actual_start_date),TRUNC(wdj.date_released)) = TRUNC(SYSDATE)
                                            AND wdj.status_type                                            &lt;&gt; 1
                                            THEN 1
                                            ELSE 0
                                          END started_today_flag,
                                          CASE
                                            WHEN wdj.scheduled_start_date                     &lt; SYSDATE
                                            AND (NVL(wdj.actual_start_date,wdj.date_released) &gt; wdj.scheduled_start_date)
                                            THEN 1
                                            ELSE 0
                                          END started_late_flag,
                                          CASE
                                            WHEN wdj.status_type  = 3
                                            AND wdj.date_released &gt; wdj.scheduled_start_date
                                            THEN 1
                                            ELSE 0
                                          END release_delay_flag,
                                          CASE
                                            WHEN TRUNC(wdj.date_completed) = TRUNC(SYSDATE)
                                            THEN 1
                                            ELSE 0
                                          END completed_today_flag,
                                          CASE
                                            WHEN TRUNC(wdj.date_completed) = TRUNC(SYSDATE-1)
                                            THEN 1
                                            ELSE 0
                                          END completed_yesterday_flag,
                                          CASE
                                            WHEN TRUNC(wdj.scheduled_start_date) = TRUNC(SYSDATE+1)
                                            THEN 1
                                            ELSE 0
                                          END starting_tomorrow_flag,
                                          CASE
                                            WHEN TRUNC(wdj.scheduled_completion_date) = TRUNC(SYSDATE+1)
                                            THEN 1
                                            ELSE 0
                                          END completing_tomorrow_flag,
                                          CASE
                                            WHEN wdj.status_type = 6
                                            THEN 1
                                            ELSE 0
                                          END on_hold_flag,
                                          CASE
                                            WHEN wdj.status_type         IN( 1,3)
                                            AND wdj.scheduled_start_date  &lt; SYSDATE
                                            THEN CASE WHEN (SYSDATE - (wdj.scheduled_start_date )) &gt; 0
									                  THEN (SYSDATE - (wdj.scheduled_start_date ))* 24  ELSE 0 END
                                 </t>
  </si>
  <si>
    <t>wip-compdetails</t>
  </si>
  <si>
    <t>Components</t>
  </si>
  <si>
    <t xml:space="preserve">SELECT * FROM (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('BOM_BASIS_TYPE','WIP_JOB_STATUS','WIP_SUPPLY','WIP_SERIAL_YIELD')
                                          AND view_application_id = 700
                                          AND security_group_id   = 0
                                          ) SELECT src.*,
	                                     CASE WHEN status_type   IN (3,4,6) THEN
                                         CASE WHEN onhand_quantity_actual &gt; open_quantity
                                           THEN 0
                                           ELSE open_quantity - onhand_quantity_actual
                                         END  END  shortage_quantity,
                                         (CASE WHEN status_type   IN (3,4,6) THEN
										   CASE WHEN onhand_quantity_actual &gt; open_quantity
                                           THEN 0
                                           ELSE open_quantity - onhand_quantity_actual
                                         END END )*-1 shortage_quantity_tbl FROM (SELECT src.*,
                                           CASE WHEN status_type   IN (3,4,6) THEN
										   CASE WHEN (src.onhand_quantity - NVL(lag(open_qty_sum) over (partition BY inventory_item_id, organization_id order by component_date_required, job),0)) &lt; 0
                                             THEN 0
                                             ELSE src.onhand_quantity - NVL(lag(open_qty_sum) over (partition BY inventory_item_id, organization_id order by component_date_required, job),0)
                                           END END onhand_quantity_actual
                                         FROM
                                         (select src.*,
                                       CASE WHEN status_type   IN (3,4,6)	 THEN
                                             NVL(src.required_quantity,0) - NVL(src.issued_quantity,0)
	                                   /* CASE WHEN  src.scheduled_quantity                                                                    -src.cumulative_scrap_quantity IS NULL
                                               THEN DECODE(NVL(src.required_quantity,0),0,0,NVL(src.required_quantity,0)                     - NVL(src.issued_quantity,0))
                                               ELSE DECODE(NVL(src.required_quantity,0),0,0,((DECODE(src.basis_type,2,1,src.scheduled_quantity-src.cumulative_scrap_quantity))* NVL(src.quantity_per_assembly,0)) - NVL(src.issued_quantity,0))
                                             END */ END open_quantity,
                                             (SUM( CASE WHEN status_type   IN (3,4,6) THEN
                                                 CASE WHEN NVL(src.required_quantity,0) - NVL(src.issued_quantity,0) &lt; 0
                                                 THEN 0
                                                 ELSE NVL(src.required_quantity,0) - NVL(src.issued_quantity,0)
                                                 END
                                             /* CASE WHEN src.scheduled_quantity   -src.cumulative_scrap_quantity IS NULL
                                               THEN DECODE(NVL(src.required_quantity,0),0,0,NVL(src.required_quantity,0)                      - NVL(src.issued_quantity,0))
                                               ELSE DECODE(NVL(src.required_quantity,0),0,0,((DECODE(src.basis_type,2,1,src.scheduled_quantity -src.cumulative_scrap_quantity))* NVL(src.quantity_per_assembly,0)) - NVL(src.issued_quantity,0))
                                             END */ END ) over (partition BY src.inventory_item_id, src.organization_id order by src.component_date_required, src.rid)) open_qty_sum,
                                             NVL(WIP_ECC_UTIL_PVT.get_qty_onhand(organization_id,inventory_item_id,NULL,NULL),0)  onhand_quantity,
                                            NVL(WIP_ECC_UTIL_PVT.get_qty_onhand(organization_id,substitute_component_id,NULL,NULL),0) substitute_comp_onhand
                                      from (select * from (SELECT TO_CHAR (wdj.wip_entity_id
                                       ||'-'
                                       ||wro.operation_seq_num
                                       ||'-'
                                       ||wro.inventory_item_id
                                       ||'-'
                                       ||wdj.organization_id
                                       ||'-COMP') ecc_spec_id,
                                       wro.wip_entity_id JOB,
                                       wro.inventory_item_id,
									   wo.first_unit_start_date planned_start_date ,
                                       wo.last_unit_completion_date Planned_completion_date ,
                                       we.wip_entity_name job_name ,
                                       WIP_ECC_UTIL_PVT.get_concatenated_segments(wdj.organization_id,wdj.primary_item_id) assembly,
                                       WIP_ECC_UTIL_PVT.get_description(wdj.organization_id,wdj.primary_item_id) assembly_description,
                                       wdj.organization_id organization_id ,
                                       mp.organization_code organization_code ,
                                       haout.NAME organization_name ,
                                       wdj.status_type,
                                       status_lkp.meaning job_status,
                                       wro.operation_seq_num operation_sequence_number,
                                       (SELECT bso.operation_code
                                       FROM bom_standard_operations bso,
                                         wip_operations wo
                                       WHERE wo.wip_entity_id        =wdj.wip_entity_id
                                       AND wo.operation_seq_num      = wro.operation_seq_num
                                       AND wo.standard_operation_id  = bso.standard_operation_id(+)
                                       AND NVL(bso.operation_type,1) = 1
                                       AND bso.line_id              IS NULL
                                       ) operation_code,
                                       msi2.concatenated_segments component,
                                       msi2.description component_description,
                                       msi2.primary_uom_code component_uom,
                                       NVL(
                                       (SELECT MAX(
                                         CASE
                                           WHEN autocharge_type IN(3,4)
                                           THEN 1
                                           ELSE 2
                                         END)
                                       FROM wip_operation_resources wor
                                       WHERE wro.wip_entity_id   = wor.wip_entity_id
                                       AND wro.operation_seq_num = wor.operation_seq_num
                                       AND wro.organization_id   = wor.organization_id
                                       ),2) osp_operation_flag,
                                       (SELECT m_cat.concatenated_segments
                                       FROM mtl_item_catalog_groups_b_kfv m_cat
                                       WHERE m_cat.item_catalog_group_id = msi2.item_catalog_group_id
                                       ) component_category,
                                       wro.quantity_per_assembly quantity_per_assembly ,
                                       NVL(wro.quantity_allocated,0) quantity_allocated,
                                       supply_type_lkp.meaning component_wip_supply_type ,
                                       haout.language Language,
                                       wro.supply_subinventory component_supply_subinventory ,
                                       (SELECT milk2.concatenated_segments
                                       FROM mtl_item_locations_kfv milk2
                                       WHERE milk2.inventory_location_id = wro.supply_locator_id
                                       ) component_supply_locator ,
                                       TO_CHAR(wro.comments) component_comments ,
                                       wro.date_required component_date_required ,
                                       basis_type_lkp.meaning component_basis_type,
                                       wro.required_quantity required_quantity ,
                                       wro.quantity_issued issued_quantity ,
                                       bsc.substitute_components substitute_component,
                                       bsc.substitute_comp_uom substitute_component_uom,
                                       bsc.substitute_description substitute_description,
                                       bsc.inventory_item_id substitute_component_id,
                                       CASE
                                         WHEN wdj.status_type                                                                                                                     IN (3,4,6)
                                         AND ( (wro.quantity_per_assembly * (DECODE(wro.basis_type,2,1,NVL((wo.quantity_completed ), wdj.quantity_completed)))                    &gt; wro.quantity_issued
                                         AND wro.wip_supply_type                                                                                                                  &lt;&gt; 1
                                         AND wro.quantity_per_assembly                                                                                                            &gt;= 0)
                                         OR (wro.quantity_per_assembly * (DECODE(wro.basis_type,2,1,NVL((wo.quantity_running + wo.quantity_in_queue ), wdj.quantity_completed))) &gt; wro.quantity_issued
                                         AND wro.wip_supply_type                                                                                                                   = 1
                                         AND wro.quantity_per_assembly                                                                                                            &gt;= 0) )
                                         THEN 1
                                         ELSE 0
                                       END pending_material_issue,
                                       wo.scheduled_quantity ,
                                        wo.cumulative_scrap_quantity,
                                       wro.basis_type,
                                       wro.rowid rid
                                     FROM
	                                   wip_requirement_operations wro,
                                       wip_operations wo,
                                       wip_discrete_jobs wdj,
                                       wip_entities we,
                                       mtl_parameters mp,
                                       hr_all_organization_units_tl haout,
                                       mtl_system_items_vl msi2,
                                       (SELECT
                                         meaning,
                                         lookup_code,
                                         language
                                       FROM lookup_details supptype
                                       WHERE supptype.lookup_type       = 'WIP_SUPPLY'
                                       AND supptype.view_application_id = 700
                                       AND supptype.security_group_id   = 0
                                       ) supply_type_lkp,
                                       (SELECT
                                         ml1.meaning,
                                         ml1.lookup_code,
                                         ml1.language
                                       FROM lookup_details ml1
                                       WHERE ml1.lookup_type       = 'WIP_JOB_STATUS'
                                       AND ml1.view_application_id = 700
                                       AND ml1.security_group_id   = 0
                                       ) status_lkp,
                                       (SELECT
                                         basistype.meaning,
                                         basistype.lookup_code,
                                         basistype.language
                                       FROM lookup_details basistype
                                       WHERE basistype.lookup_type       = 'BOM_BASIS_TYPE'
                                       AND basistype.view_application_id = 700
                                       AND basistype.security_group_id   = 0
                                       ) basis_type_lkp,
                                       (SELECT DISTINCT wro2.component_sequence_id ,
                                         bsc.concatenated_segments substitute_components,
                                         bsc.description substitute_description,
                                         bsc.inventory_item_id,
                                         bsc.primary_uom_code substitute_comp_uom
                                       FROM wip_requirement_operations wro2,
                                         (SELECT bsc1.component_sequence_id,
                                           msi7.inventory_item_id,
                                           msi7.organization_id,
                                           msi7.concatenated_segments concatenated_segments,
                                           msi7.description,
                                           msi7.primary_uom_code
                                         FROM bom_substitute_components bsc1,
                                           mtl_system_items_kfv msi7
                                         WHERE bsc1.substitute_component_id = msi7.inventory_item_id
                                         ) bsc
                                       WHERE wro2.component_sequence_id IS NOT NULL
                                       AND wro2.component_sequence_id    = bsc.component_sequence_id
                                       AND bsc.organization_id           = wro2.organization_id
                                       ) bsc
                                     WHERE we.wip_entity_id                                       = wdj.wip_entity_id
                                     AND wdj.wip_entity_id                                        = wro.wip_entity_id
                                     AND mp.organization_id                                       = we.organization_id
                                     AND haout.organization_id                                    = mp.organization_id
                                     AND wdj.wip_entity_id                                         = wo.wip_entity_id
                                     and wdj.organization_id = wo .organization_id
                                     AND wo.operation_seq_num(+) = wro.operation_seq_num
                                     AND wo.wip_entity_id(+) = wro.wip_entity_id
                                     AND wo.organization_id(+) = wro.organization_id
                                     AND msi2.inventory_item_id                                   = wro.inventory_item_id
                                     AND msi2.organization_id                                     = wro.organization_id
                                     AND wdj.status_type                                          = status_lkp.lookup_code(+)
                                     AND wro.component_sequence_id                                = bsc.component_sequence_id(+)
                                     AND wro.wip_supply_type                                      = supply_type_lkp.lookup_code(+)
                                     AND TO_CHAR(NVL(wro.basis_type,1))                           = basis_type_lkp.lookup_code(+)
                                     AND haout.language                                = NVL(basis_type_lkp.language,haout.language)
                                     AND haout.language                                = NVL(supply_type_lkp.language,haout.language)
                                     AND haout.language                                = NVL(status_lkp.language,haout.language)
                                     AND wdj.status_type                                         IN (1,3,4,5,6,7,12,14,15)
                                     AND we.entity_type                                          IN (1,3) AND (NVL(wdj.date_completed,wdj.scheduled_completion_date) &gt;= SYSDATE - 30
                                          OR wdj.status_type  IN (3,6)
                                          OR (wdj.status_type  = 1
                                          AND wdj.scheduled_start_date  &lt;= SYSDATE + 7 ))  ) WHERE LANGUAGE IN ('US')) PIVOT ( MAX(COMPONENT_WIP_SUPPLY_TYPE) AS 
		COMPONENT_WIP_SUPPLY_TYPE ,MAX(COMPONENT_BASIS_TYPE) AS COMPONENT_BASIS_TYPE,MAX(ORGANIZATION_NAME) AS ORGANIZATION_NAME,  MAX(JOB_STATUS) AS JOB_STATUS   FOR LANGUAGE IN ('US' "US")) src )src) src) </t>
  </si>
  <si>
    <t>There are 215 documents processed successfully and 0 documents failed to be processed.</t>
  </si>
  <si>
    <t>215</t>
  </si>
  <si>
    <t>wip-ospdetails</t>
  </si>
  <si>
    <t>Resources</t>
  </si>
  <si>
    <t xml:space="preserve">SELECT * FROM (SELECT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('WIP_PURGE_REPORT_TYPE','SYS_YES_NO','BOM_RESOURCE_SCHEDULE_TYPE','BOM_RESOURCE_TYPE','CST_BASIS','BOM_AUTOCHARGE_TYPE','WIP_JOB_STATUS')
                                          AND view_application_id = 700
                                          AND security_group_id   = 0
                                          ) SELECT TO_CHAR (wdj.wip_entity_id
                                        ||'-'
                                        ||wo.operation_seq_num
                                        ||'-'
                                        ||br.resource_code
										||'-'
										||wor.replacement_group_num
                                        ||'-'
                                        ||wdj.organization_id
                                        ||'-'
                                        ||wip_osp.rec_key
                                        ||'-OSP') Ecc_Spec_Id,
                                        TO_CHAR (wdj.wip_entity_id
                                        ||'-'
                                        ||wo.operation_seq_num
                                        ||'-'
                                        ||wdj.organization_id
                                        ||'-OP') ecc_op_spec_id,
                                        (wdj.wip_entity_id
                                        ||'-'
                                        ||wo.operation_seq_num
                                        ||'-'
                                        ||br.resource_code
                                        ||'-'
                                        ||wdj.organization_id
                                        ||'-RSC') Ecc_rsc_Spec_Id,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wdj.organization_id organization_id ,
										mp.organization_code organization_code ,
                                        haout.name organization_name ,
										bso.operation_code,
										0 projected_available_quantity,
										to_char(decode(wor.standard_rate_flag,1,yeslk.meaning,nolk.meaning)) Standard_rate,
                                        0 shortage_quantity,
										wor.replacement_group_num replacement_group_num,
										wor.substitute_group_num substitute_group_num,
										ca.activity activity,
                                        wo.operation_seq_num operation_sequence_number,
                                        bd.description department_description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Quantity_in_to_move ,
                                        to_number(NVL(wo.quantity_scrapped,0)) Scrap_quantity ,
                                        to_number(NVL(wo.quantity_rejected,0)) Rejected_Quantity ,
                                        NVL(wo.quantity_completed,0) Completed_quantity ,
                                        wo.description Operation_Description ,
                                        wo.progress_percentage Operation_progress ,
                                        bd.department_code Department,
                                        br.resource_code resource_code ,
                                        br.description resource_description ,
                                        wor.usage_rate_or_amount resource_usage_rate ,
                                        wor.uom_code resource_uom ,
                                        ROUND(wor.usage_rate_or_amount*DECODE(wor.basis_type, 1,wdj.start_quantity-NVL(wo.cumulative_scrap_quantity,0),1),6) resource_required_units ,
                                        wor.applied_resource_units resource_applied_units ,
                                        (SELECT pap.full_name
                                        FROM per_all_people_f pap
                                        WHERE pap.person_id = wo.employee_id
                                        AND ROWNUM          = 1
                                        ) clock_in_employee,
                                        restype.language language,
                                        restype.meaning resource_type ,
                                        resbasis.meaning resource_basis_type,
                                        ROUND((wor.usage_rate_or_amount *DECODE(wor.basis_type,1, wdj.start_quantity-NVL(wo.cumulative_scrap_quantity,0),1))-wor.applied_resource_units,6) resource_open_qty ,
                                        ROUND(wor.assigned_units,6) resource_assigned_units ,
                                        wor.start_date resource_start_date ,
                                        wor.completion_date resource_completion_date ,
                                        null resource_alternate ,
                                        wor.resource_seq_num resource_sequence_number ,
                                        wor.schedule_seq_num scheduled_sequence_number ,
                                        wor.actual_start_date Rsr_actual_start_date ,
                                        wor.actual_completion_date Rsr_actual_completion_date ,
                                        TO_CHAR(DECODE(wor.autocharge_type,1,Yeslk.meaning,Nolk.meaning)) auto_charge_flag ,
                                        TO_CHAR(DECODE(wor.phantom_flag,1,Yeslk.meaning,Nolk.meaning)) phantom_flag ,
                                        wor.batch_id operation_resource_batch ,
                                        ressch.meaning scheduled_flag ,
                                        reschg.meaning charge_type ,
                                        DECODE(bdr.utilization,NULL,100,bdr.utilization*100) utilization ,
                                        DECODE(bdr.efficiency,NULL,100,bdr.efficiency  *100) efficiency ,
                                        NVL(wip_osp.vendor_name,nonelk.meaning) supplier ,
										wip_osp.vendor_name supplier_tbl ,
                                        wip_osp.approval_status_code purchase_order_status ,
                                        wip_osp.po_number purchase_order_number ,
                                        wip_osp.req_number requisition_number ,
                                        wip_osp.line_number line_number ,
                                        DECODE(wip_osp.cancel_flag,'Y',1,2) cancel_flag ,
                                        wip_osp.old_need_by_date need_by_date ,
                                        wip_osp.old_promised_date promise_date ,
                                        wip_osp.assembly_qty_pending pending_quantity ,
                                        wip_osp.assembly_primary_uom po_line_uom ,
                                        wip_osp.osp_res_po_line_item line_item,
                                        CASE
                                        WHEN wip_osp.po_number IS NULL
                                        AND wip_osp.req_number IS NULL
                                        THEN 2
                                        ELSE 1
                                        END osp_operation_flag,
										CASE
                                        WHEN wip_osp.po_number IS NULL
                                        AND wip_osp.req_number IS NULL
                                        THEN nolk.meaning
                                        ELSE Yeslk.meaning
                                        END osp_operation,
                                        CASE WHEN TRUNC(wo.first_unit_start_date) = TRUNC(SYSDATE) THEN 1 ELSE 0 END starting_today,
                                        CASE WHEN TRUNC(wo.last_unit_completion_date) = TRUNC(SYSDATE) THEN 1 ELSE 0 END  Completing_Today,
                                        CASE WHEN TRUNC(wo.first_unit_start_date) = TRUNC(SYSDATE+1) THEN 1 ELSE 0 END starting_tomorrow,
                                        CASE WHEN TRUNC(wo.last_unit_completion_date) = TRUNC(SYSDATE+1) THEN 1 ELSE 0 END  Completing_Tomorrow,
                                        (wo.first_unit_start_date      -SYSDATE) starting_by,
                                        (wo.last_unit_completion_date - SYSDATE ) finishing_by,
                                        CASE
                                           WHEN wo.actual_completion_date IS NOT NULL
                                           AND wo.actual_completion_date   &gt; (wo.last_unit_completion_date )
                                           THEN CASE WHEN (wo.actual_completion_date - (wo.last_unit_completion_date )) &gt; 0
										             THEN (wo.actual_completion_date - (wo.last_unit_completion_date ))  ELSE 0 END
                                           WHEN wo.actual_completion_date    IS NULL
                                           AND (wo.last_unit_completion_date ) &lt; sysdate
                                           AND (wo.quantity_in_queue          &gt; 0
                                           OR wo.quantity_running             &gt; 0)
                                           THEN CASE WHEN (sysdate-(wo.last_unit_completion_date )) &gt; 0
										             THEN (sysdate-(wo.last_unit_completion_date )) ELSE 0 END
                                           WHEN wo.actual_start_date IS NOT NULL
                                           AND wo.actual_start_date   &gt; (wo.first_unit_start_date )
                                           THEN CASE WHEN (wo.actual_start_date-(wo.first_unit_start_date )) &gt; 0
										             THEN (wo.actual_start_date-(wo.first_unit_start_date )) ELSE 0 END
                                           WHEN wo.actual_start_date       IS NULL
                                           AND (wo.first_unit_start_date )   &lt; sysdate
                                           AND NVL(wo.quantity_in_queue,0)  = 0
                                           AND NVL(wo.quantity_running,0)   = 0
                                           AND NVL(wo.quantity_completed,0) = 0
                                           THEN CASE WHEN (sysdate-(wo.first_unit_start_date )) &gt; 0
										        THEN (sysdate-(wo.first_unit_start_date )) ELSE 0 END
                                           ELSE 0
                                        END operation_delay_duration,
                                        CASE
                                           WHEN wo.actual_completion_date IS NOT NULL
                                           AND wo.actual_completion_date   &gt; (wo.last_unit_completion_date )
                                           THEN CASE WHEN (wo.actual_completion_date - (wo.last_unit_completion_date )) &gt; 0
										             THEN 1 ELSE 0 END
                                           WHEN wo.actual_completion_date    IS NULL
                                           AND (wo.last_unit_completion_date ) &lt; sysdate
                                           AND (wo.quantity_in_queue          &gt; 0
                                           OR wo.quantity_running             &gt; 0)
                                           THEN CASE WHEN (sysdate-(wo.last_unit_completion_date )) &gt; 0
										             THEN 1 ELSE 0 END
                                           WHEN wo.actual_start_date IS NOT NULL
                                           AND wo.actual_start_date   &gt; (wo.first_unit_start_date )
                                           THEN CASE WHEN (wo.actual_start_date-(wo.first_unit_start_date )) &gt; 0
										             THEN 1 ELSE 0 END
                                           WHEN wo.actual_start_date       IS NULL
                                           AND (wo.first_unit_start_date )   &lt; sysdate
                                           AND NVL(wo.quantity_in_queue,0)  = 0
                                           AND NVL(wo.quantity_running,0)   = 0
                                           AND NVL(wo.quantity_completed,0) = 0
                                           THEN CASE WHEN (sysdate-(wo.first_unit_start_date )) &gt; 0
										        THEN 1 ELSE 0 END
                                           ELSE 0
                                        END  operation_delayed,
										 status_lkp.meaning job_status
                                        FROM wip_entities we,
                                        wip_discrete_jobs wdj,
                                        bom_resources br,
                                        wip_operations wo,
                                        wip_operation_resources wor,
                                        bom_department_resources bdr,
										cst_activities ca,
										mtl_parameters mp,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										(SELECT
                                        /*+ RESULT_CACHE */
                                        yeslk.meaning,
                                        yeslk.language,
                                        yeslk.lookup_code
                                        FROM lookup_details yeslk
                                        WHERE yeslk.lookup_type       = 'SYS_YES_NO'
                                        AND yeslk.view_application_id = 700
										AND yeslk.lookup_code         = '1'
                                        AND yeslk.security_group_id   = 0
                                        ) yeslk,
										(SELECT
                                        /*+ RESULT_CACHE */
                                        nonelk.meaning,
                                        nonelk.language,
                                        nonelk.lookup_code
                                        FROM lookup_details nonelk
                                        WHERE nonelk.lookup_type       = 'WIP_PURGE_REPORT_TYPE'
                                        AND nonelk.view_application_id = 700
                                        AND nonelk.lookup_code         = '4'
                                        AND nonelk.security_group_id   = 0
                                        ) nonelk,
										(SELECT
                                        /*+ RESULT_CACHE */
                                        nolk.meaning,
                                        nolk.language,
                                        nolk.lookup_code
                                        FROM lookup_details nolk
                                        WHERE nolk.lookup_type       = 'SYS_YES_NO'
                                        AND nolk.view_application_id = 700
										AND nolk.lookup_code         = '2'
                                        AND nolk.security_group_id   = 0
                                        ) nolk,
                                        hr_all_organization_units_tl haout,
                                        (SELECT
                                        /*+ RESULT_CACHE */
                                        restype.meaning,
                                        restype.language,
                                        restype.lookup_code
                                        FROM lookup_details restype
                                        WHERE restype.lookup_type       = 'BOM_RESOURCE_TYPE'
                                        AND restype.view_application_id = 700
                                        AND restype.security_group_id   = 0
                                        )restype,
                                        (SELECT
                                        /*+ RESULT_CACHE */
                                        resbasis.meaning,
                                        resbasis.language,
                                        resbasis.lookup_code
                                        FROM lookup_details resbasis
                                        WHERE resbasis.lookup_type       = 'CST_BASIS'
                                        AND resbasis.view_application_id = 700
                                        AND resbasis.security_group_id   = 0
                                        )resbasis,
                                        (SELECT
                                        /*+ RESULT_CACHE */
                                        reschg.meaning,
                                        reschg.language ,
                                        reschg.lookup_code
                                        FROM lookup_details reschg
                                        WHERE reschg.lookup_type       = 'BOM_AUTOCHARGE_TYPE'
                                        AND reschg.view_application_id = 700
                                        AND reschg.security_group_id   = 0
                                        )reschg,
                                        (SELECT
                                        /*+ RESULT_CACHE */
                                        ressch.meaning,
                                        ressch.language,
                                        ressch.lookup_code
                                        FROM lookup_details ressch
                                        WHERE ressch.lookup_type       = 'BOM_RESOURCE_SCHEDULE_TYPE'
                                        AND ressch.view_application_id = 700
                                        AND ressch.security_group_id   = 0
                                        )ressch,
                                        (SELECT wip_osp1.rec_key,
										wip_osp1.approval_status_code,
                                        wip_osp1.po_number,
                                        wip_osp1.req_number,
                                        wip_osp1.cancel_flag,
                                        wip_osp1.old_need_by_date,
                                        wip_osp1.old_promised_date,
                                        wip_osp1.assembly_qty_pending,
										wip_osp1.quantity_ordered,
								        wip_osp1.quantity_delivered,
										wip_osp1.quantity_cancelled,
                                        wip_osp1.assembly_primary_uom,
                                        wip_osp1.organization_id,
                                        wip_osp1.wip_entity_id,
                                        wip_osp1.operation_seq_num,
                                        wip_osp1.vendor_name,
                                        wip_osp1.po_item_number osp_res_po_line_item,
                                        wip_osp1.line_number,
                                        wip_osp1.resource_seq_num
                                        FROM
                                        (SELECT
                                        /*+ leading(pd) index(pd PO_DISTRIBUTIONS_N8) */
                                        ph.segment1 po_number,
                                        ph.type_lookup_code po_req_type,
                                        ph.authorization_status approval_status_code,
                                        ps.need_by_date old_need_by_date,
                                        ps.promised_date old_promised_date,
                                        wip_osp.converttoprimarymoveqty(pl.item_id, pd.destination_organization_id, greatest(pd.quantity_ordered - NVL(pd.quantity_delivered, 0) - NVL(pd.quantity_cancelled, 0), 0), pl.unit_meas_lookup_code, WIP_ECC_UTIL_PVT.get_primary_uom_code(we.organization_id,we.primary_item_id),
                                        (SELECT wor.usage_rate_or_amount
                                        FROM wip_operation_resources wor
                                        WHERE wor.wip_entity_id                 = pd.wip_entity_id
                                        AND NVL(wor.repetitive_schedule_id, -1) = NVL(pd.wip_repetitive_schedule_id, -1)
                                        AND wor.operation_seq_num               = pd.wip_operation_seq_num
                                        AND wor.organization_id                 = pd.destination_organization_id
                                        AND wor.resource_seq_num                = pd.wip_resource_seq_num
                                        )) assembly_qty_pending,
										pd.quantity_ordered,
								        pd.quantity_delivered,
										pd.quantity_cancelled,
										pd.po_header_id ||'-'||pd.po_line_id rec_key,
                                        WIP_ECC_UTIL_PVT.get_primary_uom_code(we.organization_id,we.primary_item_id) assembly_primary_uom,
                                        pd.wip_entity_id wip_entity_id,
                                        pd.destination_organization_id organization_id,
                                        pd.wip_operation_seq_num operation_seq_num,
                                        pd.wip_resource_seq_num resource_seq_num,
                                        NULL req_number,
                                        ps.cancel_flag cancel_flag,
                                        pl.line_num line_number,
                                        po_v.vendor_name vendor_name,
                                       WIP_ECC_UTIL_PVT.get_concatenated_segments(pd.destination_organization_id,pl.item_id ) po_item_number
                                        FROM wip_entities we,
                                        wip_discrete_jobs wdj,
                                        po_distributions_all pd,
                                        po_line_locations_all ps,
                                        po_lines_all pl,
                                        po_headers_all ph,
                                        po_document_types_all_b pdt,
                                        ap_suppliers po_v
                                        WHERE pdt.document_type_code       = 'PO'
                                        AND ph.type_lookup_code            = 'STANDARD'
                                        AND ph.type_lookup_code            = pdt.document_subtype
                                        AND ph.org_id                      = pdt.org_id
                                        AND pd.po_header_id                = ph.po_header_id
                                        AND pd.po_line_id                  = pl.po_line_id
                                        AND pd.line_location_id            = ps.line_location_id
                                        AND pd.wip_entity_id               = we.wip_entity_id
                                        AND we.entity_type                IN (1,3)
                                        AND we.wip_entity_id               = wdj.wip_entity_id
                                        AND we.organization_id             = wdj.organization_id
                                        AND wdj.status_type               IN (1,3,4,5,6,7,12,14,15)
                                        AND ph.vendor_id                   = po_v.vendor_id(+)
                                        UNION ALL
                                        SELECT
                                        /*+ leading(pd) index(pd PO_DISTRIBUTIONS_N8) */
                                        ph.segment1
                                        ||'-'
                                        ||pr.release_num,
                                        ph.type_lookup_code,
                                        pr.authorization_status,
                                        ps.need_by_date,
                                        ps.promised_date,
                                        wip_osp.converttoprimarymoveqty(pl.item_id, pd.destination_organization_id, greatest(pd.quantity_ordered - NVL(pd.quantity_delivered, 0) -	NVL(pd.quantity_cancelled, 0),0), pl.unit_meas_lookup_code, WIP_ECC_UTIL_PVT.get_primary_uom_code(we.organization_id,we.primary_item_id),
                                        (SELECT wor.usage_rate_or_amount
                                        FROM wip_operation_resources wor
                                        WHERE wor.wip_entity_id                 = pd.wip_entity_id
                                        AND NVL(wor.repetitive_schedule_id, -1) = NVL(pd.wip_repetitive_schedule_id, -1)
                                        AND wor.operation_seq_num               = pd.wip_operation_seq_num
                                        AND wor.organization_id                 = pd.destination_organization_id
                                        AND wor.resource_seq_num                = pd.wip_resource_seq_num
                                        )),
										pd.quantity_ordered,
								        pd.quantity_delivered,
										pd.quantity_cancelled,
										pd.po_header_id ||'-'||pd.po_line_id|| '-'||pr.po_release_id  rec_key,
                                        WIP_ECC_UTIL_PVT.get_primary_uom_code(we.organization_id,we.primary_item_id),
                                        pd.wip_entity_id,
                                        pd.destination_organization_id,
                                        pd.wip_operation_seq_num,
                                        pd.wip_resource_seq_num,
                                        NULL,
                                        ps.cancel_flag,
                                        pl.line_num,
                                        po_v.vendor_name,
                                        WIP_ECC_UTIL_PVT.get_concatenated_segments(pd.destination_organization_id,pl.item_id )
                                        FROM wip_entities we,
                                        wip_discrete_jobs wdj,
                                        po_distributions_all pd,
                                        po_line_locations_all ps,
                                        po_lines_all pl,
                                        po_document_types_all_b pdt,
                                        po_headers_all ph,
                                        po_releases_all pr,
                                        ap_suppliers po_v
                                        WHERE pdt.document_type_code       = 'RELEASE'
                                        AND ph.type_lookup_code            = 'BLANKET'
                                        AND pr.release_type                = pdt.document_subtype
                                        AND pr.org_id                      = pdt.org_id
                                        AND pr.po_release_id               = ps.po_release_id
                                        AND pr.po_header_id                = ph.po_header_id
                                        AND pd.po_header_id                = ph.po_header_id
                                        AND pd.po_line_id                  = pl.po_line_id
                                        AND pd.line_location_id            = ps.line_location_id
                                        AND pd.wip_entity_id               = we.wip_entity_id
                                        AND we.entity_type                IN (1,3)
                                        AND we.wip_entity_id               = wdj.wip_entity_id
                                        AND we.organization_id             = wdj.organization_id
                                        AND wdj.status_type               IN (1,3,4,5,6,7,12,14,15)
                                        AND ph.vendor_id                   = po_v.vendor_id(+)
                                        UNION ALL
                                        SELECT
                                        /*+ leading (prl) index (prl PO_REQUISITION_LINES_N9) */
                                        NULL,
                                        'REQUISITION',
                                        prh.authorization_status,
                                        prl.need_by_date,
                                        to_date(NULL),
                                        wip_osp.converttoprimarymoveqty(prl.item_id, prl.destination_organization_id, prl.quantity, prl.unit_meas_lookup_code, WIP_ECC_UTIL_PVT.get_primary_uom_code(we.organization_id,we.primary_item_id),
                                        (SELECT wor.usage_rate_or_amount
                                        FROM wip_operation_resources wor
                                        WHERE wor.wip_entity_id                 = prl.wip_entity_id
                                        AND NVL(wor.repetitive_schedule_id, -1) = NVL(prl.wip_repetitive_schedule_id, -1)
                                        AND wor.operation_seq_num               = prl.wip_operation_seq_num
                                        AND wor.organization_id                 = prl.destination_organization_id
                                        AND wor.resource_seq_num                = prl.wip_resource_seq_num
                                        )),
										prl.quantity  quantity_ordered,
								        0 quantity_delivered,
										0 quantity_cancelled,
										prl.requisition_header_id ||'-'||prl.requisition_line_id rec_key,
                                        WIP_ECC_UTIL_PVT.get_primary_uom_code(we.organization_id,we.primary_item_id),
                                        prl.wip_entity_id,
                                        prl.destination_organization_id,
                                        prl.wip_operation_seq_num,
                                        prl.wip_resource_seq_num,
                                        prh.segment1,
                                        prl.cancel_flag ,
                                        prl.line_num,
                                        NVL(po_v.vendor_name,prl.suggested_vendor_name),
                                        WIP_ECC_UTIL_PVT.get_concatenated_segments(prl.destination_organization_id,prl.item_id )
                                        FROM wip_entities we,
                                        wip_discrete_jobs wdj,
                                        po_requisition_headers_all prh,
                                        po_requisition_lines_all prl,
                                        ap_suppliers po_v
                                        WHERE NOT EXISTS
                                        (SELECT 1
                                        FROM po_line_locations_all pll
                                        WHERE prl.line_location_id = pll.line_location_id
                                        )
                                        AND prl.requisition_header_id       = prh.requisition_header_id
                                        AND prl.wip_entity_id               = we.wip_entity_id
                                        AND we.entity_type                 IN (1,3)
                                        AND we.wip_entity_id                = wdj.wip_entity_id
                       </t>
  </si>
  <si>
    <t>wip-ospdetails2</t>
  </si>
  <si>
    <t>Outside Processing</t>
  </si>
  <si>
    <t xml:space="preserve"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('WIP_JOB_STATUS','WIP_OPERATION_STATUS','WIP_PURGE_REPORT_TYPE','SYS_YES_NO','BOM_RESOURCE_SCHEDULE_TYPE','BOM_RESOURCE_TYPE','CST_BASIS','BOM_AUTOCHARGE_TYPE')
                                          AND view_application_id = 700
                                          AND security_group_id   = 0
                                          )  SELECT  Ecc_Spec_Id,
                                         ecc_op_spec_id,
                                         Ecc_rsc_Spec_Id,
                                        job,
                                         job_name ,
										 job_scheduled_start_date,
									     job_scheduled_completion_date,
									     job_actual_completion_date,
										 job_status,
										assembly ,
										assembly_description,
                                         organization_id ,
										 organization_code ,
                                         organization_name ,
										 operation_code,
										 projected_available_quantity,
										 Standard_rate,
                                         shortage_quantity,
										 replacement_group_num,
										 substitute_group_num,
										 activity,
                                         operation_sequence_number,
                                         department_description ,
                                         planned_start_date ,
                                         Planned_completion_date ,
                                         actual_start_date ,
                                         actual_completion_date ,
                                         quantity_in_queue ,
                                         quantity_in_run ,
                                         Quantity_in_to_move ,
                                         Scrap_quantity ,
                                         Rejected_Quantity ,
                                         Completed_quantity ,
                                         Operation_Description ,
                                         Operation_progress ,
                                         Department,
                                         resource_code ,
                                         resource_description ,
                                         resource_usage_rate ,
                                         resource_uom ,
                                         resource_required_units ,
                                         resource_applied_units ,
                                         clock_in_employee,
                                         language,
                                         resource_type ,
                                         resource_basis_type,
                                         resource_open_qty ,
                                         resource_assigned_units ,
                                         resource_start_date ,
                                         resource_completion_date ,
                                         resource_alternate ,
                                         resource_sequence_number ,
                                         scheduled_sequence_number ,
                                         Rsr_actual_start_date ,
                                         Rsr_actual_completion_date ,
                                         auto_charge_flag ,
                                         phantom_flag ,
                                         operation_resource_batch ,
                                         scheduled_flag ,
                                         charge_type ,
                                         utilization ,
                                         efficiency ,
                                         supplier ,
										 supplier_tbl ,
                                         purchase_order_status ,
                                         purchase_order_number ,
                                         requisition_number ,
                                         line_number ,
                                         cancel_flag ,
                                         need_by_date ,
                                         promise_date ,
										 delayed_receipts,
                                         pending_quantity ,
										quantity_ordered,
								        quantity_delivered,
										quantity_cancelled,
                                         po_line_uom ,
                                         line_item,
                                         osp_operation,
                                        starting_today,
                                         Completing_Today,
                                         starting_tomorrow,
                                          Completing_Tomorrow,
                                         starting_by,
                                         finishing_by,
										 CASE WHEN job_status_type IN (3,6) THEN operation_start_delay ELSE 0 END operation_start_delay,
										 CASE WHEN job_status_type IN (3,6) THEN operation_completion_delay ELSE 0 END operation_completion_delay,
                                         CASE WHEN job_status_type IN (3,6) THEN operation_delay_duration ELSE 0 END operation_delay_duration,
                                         CASE WHEN job_status_type IN (3,6) THEN operation_delayed ELSE 0 END operation_delayed,
										 operation_status,
                                         op_status_flag,
										 CASE WHEN op_status_flag =1 AND job_status_type = 3
									     THEN 1 ELSE 0 END upcoming,
										CASE WHEN op_status_flag =1  AND job_status_type = 3 AND operation_start_delay &gt; 0    THEN 1   ELSE 0  END Start_delay_flag,
										CASE WHEN op_status_flag =1  AND job_status_type = 3 AND operation_start_delay &gt; 0    THEN 'YES'   ELSE 'NO'   END Start_delay,
										CASE WHEN (op_status_flag IN (2,3))  AND job_status_type = 3 AND operation_completion_delay &gt; 0    THEN 1   ELSE 0  END completion_delay_flag,
										CASE WHEN (op_status_flag IN (2,3))  AND job_status_type = 3 AND operation_completion_delay &gt; 0    THEN 1   ELSE 0   END Completion_delay,
										 CASE WHEN op_status_flag = 2 THEN 'YES' ELSE 'NO' END Open,
										 CASE WHEN op_status_flag =1 AND job_status_type = 3
									     THEN 'YES' ELSE 'NO' END upcoming_code,
										CASE WHEN delayed_receipts =1 THEN 'YES' ELSE 'NO' END po_receipt_delay,
										CASE WHEN job_status_type IN (3,6) AND operation_delay_duration &gt; 0
                                      THEN 0
									  WHEN job_status_type NOT IN (3,6)
                                        THEN 0
                                        ELSE 1
                                      END ontrack_flag,
                                      CASE WHEN job_status_type IN (3,6) AND operation_delay_duration &gt; 0
									  THEN no_flag
									  WHEN job_status_type NOT IN (3,6)
									    THEN no_flag
                                        ELSE yes_flag
                                      END ontrack
										FROM (
										SELECT TO_CHAR (wdj.wip_entity_id
                                        ||'-'
                                        ||wo.operation_seq_num
                                        ||'-'
                                        ||br.resource_code
										||'-'
										||wor.replacement_group_num
                                        ||'-'
                                        ||wdj.organization_id
                                        ||'-'
                                        ||wip_osp.rec_key
                                        ||'-OSP') Ecc_Spec_Id,
                                        TO_CHAR (wdj.wip_entity_id
                                        ||'-'
                                        ||wo.operation_seq_num
                                        ||'-'
                                        ||wdj.organization_id
                                        ||'-OP') ecc_op_spec_id,
                                        (wdj.wip_entity_id
                                        ||'-'
                                        ||wo.operation_seq_num
                                        ||'-'
                                        ||br.resource_code
                                        ||'-'
                                        ||wdj.organization_id
                                        ||'-RSC') Ecc_rsc_Spec_Id,
                                        wo.wip_entity_id job,
                                        we.wip_entity_name job_name ,
										status_lkp.meaning job_status,
										wor.replacement_group_num,
										wdj.scheduled_start_date job_scheduled_start_date ,
                                        wdj.scheduled_completion_date job_scheduled_completion_date ,
										wdj.date_completed job_actual_completion_date ,
										WIP_ECC_UTIL_PVT.get_concatenated_segments(wdj.organization_id,wdj.primary_item_id) assembly,
                                         WIP_ECC_UTIL_PVT.get_description(wdj.organization_id,wdj.primary_item_id)  assembly_description,
										 wdj.organization_id organization_id ,
										wdj.status_type job_status_type,
										mp.organization_code organization_code ,
										yeslk.meaning yes_flag,
										nolk.meaning no_flag,
                                        haout.name organization_name ,
										bso.operation_code,
										0 projected_available_quantity,
										to_char(decode(wor.standard_rate_flag,1,yeslk.meaning,nolk.meaning)) Standard_rate,
                                        0 shortage_quantity,
										wor.substitute_group_num substitute_group_num,
										ca.activity activity,
                                        wo.operation_seq_num operation_sequence_number,
                                        bd.description department_description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Quantity_in_to_move ,
                                        to_number(NVL(wo.quantity_scrapped,0)) Scrap_quantity ,
                                        to_number(NVL(wo.quantity_rejected,0)) Rejected_Quantity ,
                                        NVL(wo.quantity_completed,0) Completed_quantity ,
                                        wo.description Operation_Description ,
                                        wo.progress_percentage Operation_progress ,
                                        bd.department_code Department,
                                        br.resource_code resource_code ,
                                        br.description resource_description ,
                                        wor.usage_rate_or_amount resource_usage_rate ,
                                        wor.uom_code resource_uom ,
                                        ROUND(wor.usage_rate_or_amount*DECODE(wor.basis_type, 1,wdj.start_quantity-NVL(wo.cumulative_scrap_quantity,0),1),6) resource_required_units ,
                                        wor.applied_resource_units resource_applied_units ,
                                        (SELECT pap.full_name
                                        FROM per_all_people_f pap
                                        WHERE pap.person_id = wo.employee_id
                                        AND ROWNUM          = 1
                                        ) clock_in_employee,
                                        restype.language language,
                                        restype.meaning resource_type ,
                                        resbasis.meaning resource_basis_type,
                                        ROUND((wor.usage_rate_or_amount *DECODE(wor.basis_type,1, wdj.start_quantity-NVL(wo.cumulative_scrap_quantity,0),1))-wor.applied_resource_units,6) resource_open_qty ,
                                        ROUND(wor.assigned_units,6) resource_assigned_units ,
                                        wor.start_date resource_start_date ,
                                        wor.completion_date resource_completion_date ,
                                        null resource_alternate ,
                                        wor.resource_seq_num resource_sequence_number ,
                                        wor.schedule_seq_num scheduled_sequence_number ,
                                        wor.actual_start_date Rsr_actual_start_date ,
                                        wor.actual_completion_date Rsr_actual_completion_date ,
                                        TO_CHAR(DECODE(wor.autocharge_type,1,yeslk.meaning,nolk.meaning)) auto_charge_flag ,
                                        TO_CHAR(DECODE(wor.phantom_flag,1,yeslk.meaning,nolk.meaning)) phantom_flag ,
                                        wor.batch_id operation_resource_batch ,
                                        ressch.meaning scheduled_flag ,
                                        reschg.meaning charge_type ,
                                        NULL utilization ,
                                        NULL efficiency ,
                                        NVL(wip_osp.vendor_name,nonelk.meaning) supplier ,
										wip_osp.vendor_name supplier_tbl ,
                                        wip_osp.approval_status_code purchase_order_status ,
                                        wip_osp.po_number purchase_order_number ,
                                        wip_osp.req_number requisition_number ,
                                        wip_osp.line_number line_number ,
                                        DECODE(wip_osp.cancel_flag,'Y',1,2) cancel_flag ,
                                        wip_osp.old_need_by_date need_by_date ,
                                        wip_osp.old_promised_date promise_date ,
										CASE WHEN (NVL(wip_osp.old_promised_date,wip_osp.old_need_by_date) - SYSDATE)  &lt; 0
										            AND (NVL(wip_osp.old_promised_date,wip_osp.old_need_by_date) - SYSDATE)  &lt; 0
													AND ((wip_osp.CANCEL_FLAG_PL IS NULL  OR wip_osp.CANCEL_FLAG_PL = 'N')
													AND (wip_osp.QUANTITY_RECEIVED  &lt;(wip_osp.QUANTITY-wip_osp.QUANTITY_CANCELLED_PL))
													AND NVL(wip_osp.CLOSED_CODE,'OPEN')  &lt;&gt; 'FINALLY CLOSED')
										           THEN 1 ELSE 0 END delayed_receipts,
                                        wip_osp.assembly_qty_pending pending_quantity ,
										wip_osp.quantity_ordered,
								        wip_osp.quantity_delivered,
										wip_osp.quantity_cancelled,
                                        wip_osp.assembly_primary_uom po_line_uom ,
                                        wip_osp.osp_res_po_line_item line_item,
                                        CASE
                                        WHEN wip_osp.po_number IS NULL
                                        AND wip_osp.req_number IS NULL
                                        THEN nolk.meaning
                                        ELSE yeslk.meaning
                                        END osp_operation,
										CASE
                                        WHEN wip_osp.po_number IS NULL
                                        AND wip_osp.req_number IS NULL
                                        THEN nolk.lookup_code
                                        ELSE yeslk.lookup_code
                                        END osp_operation_flag,
                                        CASE WHEN TRUNC(wo.first_unit_start_date) = TRUNC(SYSDATE) THEN 1 ELSE 0 END starting_today,
                                        CASE WHEN TRUNC(wo.last_unit_completion_date) = TRUNC(SYSDATE) THEN 1 ELSE 0 END  Completing_Today,
                                        CASE WHEN TRUNC(wo.first_unit_start_date) = TRUNC(SYSDATE+1) THEN 1 ELSE 0 END starting_tomorrow,
                                        CASE WHEN TRUNC(wo.last_unit_completion_date) = TRUNC(SYSDATE+1) THEN 1 ELSE 0 END  Completing_Tomorrow,
                                        (wo.first_unit_start_date      -SYSDATE) starting_by,
                                        (wo.last_unit_completion_date - SYSDATE ) finishing_by,
										CASE
                                        WHEN wo.actual_start_date IS NOT NULL
                                        AND wo.actual_start_date   &gt; wo.first_unit_start_date
                                        THEN CASE WHEN (wo.actual_start_date-wo.first_unit_start_date) &gt; 0
										          THEN (wo.actual_start_date-wo.first_unit_start_date) ELSE 0 END
                                        WHEN wo.actual_start_date       IS NULL
                                        AND (wo.first_unit_start_date)   &lt; sysdate
                                        AND NVL(wo.quantity_in_queue,0)  = 0
                                        AND NVL(wo.quantity_running,0)   = 0
                                        AND NVL(wo.quantity_completed,0) = 0
                                        THEN CASE WHEN (sysdate-wo.first_unit_start_date) &gt; 0
										          THEN (sysdate-wo.first_unit_start_date) ELSE 0 END
                                        ELSE 0
                                        END operation_start_delay,
										CASE
                                        WHEN wo.actual_completion_date IS NOT NULL
                                        AND wo.actual_completion_date   &gt; (wo.last_unit_completion_date)
                                        THEN CASE WHEN (wo.actual_completion_date -wo.last_unit_completion_date) &gt; 0
										          THEN (wo.actual_completion_date -wo.last_unit_completion_date) ELSE 0 END
                                        WHEN wo.actual_completion_date    IS NULL
                                        AND (wo.last_unit_completion_date) &lt; sysdate
                                        AND (wo.quantity_in_queue          &gt; 0
                                        OR wo.quantity_running             &gt; 0)
                                        THEN CASE WHEN (sysdate-wo.last_unit_completion_date) &gt; 0
										          THEN (sysdate-wo.last_unit_completion_date) ELSE 0 END
                                        ELSE 0
                                        END operation_completion_delay,
                                        CASE
                                          WHEN wo.actual_completion_date IS NOT NULL
                                          AND wo.actual_completion_date   &gt; (wo.last_unit_completion_date )
                                          THEN CASE WHEN (wo.actual_completion_date - (wo.last_unit_completion_date )) &gt; 0
										            THEN (wo.actual_completion_date - (wo.last_unit_completion_date ))  ELSE 0 END
                                          WHEN wo.actual_completion_date    IS NULL
                                          AND (wo.last_unit_completion_date ) &lt; sysdate
                                          AND (wo.quantity_in_queue          &gt; 0
                                          OR wo.quantity_running             &gt; 0)
                                          THEN CASE WHEN (sysdate-(wo.last_unit_completion_date )) &gt; 0
										            THEN (sysdate-(wo.last_unit_completion_date )) ELSE 0 END
                                          WHEN wo.actual_start_date IS NOT NULL
                                          AND wo.actual_start_date   &gt; (wo.first_unit_start_date )
                                          THEN CASE WHEN (wo.actual_start_date-(wo.first_unit_start_date )) &gt; 0
										            THEN (wo.actual_start_date-(wo.first_unit_start_date )) ELSE 0 END
                                          WHEN wo.actual_start_date       IS NULL
                                          AND (wo.first_unit_start_date )   &lt; sysdate
                                          AND NVL(wo.quantity_in_queue,0)  = 0
                                          AND NVL(wo.quantity_running,0)   = 0
                                          AND NVL(wo.quantity_completed,0) = 0
                                          THEN CASE WHEN (sysdate-(wo.first_unit_start_date )) &gt; 0
										       THEN (sysdate-(wo.first_unit_start_date )) ELSE 0 END
                                          ELSE 0
                                        END operation_delay_duration,
                                        CASE
                                          WHEN wo.actual_completion_date IS NOT NULL
                                          AND wo.actual_completion_date   &gt; (wo.last_unit_completion_date )
                                          THEN CASE WHEN (wo.actual_completion_date - (wo.last_unit_completion_date )) &gt; 0
										            THEN 1 ELSE 0 END
                                          WHEN wo.actual_completion_date    IS NULL
                                          AND (wo.last_unit_completion_date ) &lt; sysdate
                                          AND (wo.quantity_in_queue          &gt; 0
                                          OR wo.quantity_running             &gt; 0)
                                          THEN CASE WHEN (sysdate-(wo.last_unit_completion_date )) &gt; 0
										            THEN 1 ELSE 0 END
                                          WHEN wo.actual_start_date IS NOT NULL
                                          AND wo.actual_start_date   &gt; (wo.first_unit_start_date )
                                          THEN CASE WHEN (wo.actual_start_date-(wo.first_unit_start_date )) &gt; 0
										            THEN 1 ELSE 0 END
                                          WHEN wo.actual_start_date       IS NULL
                                          AND (wo.first_unit_start_date )   &lt; sysdate
                                          AND NVL(wo.quantity_in_queue,0)  = 0
                                          AND NVL(wo.quantity_running,0)   = 0
                                          AND NVL(wo.quantity_completed,0) = 0
                                          THEN CASE WHEN (sysdate-(wo.first_unit_start_date )) &gt; 0
										       THEN 1 ELSE 0 END
                                          ELSE 0
                                        END operation_delayed,
										CASE
                                        WHEN wo.quantity_completed &gt;= (wdj.start_quantity-wo.cumulative_scrap_quantity) OR wdj.status_type in (4,5,7,12)
                                        THEN operation_com_lkp.meaning
                                        WHEN ((Wo.quantity_in_queue + wo.quantity_running &gt; 0) OR (wo.date_last_moved is not null) or (wo.quantity_completed &gt; 0)) AND wdj.status_type in (3,6)
                                        THEN operation_run_lkp.meaning
                                        ELSE operation_ns_lkp.meaning
                                        END operation_status,
                                        CASE
                                        WHEN wo.quantity_completed &gt;= (wdj.start_quantity-wo.cumulative_scrap_quantity) OR wdj.status_type in (4,5,7,12)
                                        THEN operation_com_lkp.lookup_code
                                        WHEN ((Wo.quantity_in_queue + wo.quantity_running &gt; 0) OR (wo.date_last_moved is not null) or (wo.quantity_completed &gt; 0)) AND wdj.status_type in (3,6)
                                        THEN operation_run_lkp.lookup_code
                                        ELSE operation_ns_lkp.lookup_code
                                        END op_status_flag
                                        FROM wip_entities we,
                                        wip_discrete_jobs wdj,
                                        bom_resources br,
                                        wip_operations wo,
                                        wip_operation_resources wor,
										cst_activities ca,
										mtl_parameters mp,
                                        hr_all_organization_units_tl haout,
										(
                                        SELECT
                                          /*+ RESULT_CACHE */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/*+ RESULT_CACHE */
                                        restype.meaning,
                                        restype.language,
                                        restype.lookup_code
                                        FROM lookup_details restype
                                        WHERE restype.lookup_type       = 'BOM_RESOURCE_TYPE'
                                        AND restype.view_application_id = 700
                                        AND restype.security_group_id   = 0
                                        )restype,
                                        (SELECT
                                        /*+ RESULT_CACHE */
                                        resbasis.meaning,
                                        resbasis.language,
                                        resbasis.lookup_code
                                        FROM lookup_details resbasis
                                        WHERE resbasis.lookup_type       = 'CST_BASIS'
                                        AND resbasis.view_application_id = 700
                                        AND resbasis.security_group_id   = 0
                                        )resbasis,
                                        (SELECT
                                        /*+ RESULT_CACHE */
                                        reschg.meaning,
                                        reschg.language ,
                                        reschg.lookup_code
                                        FROM lookup_details reschg
                                        WHERE reschg.lookup_type       = 'BOM_AUTOCHARGE_TYPE'
                                        AND reschg.view_application_id = 700
                                        AND reschg.security_group_id   = 0
                                        )reschg,
                                        (SELECT
                                        /*+ RESULT_CACHE */
                                        ressch.meaning,
                                        ressch.language,
                                        ressch.lookup_code
                                        FROM lookup_details ressch
                                        WHERE ressch.lookup_type       = 'BOM_RESOURCE_SCHEDULE_TYPE'
                                        AND ressch.view_application_id = 700
                                        AND ressch.security_group_id   = 0
                                        )ressch,
										(SELECT
                                        /*+ RESULT_CACHE */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'WIP_OPERATION_STATUS'
                                        AND f.view_application_id = 700
                                        AND f.security_group_id   = 0
                                        AND f.lookup_code         = 1
                                        ) operation_ns_lkp,
                                        (SELECT
                                        /*+ RESULT_CACHE */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'WIP_OPERATION_STATUS'
                                        AND f.view_application_id = 700
                                        AND f.security_group_id   = 0
                                        AND f.lookup_code         = 2
                                        ) operation_run_lkp,
                                        (SELECT
                                        /*+ RESULT_CACHE */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'WIP_OPERATION_STATUS'
                                        AND f.view_application_id = 700
                                        AND f.security_group_id   = 0
                                        AND f.lookup_code         = 3
                                        ) operation_com_lkp,
                                        (SELECT wip_osp1.rec_key,
										wip_osp1.approval_status_code,
                                        wip_osp1.po_number,
                                        wip_osp1.req_number,
                                        wip_osp1.cancel_flag,
                                        wip_osp1.old_need_by_date,
                                        wip_osp1.old_promised_date,
										wip_osp1.CANCEL_FLAG_PL,
                                        wip_osp1.QUANTITY_RECEIVED,
                                        wip_osp1.QUANTITY,
                                        wip_osp1.QUANTITY_CANCELLED_PL,
                                        wip_osp1.CLOSED_CODE,
                                        wip_osp1.assembly_qty_pending,
										wip_osp1.quantity_ordered,
								        wip_osp1.quantity_delivered,
										wip_osp1.quantity_cancelled,
                                        wip_osp1.assembly_primary_uom,
                                        wip_osp1.organization_id,
                                        wip_osp1.wip_entity_id,
                                        wip_osp1.operation_seq_num,
                                        wip_osp1.vendor_name,
                                        wip_osp1.po_item_number osp_res_po_line_item,
                                        wip_osp1.line_number,
                                        wip_osp1.resource_seq_num
                                        FROM
                                        (SELECT
                                        /*+ leading(pd) index(pd PO_DISTRIBUTIONS_N8) */
                                        ph.segment1 po_number,
                                        ph.type_lookup_code po_req_type,
                                        ph.authorization_status approval_status_code,
                                        ps.need_by_date old_need_by_date,
                                        ps.promised_date old_promised_date,
										ps.CANCEL_FLAG CANCEL_FLAG_PL,
                                        ps.QUANTITY_RECEIVED QUANTITY_RECEIVED,
                                        ps.QUANTITY QUANTITY,
                                        ps.QUANTITY_CANCELLED QUANTITY_CANCELLED_PL,
                                        ps.CLOSED_CODE CLOSED_CODE,
                                     </t>
  </si>
  <si>
    <t>wip-opqualitydetails</t>
  </si>
  <si>
    <t>Move Transactions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</si>
  <si>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TO_DATE('27-APR-20 13:58:47','DD-MON-RR HH24:MI:SS') + 7 ))  AND (wdj.last_update_date &gt;= TO_DATE('27-APR-20 13:58:47','DD-MON-RR HH24:MI:SS')
                                                        OR wo.last_update_date &gt;= TO_DATE('27-APR-20 13:58:47','DD-MON-RR HH24:MI:SS')
                                                        OR we.last_update_date &gt;= TO_DATE('27-APR-20 13:58:47','DD-MON-RR HH24:MI:SS')
                                                        OR wmt.last_update_date &gt;= TO_DATE('27-APR-20 13:58:47','DD-MON-RR HH24:MI:SS')
                                                        OR bd.last_update_date &gt;= TO_DATE('27-APR-20 13:58:47','DD-MON-RR HH24:MI:SS')
                                                        OR bso.last_update_date &gt;= TO_DATE('27-APR-20 13:58:47','DD-MON-RR HH24:MI:SS')
                                                        OR mtr.last_update_date &gt;= TO_DATE('27-APR-20 13:58:47','DD-MON-RR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</si>
  <si>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wip-opdetails</t>
  </si>
  <si>
    <t>Operations</t>
  </si>
  <si>
    <t xml:space="preserve">SELECT * FROM ( SELECT ecc_spec_id ,row_id,
                                      job ,
                                      job_name ,
									  job_scheduled_start_date,
									  job_scheduled_completion_date,
									  job_actual_completion_date,
									  job_status,
                                      organization_id ,
									  organization_currency,
									  organization_code,
									  organization_name,
                                      language,
                                      operation_sequence_number,
                                      department ,
                                      department_description ,
                                      planned_start_date ,
                                      planned_completion_date ,
                                      Actual_start_date ,
                                      Actual_completion_date,
                                      quantity_in_queue ,
                                      quantity_in_run ,
                                      quantity_to_move ,
                                      scrap_quantity ,
                                      rejected_quantity ,
                                      completed_quantity ,
                                      operation_description ,
                                      progress_percentage ,
                                      CASE WHEN osp_operation_flag = 1 THEN yes_flag ELSE no_flag END osp_operation,
									  osp_operation_flag,
									  count_point,
									  autocharge,
									  backflush,
									  clock_in_employee,
									  serialized_link,
									  Job_Description,
                                      operation_progress actual_operation_progress,
                                      CASE WHEN TO_NUMBER(SUBSTR(operation_progress,1,INSTR(operation_progress,'-A') -1)) &gt; 100 THEN 100
									       ELSE NVL(TO_NUMBER(SUBSTR(operation_progress,1,INSTR(operation_progress,'-A') -1)),0)
									  END operation_progress,
                                      TO_NUMBER(SUBSTR(operation_progress,INSTR(operation_progress,'-A') +2,INSTR(operation_progress,'-B',-1)-INSTR(operation_progress,'-A')-2))elapsed_time,
                                      TO_NUMBER(SUBSTR(operation_progress,INSTR(operation_progress,'-B') +2,LENGTH(operation_progress)))lead_time,
                                      operation_delay_duration ,
                                      CASE
                                        WHEN operation_delay_duration &gt; 0 and job_status_type in (3,6)
                                        THEN yes_flag
                                        ELSE no_flag
                                      END Operation_delayed,
                                      CASE
                                        WHEN operation_delay_duration &gt; 0 and job_status_type in (3,6)
                                        THEN 1
                                        ELSE 0
                                      END Operation_delayed_flag,
									  CASE WHEN job_status_type IN (3,6) AND operation_delay_duration &gt; 0
                                      THEN 0
									  WHEN job_status_type NOT IN (3,6)
                                        THEN 0
                                        ELSE 1
                                      END ontrack_flag,
                                      CASE WHEN job_status_type IN (3,6) AND operation_delay_duration &gt; 0
									  THEN no_flag
									  WHEN job_status_type NOT IN (3,6)
									    THEN no_flag
                                        ELSE yes_flag
                                      END ontrack,
                                      operation_status,
                                      op_status_flag,
									  CASE WHEN op_status_flag =1 AND job_status_type = 3
									  THEN 1 ELSE 0 END upcoming,
									  shop_floor_status_code,
                                      Shop_Floor_Status_Step,
                                      Move_status,
                                      Status_Move_Flag Move_status_flag,
                                      Rework_quantity,
                                      CASE WHEN op_status_flag =3 THEN
									   CASE
                                        WHEN completed_quantity = 0
                                        OR completed_quantity  IS NULL
                                        THEN NULL
                                        WHEN (scrap_quantity + rejected_quantity + Rework_quantity) &gt; completed_quantity
                                        THEN 0
                                        WHEN (completed_quantity - (scrap_quantity + rejected_quantity + Rework_quantity))/ completed_quantity &gt; 1
                                        THEN 100
                                        ELSE 100 * (completed_quantity - (scrap_quantity + rejected_quantity + Rework_quantity))/ completed_quantity
                                       END
									  END yield,
                                      Standard_operation_code,
									  Standard_operation_code_tbl,
                                      Assembly ,
									  assembly_description,
									  pending_material_issue,
									  item_cost * scrap_quantity Scrap_value,
                                      CASE
                                        WHEN (NVL(scrap_quantity,0) + NVL(completed_quantity,0) + NVL(rejected_quantity,0)) =0
                                        THEN 1
                                        ELSE (NVL(scrap_quantity,0) + NVL(completed_quantity,0) + NVL(rejected_quantity,0))
                                      END total_quantity,
                                      scheduled_quantity
                                    FROM
                                      (WITH wdj AS
                                         (SELECT /*+ materialize */ wdj.*,
                                           mp.organization_code ,
                                           haout.NAME ,
                                           we.wip_entity_name job_name,
                                           we.description job_description,
                                           haout.language,
										   wdj.rowid row_id
                                         FROM wip_entities we,
                                           mtl_parameters mp,
                                           hr_all_organization_units_tl haout,
                                           wip_discrete_jobs wdj
                                         WHERE we.wip_entity_id                                      = wdj.wip_entity_id
                                         AND we.entity_type                                         IN (1,3)
                                         AND mp.organization_id                                      = we.organization_id
                                         AND haout.organization_id                                   = mp.organization_id
                                         AND wdj.status_type                                                  IN (1,3,4,5,6,7,12,14,15)
                                          AND (NVL(wdj.date_completed,wdj.scheduled_completion_date) &gt;= SYSDATE - 30
                                          OR wdj.status_type  IN (3,6)
                                          OR (wdj.status_type  = 1
                                          AND wdj.scheduled_start_date  &lt;= SYSDATE + 7 )) 
                                         ) ,
										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('WIP_INTRAOPERATION_STEP','WIP_OPERATION_STATUS','WIP_SHOPFLOOR_MOVE_STATUS','WIP_JOB_STATUS','SYS_YES_NO','WIP_PURGE_REPORT_TYPE')
                                          AND view_application_id = 700
                                          AND security_group_id   = 0
                                          )
									  SELECT TO_CHAR (wdj.wip_entity_id
                                        ||'-'
                                        ||wo.operation_seq_num
                                        ||'-'
                                        ||wdj.organization_id
                                        ||'-OP') Ecc_Spec_Id,
										bso.rowid row_id,
                                        yeslk.meaning yes_flag,
                                        nolk.meaning no_flag,
                                        nonelk.meaning none_flag,
                                        nonelk.language language,
                                        wo.wip_entity_id Job,
                                        wdj.Job_name ,
										status_lkp.meaning job_status,
										WIP_ECC_UTIL_PVT.get_item_cost(wdj.primary_item_id,wdj.organization_id) item_cost,
										wdj.scheduled_start_date job_scheduled_start_date ,
                                        wdj.scheduled_completion_date job_scheduled_completion_date ,
										wdj.date_completed job_actual_completion_date ,
                                        wdj.organization_id organization_id ,
										WIP_ECC_UTIL_PVT.get_currency_code(wdj.organization_id) organization_currency ,
										wdj.organization_code organization_code,
										wdj.NAME organization_name ,
                                        wdj.date_completed job_completion_date,
                                        wo.operation_seq_num operation_sequence_number ,
                                        wo.scheduled_quantity scheduled_quantity,
                                        bd.description department_description ,
                                        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Scrap_quantity ,
                                        to_number(NVL(wo.quantity_rejected,0)) Rejected_Quantity ,
                                        NVL(wo.quantity_completed,0) Completed_quantity ,
                                        wo.description Operation_Description ,
										wdj.status_type job_status_type,
										to_char(decode(wo.count_point_type,3,nolk.meaning,yeslk.meaning)) autocharge,
                                        to_char(decode(wo.count_point_type,1,yeslk.meaning,nolk.meaning)) count_point,
                                        to_char(decode(wo.backflush_flag,1,yeslk.meaning,nolk.meaning)) backflush,
                                        wo.progress_percentage progress_percentage ,
										wdj.job_description,
										(select pap.full_name
                                        from per_all_people_f pap
                                        where pap.person_id = wo.employee_id
                                        and rownum = 1) clock_in_employee,
										to_char(case when wdj.serialization_start_op is not null and
                                               wdj.serialization_start_op &lt;= wo.operation_seq_num and
                                         (to_number(nvl(wo.quantity_in_queue,0)) + to_number(nvl(wo.quantity_running,0)) + to_number(nvl(wo.quantity_waiting_to_move,0)) +
                                          to_number(nvl(wo.quantity_rejected,0)) + to_number(nvl(wo.quantity_scrapped,0))) &lt;&gt; 0
                                          then yeslk.meaning
                                          else null
                                          end) serialized_link,
                                        TO_CHAR(
                                        (SELECT (SUM(SUM((
                                          CASE
                                            WHEN (WIP_ECC_UTIL_PVT.get_inv_conv(wor.uom_code) = -99999)
                                            THEN 0
                                            ELSE WIP_ECC_UTIL_PVT.get_inv_conv(wor.uom_code)*wor.applied_resource_units
                                          END))) )   
										  /(SUM(MAX((
										  CASE WHEN (CASE
                                            WHEN (WIP_ECC_UTIL_PVT.get_inv_conv(wor.uom_code) = -99999)
                                            THEN 0
                                            ELSE WIP_ECC_UTIL_PVT.get_inv_conv(wor.uom_code)*wor.usage_rate_or_amount
                                          END) = 0 THEN NULL ELSE 
                                          (CASE
                                            WHEN (WIP_ECC_UTIL_PVT.get_inv_conv(wor.uom_code) = -99999)
                                            THEN 0
                                            ELSE   WIP_ECC_UTIL_PVT.get_inv_conv(wor.uom_code)*  wor.usage_rate_or_amount
                                          END) END )*   CASE WHEN least(wor.assigned_units,bdr.capacity_units) =0 OR bdr.utilization = 0 OR  bdr.efficiency =0 OR wo.scheduled_quantity =0 THEN NULL ELSE   (
										  DECODE(wor.basis_type,2,1,wo.scheduled_quantity) /least(wor.assigned_units,bdr.capacity_units)/(NVL( bdr.utilization,1))/(NVL(bdr.efficiency,1))) END )))
                                          ||'-A'
                                          ||(SUM(SUM((
                                          CASE
                                            WHEN (WIP_ECC_UTIL_PVT.get_inv_conv(wor.uom_code) = -99999)
                                            THEN 0
                                            ELSE WIP_ECC_UTIL_PVT.get_inv_conv(wor.uom_code)*  wor.applied_resource_units
                                          END))) )
                                          ||'-B'
                                          ||(SUM(MAX((
                                          CASE
                                            WHEN (WIP_ECC_UTIL_PVT.get_inv_conv(wor.uom_code) = -99999)
                                            THEN 0
                                            ELSE WIP_ECC_UTIL_PVT.get_inv_conv(wor.uom_code)*wor.usage_rate_or_amount
                                          END)   * CASE WHEN least(wor.assigned_units,bdr.capacity_units) =0 OR bdr.utilization = 0 
										  OR bdr.efficiency =0 OR wo.scheduled_quantity =0  THEN NULL ELSE 
										  (DECODE(wor.basis_type,2,1,wo.scheduled_quantity) /least(wor.assigned_units,bdr.capacity_units)/(NVL( bdr.utilization,1))/(NVL(bdr.efficiency,1))) END )))
                                        FROM wip_operation_resources wor,
                                          bom_department_resources bdr
                                        WHERE wor.wip_entity_id  = wo.wip_entity_id
                                        AND wo.operation_seq_num = wor.operation_seq_num
                                        AND wo.department_id     = bdr.department_id
                                        AND wor.resource_id      = bdr.resource_id
                                        AND wor.scheduled_flag  &lt;&gt;2
                                        GROUP BY TO_CHAR(NVL(TO_CHAR(wor.schedule_seq_num),rowidtochar(wor.rowid)))
                                        )) operation_progress,
                                        bd.department_code Department,
                                        CASE
                                          WHEN wo.actual_completion_date IS NOT NULL
                                          AND wo.actual_completion_date   &gt; (wo.last_unit_completion_date )
                                          THEN CASE WHEN (wo.actual_completion_date - (wo.last_unit_completion_date )) &gt; 0
										            THEN (wo.actual_completion_date - (wo.last_unit_completion_date ))  ELSE 0 END
                                          WHEN wo.actual_completion_date    IS NULL
                                          AND (wo.last_unit_completion_date ) &lt; sysdate
                                          AND (wo.quantity_in_queue          &gt; 0
                                          OR wo.quantity_running             &gt; 0)
                                          THEN CASE WHEN (sysdate-(wo.last_unit_completion_date )) &gt; 0
										            THEN (sysdate-(wo.last_unit_completion_date )) ELSE 0 END
                                          WHEN wo.actual_start_date IS NOT NULL
                                          AND wo.actual_start_date   &gt; (wo.first_unit_start_date )
                                          THEN CASE WHEN (wo.actual_start_date-(wo.first_unit_start_date )) &gt; 0
										            THEN (wo.actual_start_date-(wo.first_unit_start_date )) ELSE 0 END
                                          WHEN wo.actual_start_date       IS NULL
                                          AND (wo.first_unit_start_date )   &lt; sysdate
                                          AND NVL(wo.quantity_in_queue,0)  = 0
                                          AND NVL(wo.quantity_running,0)   = 0
                                          AND NVL(wo.quantity_completed,0) = 0
                                          THEN CASE WHEN (sysdate-(wo.first_unit_start_date )) &gt; 0
										       THEN (sysdate-(wo.first_unit_start_date )) ELSE 0 END
                                          ELSE 0
                                        END operation_delay_duration,
                                        CASE
                                        WHEN (wo.quantity_completed &gt;= (wdj.start_quantity-wo.cumulative_scrap_quantity)) OR wdj.status_type in (4,5,7,12)
                                        THEN operation_com_lkp.meaning
                                        WHEN ((Wo.quantity_in_queue + wo.quantity_running &gt; 0) OR (wo.date_last_moved is not null) or (wo.quantity_completed &gt; 0)) and wdj.status_type in (3,6)
                                        THEN operation_run_lkp.meaning
                                        ELSE operation_ns_lkp.meaning
                                        END operation_status,
                                        CASE
                                        WHEN (wo.quantity_completed &gt;= (wdj.start_quantity-wo.cumulative_scrap_quantity)) OR wdj.status_type in (4,5,7,12)
                                        THEN operation_com_lkp.lookup_code
                                        WHEN ((Wo.quantity_in_queue + wo.quantity_running &gt; 0) OR (wo.date_last_moved is not null) or (wo.quantity_completed &gt; 0)) and wdj.status_type in (3,6)
                                        THEN operation_run_lkp.lookup_code
                                        ELSE operation_ns_lkp.lookup_code
                                        END op_status_flag,
                                        shop_floor_status_step.meaning shop_floor_status_step,
                                        wsfs.shop_floor_status_code shop_floor_status_code,
                                        Wsfs.Status_Move_Flag,
                                        CASE WHEN wdj.status_type in (3,6)
                                        THEN
										CASE
                                        WHEN Wsfs.Status_Move_Flag =1
                                        THEN move_status_lkp.meaning
                                        WHEN Wsfs.Status_Move_Flag =2
                                        THEN nomove_status_lkp.meaning
                                        ELSE NULL
                                        END
										ELSE NULL
                                        END Move_status,
                                        (
                                        SELECT SUM(
                                          CASE
                                            WHEN wmt.fm_operation_seq_num        = wmt.to_operation_seq_num
                                            AND wmt.to_intraoperation_step_type  &lt; wmt.fm_intraoperation_step_type
                                            AND wmt.to_intraoperation_step_type IN (1,2)
                                            THEN wmt.primary_quantity
                                            WHEN wmt.fm_operation_seq_num &lt;&gt; wmt.to_operation_seq_num
                                            AND wmt.to_operation_seq_num   &lt; wmt.fm_operation_seq_num
                                            THEN
                                              CASE
                                                WHEN wo.operation_seq_num            = wmt.to_operation_seq_num
                                                AND wmt.to_intraoperation_step_type IN (1,2)
                                                THEN wmt.primary_quantity
                                                WHEN wo.operation_seq_num            = wmt.fm_operation_seq_num
                                                AND wmt.fm_intraoperation_step_type &lt;&gt; 1
                                                THEN wmt.primary_quantity
                                                WHEN wo.operation_seq_num &lt;&gt; wmt.fm_operation_seq_num
                                                OR wo.operation_seq_num   &lt;&gt; wmt.to_operation_seq_num
                                                THEN wmt.primary_quantity
                                                ELSE 0
                                              END
                                            ELSE 0
                                          END )
                                        FROM wip_move_transactions WMT
                                        WHERE 1                =1
                                        AND wo.organization_id = wmt.organization_id
                                        AND wo.wip_entity_id   = wmt.wip_entity_id
                                        AND ((wo.operation_seq_num BETWEEN wmt.fm_operation_seq_num AND wmt.to_operation_seq_num)
                                        OR ( wo.operation_seq_num BETWEEN wmt.to_operation_seq_num AND wmt.fm_operation_seq_num) )
                                        AND wo.wip_entity_id = wdj.wip_entity_id
                                        ) rework_quantity,
                                        NVL(bso.operation_code,nonelk.meaning) Standard_operation_code,
										bso.operation_code Standard_operation_code_tbl,
                                        WIP_ECC_UTIL_PVT.get_concatenated_segments(wdj.organization_id,wdj.primary_item_id) Assembly,
                                        WIP_ECC_UTIL_PVT.get_description(wdj.organization_id,wdj.primary_item_id) assembly_description,
										NULL pending_material_issue
                                      FROM wdj wdj,
                                        wip_operations wo,
                                        bom_departments bd,
                                        bom_standard_operations bso,
										(SELECT wsfs.intraoperation_step_type ,
                                         wsfs.organization_id,
                                         wsfs.wip_entity_id,
                                         wsfs.operation_seq_num,
                                         wsfs.shop_floor_status_code,
                                         Wsfsc.Status_Move_Flag
                                       FROM wip_shop_floor_statuses wsfs,
                                         wip_shop_floor_status_codes wsfsc
                                       WHERE NVL(NVL(wsfs.shop_floor_status_code(+),'-1'),NVL(wsfsc.shop_floor_status_code,'-1')) = NVL(wsfsc.shop_floor_status_code,'-1')
                                       )wsfs,
                                         (SELECT
                                             nonelk.meaning,
                                             nonelk.lookup_code,
                                             nonelk.language
                                           FROM lookup_details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nolk.meaning,
                                             nolk.lookup_code,
                                             nolk.language
                                           FROM lookup_details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yeslk.meaning,
                                             yeslk.lookup_code,
                                             yeslk.language
                                           FROM lookup_details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'WIP_SHOPFLOOR_MOVE_STATUS'
                                        AND f.view_application_id = 700
                                        AND f.security_group_id   = 0
                                        AND f.lookup_code         = 2
                                        ) nomove_status_lkp,
                                        (SELECT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'WIP_SHOPFLOOR_MOVE_STATUS'
                                        AND f.view_application_id = 700
                                        AND f.security_group_id   = 0
                                        AND f.lookup_code         = 1
                                        ) move_status_lkp,
                                        (SELECT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'WIP_OPERATION_STATUS'
                                        AND f.view_application_id = 700
                                        AND f.security_group_id   = 0
                                        AND f.lookup_code         = 1
                                        ) operation_ns_lkp,
                                        (SELECT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'WIP_OPERATION_STATUS'
                                        AND f.view_application_id = 700
                                        AND f.security_group_id   = 0
                                        AND f.lookup_code         = 2
                                        ) operation_run_lkp,
                                        (SELECT
                                        f.meaning,
                                        f.lookup_code,
                                        f.language
                                        FROM lookup_details f
                                        WHERE f.lookup_type       = 'WIP_OPERATION_STATUS'
                                        AND f.view_application_id = 700
                                        AND f.security_group_id   = 0
                                        AND f.lookup_code         = 3
                                        ) operation_com_lkp,
                                        (
                                        SELECT
                                          opstep.meaning,
                                          opstep.lookup_code,
                                          opstep.language
                                        FROM lookup_details opstep
                                        WHERE opstep.lookup_type       = 'WIP_INTRAOPERATION_STEP'
                                        AND opstep.view_application_id = 700
                                        AND opstep.security_group_id   = 0
                                        )shop_floor_status_step
                                      WHERE wdj.language                                        = NVL(yeslk.language, wdj.language)
                                      AND wdj.language                                          = NVL(nonelk.language, wdj.language)
                                      AND wdj.language                                          = NVL(nolk.language, wdj.language)
                                      AND wdj.language                                          = NVL(status_lkp.language, wdj.language)
                                      AND wdj.language                                          = NVL(nomove_status_lkp.language, wdj.language)
                                      AND wdj.language                                          = NVL(move_status_lkp.language, wdj.language)
                                      AND wdj.language                                          = NVL(operation_ns_lkp.language, wdj.language)
                                      AND wdj.language                                 </t>
  </si>
  <si>
    <t>wip-serialdetails</t>
  </si>
  <si>
    <t>Serial Numbers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</si>
  <si>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TO_DATE('27-APR-20 13:58:47','DD-MON-RR HH24:MI:SS') + 7 )) AND (wdj.last_update_date &gt;= TO_DATE('27-APR-20 13:58:47','DD-MON-RR HH24:MI:SS')
													     OR we.last_update_date &gt;= TO_DATE('27-APR-20 13:58:47','DD-MON-RR HH24:MI:SS')
                                                         OR msn.last_update_date &gt;= TO_DATE('27-APR-20 13:58:47','DD-MON-RR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TO_DATE('27-APR-20 13:58:47','DD-MON-RR HH24:MI:SS')
													     OR we.last_update_date &gt;= TO_DATE('27-APR-20 13:58:47','DD-MON-RR HH24:MI:SS')
                                                         OR msn.last_update_date &gt;= TO_DATE('27-APR-20 13:58:47','DD-MON-RR HH24:MI:SS')
                                                         OR mog.last_update_date &gt;= TO_DATE('27-APR-20 13:58:47','DD-MON-RR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</si>
  <si>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TO_DATE('27-APR-20 02:02:30','DD-MON-RR HH24:MI:SS') + 7 ))  AND (wdj.last_update_date &gt;= TO_DATE('27-APR-20 02:02:30','DD-MON-RR HH24:MI:SS')
                                                        OR wo.last_update_date &gt;= TO_DATE('27-APR-20 02:02:30','DD-MON-RR HH24:MI:SS')
                                                        OR we.last_update_date &gt;= TO_DATE('27-APR-20 02:02:30','DD-MON-RR HH24:MI:SS')
                                                        OR wmt.last_update_date &gt;= TO_DATE('27-APR-20 02:02:30','DD-MON-RR HH24:MI:SS')
                                                        OR bd.last_update_date &gt;= TO_DATE('27-APR-20 02:02:30','DD-MON-RR HH24:MI:SS')
                                                        OR bso.last_update_date &gt;= TO_DATE('27-APR-20 02:02:30','DD-MON-RR HH24:MI:SS')
                                                        OR mtr.last_update_date &gt;= TO_DATE('27-APR-20 02:02:30','DD-MON-RR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</si>
  <si>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TO_DATE('27-APR-20 02:02:30','DD-MON-RR HH24:MI:SS') + 7 )) AND (wdj.last_update_date &gt;= TO_DATE('27-APR-20 02:02:30','DD-MON-RR HH24:MI:SS')
													     OR we.last_update_date &gt;= TO_DATE('27-APR-20 02:02:30','DD-MON-RR HH24:MI:SS')
                                                         OR msn.last_update_date &gt;= TO_DATE('27-APR-20 02:02:30','DD-MON-RR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TO_DATE('27-APR-20 02:02:30','DD-MON-RR HH24:MI:SS')
													     OR we.last_update_date &gt;= TO_DATE('27-APR-20 02:02:30','DD-MON-RR HH24:MI:SS')
                                                         OR msn.last_update_date &gt;= TO_DATE('27-APR-20 02:02:30','DD-MON-RR HH24:MI:SS')
                                                         OR mog.last_update_date &gt;= TO_DATE('27-APR-20 02:02:30','DD-MON-RR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</si>
  <si>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Oracle Asset Tracking</t>
  </si>
  <si>
    <t>oat-assets</t>
  </si>
  <si>
    <t>Oracle Asset Tracking: Instances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</si>
  <si>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to_date(to_char(to_timestamp('27-APR-20 01.54.38.000000 AM'),'DD-MON-YY HH24.MI.SS'),'DD-MON-YY HH24.MI.SS'))) OR  ( to_date(to_char(e.inst_last_upd_date , 'DD-MON-YY HH24.MI.SS') , 'DD-MON-YY HH24.MI.SS' ) &gt;=  to_date(to_char(to_timestamp('27-APR-20 01.54.38.000000 AM'),'DD-MON-YY HH24.MI.SS'),'DD-MON-YY HH24.MI.SS'))  OR  ( to_date(to_char(coa.last_update_date , 'DD-MON-YY HH24.MI.SS') , 'DD-MON-YY HH24.MI.SS' ) &gt;=  to_date(to_char(to_timestamp('27-APR-20 01.54.38.000000 AM'),'DD-MON-YY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to_date(to_char(to_timestamp('27-APR-20 01.54.38.000000 AM'),'DD-MON-YY HH24.MI.SS'),'DD-MON-YY HH24.MI.SS')))))</t>
  </si>
  <si>
    <t>Quality Management</t>
  </si>
  <si>
    <t>cn-quota</t>
  </si>
  <si>
    <t>Quota and Attainment</t>
  </si>
  <si>
    <t>SELECT * FROM (SELECT * FROM CN_ECC_QUOTA_V
				WHERE ECC_LAST_UPDATE_DATE &gt;= to_date(to_char(to_timestamp('27-APR-20 01.39.24.000000 AM'),'DD-MON-YY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</si>
  <si>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cn-trx</t>
  </si>
  <si>
    <t>Sales Transaction</t>
  </si>
  <si>
    <t>SELECT * FROM (SELECT col.ECC_SPEC_ID
    || '_'
    || cal.ECC_SPEC_ID
    || '_'
    || pay.ECC_SPEC_ID                                                                       AS ECC_SPEC_ID,
    COALESCE(GREATEST(col.ECC_LAST_UPDATE_DATE, cal.ECC_LAST_UPDATE_DATE, pay.ECC_LAST_UPDATE_DATE), col.ECC_LAST_UPDATE_DATE, cal.ECC_LAST_UPDATE_DATE, pay.ECC_LAST_UPDATE_DATE) AS ECC_LAST_UPDATE_DATE,
    col.API_PROCESSED_DATE,
    col.API_EMPLOYEE_NUMBER,
    col.API_SALESREP,
    col.API_SALESREP_ID,
    col.API_ORG_ID,
    col.API_TRANSACTION_TYPE,
    col.API_TRANSACTION_AMOUNT,
    col.API_REVENUE_TYPE,
    col.API_QUANTITY,
    col.API_UOM,
    col.API_CURRENCY_CODE,
    col.API_EXCHANGE_RATE,
    col.API_SOURCE_DOC_TYPE,
    col.API_SOURCE_TRX_NUMBER,
    col.API_SOURCE_DOC_ID,
    col.API_ORDER_NUMBER,
    col.API_ORDER_DATE,
    col.API_INVOICE_NUMBER,
    col.API_INVOICE_DATE,
    col.API_SALES_CHANNEL,
    col.API_CUSTOMER,
    col.API_BILL_TO_CONTACT,
    col.API_SHIP_TO_CONTACT,
    col.API_BILL_TO_ADDRESS,
    col.API_SHIP_TO_ADDRESS,
    col.API_INVENTORY_ITEM_ID,
    col.API_DISCOUNT_PERCENTAGE,
    col.API_MARGIN_PERCENTAGE,
    col.API_OPERATING_UNIT,
    col.API_ID,
    col.API_COMM_HEADER_ID,
    col.API_LOAD_STATUS,
    col.API_LOAD_STATUS_CODE,
    col.API_PERIOD,
    col.API_PERIOD_ID,
    col.API_CREATION_DATE,
    col.API_LAST_UPDATE_DATE,
    col.API_CREATED_BY,
    col.API_LAST_UPDATED_BY,
    col.API_LAST_UPDATE_LOGIN,
    col.API_CONC_BATCH_ID,
    col.API_BATCH_ID,
    col.API_PRE_PROCESSED_CODE,
    col.API_REVENUE_CLASS,
    col.API_PLAN,
    col.API_PLAN_ELEMENT,
    col.API_ROLLUP_DATE,
    col.API_ROLLUP_PERIOD,
    col.API_ROLLUP_PERIOD_ID,
    col.API_COMMISSION_AMOUNT,
    col.API_PRESERVE_CREDIT_FLAG,
    col.API_ADJUST_DATE,
    col.API_ADJ_API_ID,
    col.API_ADJ_STATUS,
    col.API_ADJ_COMMENTS,
    col.API_ADJUSTED_BY,
    col.API_ADJ_ROLLUP_FLAG,
    col.API_LINE_NUMBER,
    col.API_REASON,
    col.API_ROLE,
    col.API_COMP_GROUP,
    col.API_SPLIT_STATUS,
    col.API_SPLIT_PERCENT,
    col.API_TERRITORY,
    col.API_REVERSAL_FLAG,
    col.API_REVERSAL_HEADER_ID,
    col.API_NEGATED_FLAG,
    col.API_IMP_HEADER_ID,
    col.API_SOURCE_TRX_ID,
    col.API_SOURCE_TRX_LINE_ID,
    col.API_SOURCE_TRX_SALES_LINE_ID,
    col.API_ATTRIBUTE1,
    col.API_ATTRIBUTE2,
    col.API_ATTRIBUTE3,
    col.API_ATTRIBUTE4,
    col.API_ATTRIBUTE5,
    col.API_ATTRIBUTE6,
    col.API_ATTRIBUTE7,
    col.API_ATTRIBUTE8,
    col.API_ATTRIBUTE9,
    col.API_ATTRIBUTE10,
    col.API_ATTRIBUTE11,
    col.API_ATTRIBUTE12,
    col.API_ATTRIBUTE13,
    col.API_ATTRIBUTE14,
    col.API_ATTRIBUTE15,
    col.API_ATTRIBUTE16,
    col.API_ATTRIBUTE17,
    col.API_ATTRIBUTE18,
    col.API_ATTRIBUTE19,
    col.API_ATTRIBUTE20,
    col.API_ATTRIBUTE21,
    col.API_ATTRIBUTE22,
    col.API_ATTRIBUTE23,
    col.API_ATTRIBUTE24,
    col.API_ATTRIBUTE25,
    col.API_ATTRIBUTE26,
    col.API_ATTRIBUTE27,
    col.API_ATTRIBUTE28,
    col.API_ATTRIBUTE29,
    col.API_ATTRIBUTE30,
    col.API_ATTRIBUTE31,
    col.API_ATTRIBUTE32,
    col.API_ATTRIBUTE33,
    col.API_ATTRIBUTE34,
    col.API_ATTRIBUTE35,
    col.API_ATTRIBUTE36,
    col.API_ATTRIBUTE37,
    col.API_ATTRIBUTE38,
    col.API_ATTRIBUTE39,
    col.API_ATTRIBUTE40,
    col.API_ATTRIBUTE41,
    col.API_ATTRIBUTE42,
    col.API_ATTRIBUTE43,
    col.API_ATTRIBUTE44,
    col.API_ATTRIBUTE45,
    col.API_ATTRIBUTE46,
    col.API_ATTRIBUTE47,
    col.API_ATTRIBUTE48,
    col.API_ATTRIBUTE49,
    col.API_ATTRIBUTE50,
    col.API_ATTRIBUTE51,
    col.API_ATTRIBUTE52,
    col.API_ATTRIBUTE53,
    col.API_ATTRIBUTE54,
    col.API_ATTRIBUTE55,
    col.API_ATTRIBUTE56,
    col.API_ATTRIBUTE57,
    col.API_ATTRIBUTE58,
    col.API_ATTRIBUTE59,
    col.API_ATTRIBUTE60,
    col.API_ATTRIBUTE61,
    col.API_ATTRIBUTE62,
    col.API_ATTRIBUTE63,
    col.API_ATTRIBUTE64,
    col.API_ATTRIBUTE65,
    col.API_ATTRIBUTE66,
    col.API_ATTRIBUTE67,
    col.API_ATTRIBUTE68,
    col.API_ATTRIBUTE69,
    col.API_ATTRIBUTE70,
    col.API_ATTRIBUTE71,
    col.API_ATTRIBUTE72,
    col.API_ATTRIBUTE73,
    col.API_ATTRIBUTE74,
    col.API_ATTRIBUTE75,
    col.API_ATTRIBUTE76,
    col.API_ATTRIBUTE77,
    col.API_ATTRIBUTE78,
    col.API_ATTRIBUTE79,
    col.API_ATTRIBUTE80,
    col.API_ATTRIBUTE81,
    col.API_ATTRIBUTE82,
    col.API_ATTRIBUTE83,
    col.API_ATTRIBUTE84,
    col.API_ATTRIBUTE85,
    col.API_ATTRIBUTE86,
    col.API_ATTRIBUTE87,
    col.API_ATTRIBUTE88,
    col.API_ATTRIBUTE89,
    col.API_ATTRIBUTE90,
    col.API_ATTRIBUTE91,
    col.API_ATTRIBUTE92,
    col.API_ATTRIBUTE93,
    col.API_ATTRIBUTE94,
    col.API_ATTRIBUTE95,
    col.API_ATTRIBUTE96,
    col.API_ATTRIBUTE97,
    col.API_ATTRIBUTE98,
    col.API_ATTRIBUTE99,
    col.API_ATTRIBUTE100,
    col.API_ATTRIBUTE_CATEGORY,
    col.CN_SCA_STATUS,
    cal.COMM_LINE_ID,
    cal.COMM_HEADER_ID,
    cal.PROCESSED_DATE,
    cal.TRANSACTION_TYPE,
    cal.TRANSACTION_AMOUNT,
    cal.REVENUE_TYPE,
    cal.QUANTITY,
    cal.UOM,
    cal.SOURCE_DOC_TYPE,
    cal.SOURCE_TRX_NUMBER,
    cal.SALES_CHANNEL,
    cal.ORDER_DATE,
    cal.ORDER_NUMBER,
    cal.INVOICE_NUMBER,
    cal.INVOICE_DATE,
    cal.ORIGINAL_TRANSACTION_AMOUNT,
    cal.ORIGINAL_CURRENCY_CODE,
    cal.EXCHANGE_RATE,
    cal.DISCOUNT_PERCENTAGE,
    cal.MARGIN_PERCENTAGE,
    cal.OPERATING_UNIT,
    cal.PRE_PROCESSED_CODE,
    cal.PERIOD,
    cal.PERIOD_ID,
    cal.INTERVAL,
    cal.YEAR,
    cal.STATUS,
    cal.STATUS_CODE,
    cal.CREATED_DURING,
    cal.ROLLUP_FLAG,
    cal.ROLLUP_DATE,
    cal.ROLLUP_PERIOD,
    cal.ROLLUP_PERIOD_ID,
    cal.ROLLUP_LEVEL,
    cal.EVENT_FACTOR,
    cal.QUOTA_FACTOR,
    cal.PAYMENT_FACTOR,
    cal.QUOTA_AMOUNT,
    NVL(cal.COMMISSION_AMOUNT, 0) AS COMMISSION_AMOUNT,
    cal.COMMISSION_RATE,
    cal.TIER_SPLIT,
    cal.INPUT_ACHIEVED,
    cal.OUTPUT_ACHIEVED,
    cal.PERF_ACHIEVED,
    cal.CREATION_DATE,
    cal.LAST_UPDATE_DATE,
    cal.CREATED_BY,
    cal.LAST_UPDATED_BY,
    cal.LAST_UPDATE_LOGIN,
    cal.EXCEPTION,
    cal.REASON,
    cal.ERROR,
    cal.ERROR_REASON,
    cal.COMMENTS,
    cal.TRX_BATCH_ID,
    cal.REQUEST_ID,
    cal.COMMISSION_PAID_PTD,
    cal.QUOTA_ACHIEVED_PTD,
    cal.POSTING_STATUS,
    cal.POSTING_STATUS_CODE,
    NVL(pay.PAYRUN_PAY_PERIOD, cal.PAY_PERIOD) AS PAY_PERIOD,
    NVL(pay.PAYRUN_PAY_PERIOD_ID, cal.PAY_PERIOD_ID) AS PAY_PERIOD_ID,
    cal.PENDING_STATUS,
    cal.PENDING_DATE,
    cal.PAYMENT_FLAG,
    cal.PAYEE,
    cal.PAYEE_LINE_ID,
    cal.ADJ_COMM_LINES_API_ID,
    cal.REVERSAL_FLAG,
    cal.REVERSAL_HEADER_ID,
    cal.ADJUST_STATUS,
    cal.ADJUST_DATE,
    cal.ADJUSTED_BY,
    cal.ADJUST_ROLLUP_FLAG,
    cal.ADJUST_COMMENTS,
    cal.LINE_NUMBER,
    cal.ORIGINAL_CREDIT_RECEIVER,
    cal.CREDIT_RECEIVER,
    cal.CREDITED_SALESREP_ID,
    cal.COMM_ORG_ID,
    cal.COMM_RESOURCE_ID,
    cal.ROLE,
    cal.COMPENSATION_GROUP,
    cal.SPLIT_PERCENTAGE,
    cal.SPLIT_STATUS,
    cal.PRODUCTS,
    cal.PRE_DEFINED_REV_CLASS_FLAG,
    cal.PLAN_ELEMENT,
    cal.QUOTA_GROUP,
    cal.INCENTIVE_TYPE,
    cal.PLAN,
    cal.CUSTOMER,
    cal.CUSTOMER_NUMBER,
    cal.BILL_TO_ADDRESS,
    cal.SHIP_TO_ADDRESS,
    cal.BILL_TO_CONTACT,
    cal.SHIP_TO_CONTACT,
    cal.NEGATED_FLAG,
    cal.PARENT_HEADER_ID,
    cal.ATTRIBUTE1,
    cal.ATTRIBUTE2,
    cal.ATTRIBUTE3,
    cal.ATTRIBUTE4,
    cal.ATTRIBUTE5,
    cal.ATTRIBUTE6,
    cal.ATTRIBUTE7,
    cal.ATTRIBUTE8,
    cal.ATTRIBUTE9,
    cal.ATTRIBUTE10,
    cal.ATTRIBUTE11,
    cal.ATTRIBUTE12,
    cal.ATTRIBUTE13,
    cal.ATTRIBUTE14,
    cal.ATTRIBUTE15,
    cal.ATTRIBUTE16,
    cal.ATTRIBUTE17,
    cal.ATTRIBUTE18,
    cal.ATTRIBUTE19,
    cal.ATTRIBUTE20,
    cal.ATTRIBUTE21,
    cal.ATTRIBUTE22,
    cal.ATTRIBUTE23,
    cal.ATTRIBUTE24,
    cal.ATTRIBUTE25,
    cal.ATTRIBUTE26,
    cal.ATTRIBUTE27,
    cal.ATTRIBUTE28,
    cal.ATTRIBUTE29,
    cal.ATTRIBUTE30,
    cal.ATTRIBUTE31,
    cal.ATTRIBUTE32,
    cal.ATTRIBUTE33,
    cal.ATTRIBUTE34,
    cal.ATTRIBUTE35,
    cal.ATTRIBUTE36,
    cal.ATTRIBUTE37,
    cal.ATTRIBUTE38,
    cal.ATTRIBUTE39,
    cal.ATTRIBUTE40,
    cal.ATTRIBUTE41,
    cal.ATTRIBUTE42,
    cal.ATTRIBUTE43,
    cal.ATTRIBUTE44,
    cal.ATTRIBUTE45,
    cal.ATTRIBUTE46,
    cal.ATTRIBUTE47,
    cal.ATTRIBUTE48,
    cal.ATTRIBUTE49,
    cal.ATTRIBUTE50,
    cal.ATTRIBUTE51,
    cal.ATTRIBUTE52,
    cal.ATTRIBUTE53,
    cal.ATTRIBUTE54,
    cal.ATTRIBUTE55,
    cal.ATTRIBUTE56,
    cal.ATTRIBUTE57,
    cal.ATTRIBUTE58,
    cal.ATTRIBUTE59,
    cal.ATTRIBUTE60,
    cal.ATTRIBUTE61,
    cal.ATTRIBUTE62,
    cal.ATTRIBUTE63,
    cal.ATTRIBUTE64,
    cal.ATTRIBUTE65,
    cal.ATTRIBUTE66,
    cal.ATTRIBUTE67,
    cal.ATTRIBUTE68,
    cal.ATTRIBUTE69,
    cal.ATTRIBUTE70,
    cal.ATTRIBUTE71,
    cal.ATTRIBUTE72,
    cal.ATTRIBUTE73,
    cal.ATTRIBUTE74,
    cal.ATTRIBUTE75,
    cal.ATTRIBUTE76,
    cal.ATTRIBUTE77,
    cal.ATTRIBUTE78,
    cal.ATTRIBUTE79,
    cal.ATTRIBUTE80,
    cal.ATTRIBUTE81,
    cal.ATTRIBUTE82,
    cal.ATTRIBUTE83,
    cal.ATTRIBUTE84,
    cal.ATTRIBUTE85,
    cal.ATTRIBUTE86,
    cal.ATTRIBUTE87,
    cal.ATTRIBUTE88,
    cal.ATTRIBUTE89,
    cal.ATTRIBUTE90,
    cal.ATTRIBUTE91,
    cal.ATTRIBUTE92,
    cal.ATTRIBUTE93,
    cal.ATTRIBUTE94,
    cal.ATTRIBUTE95,
    cal.ATTRIBUTE96,
    cal.ATTRIBUTE97,
    cal.ATTRIBUTE98,
    cal.ATTRIBUTE99,
    cal.ATTRIBUTE100,
    cal.ATTRIBUTE_CATEGORY,
    pay.PMT_CREDITED_SALESREP,
    pay.TERMINATED,
    pay.PMT_PAYEE,
    pay.PMT_ROLE,
    pay.PMT_TRANSACTION_TYPE,
    pay.PMT_INCENTIVE_TYPE,
    pay.PMT_AMOUNT,
    pay.PMT_CREDIT_TYPE,
    pay.PMT_RECOVERABLE_FLAG,
    NVL(pay.PAYRUN_PAY_PERIOD, pay.PMT_PAY_PERIOD) AS PMT_PAY_PERIOD,
    NVL(pay.PAYRUN_PAY_PERIOD_ID, pay.PMT_PAY_PERIOD_ID) AS PMT_PAY_PERIOD_ID,
    NVL(pay.PAYRUN_PAY_INTERVAL, pay.PMT_PAY_INTERVAL) AS PMT_PAY_INTERVAL,
    NVL(pay.PAYRUN_PAY_YEAR, pay.PMT_PAY_YEAR) AS PMT_PAY_YEAR,
    pay.PMT_PROCESSED_DATE,
    pay.PMT_PROCESSED_PERIOD,
    pay.PMT_PROCESSED_PERIOD_ID,
    pay.PMT_PROCESSED_YEAR,
    pay.PMT_PROCESSED_INTERVAL,
    pay.PMT_PLAN,
    pay.PMT_PLAN_ELEMENT,
    pay.PMT_PAY_ELEMENT_TYPE,
    pay.PMT_EXPENSE_CC_ID,
    pay.PMT_LIABILITY_CC_ID,
    pay.PMT_OPERATING_UNIT,
    pay.PMT_PAYRUN_NAME,
    pay.PMT_TRANSACTION_ID,
    pay.PMT_POSTING_BATCH_ID,
    pay.PMT_POSTING_TYPE,
    pay.PMT_COMM_HEADER_ID,
    pay.PMT_COMM_LINE_ID,
    pay.PMT_HOLD_FLAG,
    pay.PMT_WAIVE_FLAG,
    pay.PMT_PAID_FLAG,
    pay.PMT_PAYMENT_AMOUNT,
    pay.PMT_CREATION_DATE,
    pay.PMT_LAST_UPDATE_DATE,
    pay.PMT_CREATED_BY,
    pay.PMT_LAST_UPDATED_BY,
    pay.PMT_LAST_UPDATE_LOGIN,
    pay.PAYRUN_NAME,
    pay.payrun_id,
    pay.PAYRUN_ORG_ID,
    pay.PAYSHEET_ID,
    pay.PAYSHEET_SALESREP,
    pay.PAYSHEET_SALESREP_ID,
    pay.EMPLOYEE_NUMBER,
    pay.PAYSHEET_ROLE,
    pay.PAYSHEET_CURRENT_EARNINGS,
    pay.PAYSHEET_CURRENT_EARNINGS_DUE,
    pay.PAYSHEET_CREDIT_TYPE,
    pay.PAYSHEET_CREDIT_CONV_FACTOR,
    pay.PAYSHEET_COST_CENTER,
    pay.PAYSHEET_OPERATING_UNIT,
    pay.PAYSHEET_STATUS,
    pay.PAYSHEET_STATUS_CODE,
    pay.PAYSHEET_POSTING_STATUS,
    pay.PAYSHEET_RETURNED_FUNDS_FLAG,
    pay.PAYSHEET_POST_SUBLEDGER_FLAG,
    NVL(pay.PAYSHEET_PAYMENT_REC_PLANS, 0) AS PAYSHEET_PAYMENT_REC_PLANS,
    pay.PAYSHEET_PAY_AMOUNT_CALCULATED,
    pay.PAYSHEET_PAY_AMOUNT_RECOVERY,
    NVL(pay.PAYSHEET_PAY_AMOUNT_ADJUSTMENT, 0) AS PAYSHEET_PAY_AMOUNT_ADJUSTMENT,
    pay.PAYSHEET_PAY_AMOUNT_ADJ_REC,
    pay.PAYSHEET_PAY_AMT_ADJ_NON_REC,
    pay.PAYSHEET_COMM_DUE_BB,
    pay.PAYSHEET_COMM_PTD,
    pay.PAYSHEET_COMM_DRAW,
    pay.PAYSHEET_COMM_PAID,
    pay.PAYSHEET_COMM_NON_REC,
    pay.PAYSHEET_BONUS_GIVEN,
    pay.PAYSHEET_BONUS_REASON,
    pay.PAYSHEET_BONUS_DUE_BB,
    pay.PAYSHEET_BONUS_PTD,
    pay.PAYSHEET_BONUS_DRAW,
    pay.PAYSHEET_BONUS_PAID,
    pay.PAYSHEET_MINIMUM_AMOUNT,
    pay.PAYSHEET_DRAW_REC_BB,
    pay.PAYSHEET_DRAW_PTD,
    pay.PAYSHEET_DRAW_PAID,
    pay.PAYSHEET_REG_BONUS_DUE_BB,
    pay.PAYSHEET_REG_BONUS_PTD,
    pay.PAYSHEET_REG_BONUS_PAID,
    pay.PAYSHEET_REG_BONUS_REC,
    pay.PAYSHEET_REG_BONUS_NON_REC,
    pay.PAYSHEET_PAYEE_COMM_DUE_BB,
    pay.PAYSHEET_PAYEE_COMM_PTD,
    pay.PAYSHEET_PAYEE_COMM_PAID,
    pay.PAYSHEET_PAYEE_BONUS_DUE_BB,
    pay.PAYSHEET_PAYEE_BONUS_PTD,
    pay.PAYSHEET_PAYEE_BONUS_PAID,
    NVL(pay.PAYSHEET_HELD_AMOUNT, 0) AS PAYSHEET_HELD_AMOUNT,
    pay.PAYSHEET_PAY_CAP,
    pay.PAYSHEET_PRI_PERIOD_ADJUST_BB,
    pay.PAYSHEET_ADJUST_PAID,
    pay.PAYSHEET_ADJUST_NON_REC,
    pay.PAYSHEET_ADJUST_REC,
    pay.PAYSHEET_ANALYST_NOTES,
    pay.PAYSHEET_REASON,
    pay.PAYSHEET_RECOVERY_METHOD,
    pay.PAYSHEET_REQUEST_ID,
    pay.PAYSHEET_CREATION_DATE,
    pay.PAYSHEET_LAST_UPDATE_DATE,
    pay.PAYSHEET_CREATED_BY,
    pay.PAYSHEET_LAST_UPDATED_BY,
    pay.PAYSHEET_REVIEWED_BY_ANALYST,
    NVL(pay.PAYMENT_TOTAL, 0) AS PAYMENT_TOTAL,
    pay.PAYMENT_DIFF,
    pay.PAYSHEET_NOTES,
    pay.PAYRUN_STATUS,
    pay.PAYRUN_STATUS_CODE,
    pay.PAYRUN_PAY_DATE,
    pay.PAYRUN_PAY_PERIOD,
    pay.PAYRUN_PAY_PERIOD_ID,
    pay.PAYRUN_PAY_INTERVAL,
    pay.PAYRUN_PAY_YEAR,
    pay.PAYRUN_PAY_GROUP,
    pay.PAYRUN_TO_CREDIT_TYPE,
    pay.PAYRUN_INCENTIVE_TYPE,
    pay.PAYRUN_BATCH_ID,
    pay.PAYRUN_MODE,
    pay.PAYRUN_CREATION_DATE,
    pay.PAYRUN_LAST_UPDATE_DATE,
    pay.PAYRUN_CREATED_BY,
    pay.PAYRUN_LAST_UPDATED_BY,
    pay.PAYRUN_LAST_UPDATE_LOGIN,
    pay.PAYRUN_NOTES,
    pay.PAYRUN_OPERATING_UNIT,
    pay.PMT_ATTRIBUTE_CATEGORY,
    pay.PMT_ATTRIBUTE1,
    pay.PMT_ATTRIBUTE2,
    pay.PMT_ATTRIBUTE3,
    pay.PMT_ATTRIBUTE4,
    pay.PMT_ATTRIBUTE5,
    pay.PMT_ATTRIBUTE6,
    pay.PMT_ATTRIBUTE7,
    pay.PMT_ATTRIBUTE8,
    pay.PMT_ATTRIBUTE9,
    pay.PMT_ATTRIBUTE10,
    pay.PMT_ATTRIBUTE11,
    pay.PMT_ATTRIBUTE12,
    pay.PMT_ATTRIBUTE13,
    pay.PMT_ATTRIBUTE14,
    pay.PMT_ATTRIBUTE15,
    col.LIFECYCLE_STATUS AS COLLECT_LIFECYCLE,
    cal.LIFECYCLE_STATUS AS CALC_LIFECYCLE,
    pay.LIFECYCLE_STATUS AS PAY_LIFECYCLE,
    'COLLECT: ' || col.LIFECYCLE_STATUS
    || DECODE(cal.LIFECYCLE_STATUS, null, DECODE(pay.LIFECYCLE_STATUS, null,'', ' -&gt; CALC: ' || cal.LIFECYCLE_STATUS), ' -&gt; CALC: ' || cal.LIFECYCLE_STATUS)
    || DECODE(pay.LIFECYCLE_STATUS, null, '', ' -&gt; PAY: ' || pay.LIFECYCLE_STATUS) AS LIFECYCLE_STATUS,
	NVL(NVL(col.LANGUAGE, cal.LANGUAGE), pay.LANGUAGE)          AS LANGUAGE
  FROM (SELECT /*+ leading(tmp) cardinality(tmp 10) */  DISTINCT  (CCLA.COMM_LINES_API_ID
  || '_API')                      AS ECC_SPEC_ID,
  NVL(CCLA.LAST_UPDATE_DATE, CCLA.CREATION_DATE)           AS ECC_LAST_UPDATE_DATE,
  CCLA.processed_date             AS API_PROCESSED_DATE,
  CCLA.EMPLOYEE_NUMBER            AS API_EMPLOYEE_NUMBER,
  RSD.name                        AS API_SALESREP,
  CCLA.SALESREP_ID                AS API_SALESREP_ID,
  CCLA.ORG_ID                     AS API_ORG_ID,
  CLT.meaning                     AS API_TRANSACTION_TYPE,
  NVL(CCLA.transaction_amount, 0) AS API_TRANSACTION_AMOUNT,
  CCLA.REVENUE_TYPE               AS API_REVENUE_TYPE,
  CCLA.quantity                   AS API_QUANTITY,
  CCLA.UOM_CODE                   AS API_UOM,
  CCLA.TRANSACTION_CURRENCY_CODE  AS API_CURRENCY_CODE,
  CCLA.EXCHANGE_RATE              AS API_EXCHANGE_RATE,
  CCLA.SOURCE_DOC_TYPE            AS API_SOURCE_DOC_TYPE,
  CCLA.SOURCE_TRX_NUMBER          AS API_SOURCE_TRX_NUMBER,
  CCLA.SOURCE_DOC_ID              AS API_SOURCE_DOC_ID,
  CCLA.order_number               AS API_ORDER_NUMBER,
  CCLA.BOOKED_DATE                AS API_ORDER_DATE,
  CCLA.invoice_number             AS API_INVOICE_NUMBER,
  CCLA.INVOICE_DATE               AS API_INVOICE_DATE,
  CCLA.SALES_CHANNEL              AS API_SALES_CHANNEL,
  RAC.customer_name               AS API_CUSTOMER,
  RABC.person_last_name
  ||', '
  ||RABC.person_first_name AS API_BILL_TO_CONTACT,
  RASC.person_last_name
  ||', '
  ||RASC.person_first_name AS API_SHIP_TO_CONTACT,
  RABA.address1  AS API_BILL_TO_ADDRESS,
  RASA.address1  AS API_SHIP_TO_ADDRESS,
  CCLA.INVENTORY_ITEM_ID   AS API_INVENTORY_ITEM_ID,
  CCLA.DISCOUNT_PERCENTAGE   AS API_DISCOUNT_PERCENTAGE,
  CCLA.MARGIN_PERCENTAGE    AS API_MARGIN_PERCENTAGE,
  HPU.name                  AS API_OPERATING_UNIT,
  CCLA.comm_lines_api_id     AS API_ID,
  NULL                        AS API_COMM_HEADER_ID,
  (SELECT CNL.MEANING FROM CN_LOOKUPS CNL WHERE CCLA.load_status = CNL.lookup_code
   AND CNL.lookup_type                              = 'LOAD_STATUS'
  )          AS API_LOAD_STATUS,
  CCLA.load_status           AS API_LOAD_STATUS_CODE,
  CCLA.PROCESSED_PERIOD_ID   AS API_PERIOD_ID,
  calper.period_name         AS API_PERIOD,
  CCLA.CREATION_DATE        AS API_CREATION_DATE,
  CCLA.LAST_UPDATE_DATE      AS API_LAST_UPDATE_DATE,
  (SELECT DISTINCT pap.full_name FROM per_all_people_f pap, fnd_user fu WHERE pap.person_id=fu.employee_id AND fu.user_id   = CCLA.CREATED_BY) AS API_CREATED_BY,
  (SELECT DISTINCT pap.full_name FROM per_all_people_f pap, fnd_user fu WHERE pap.person_id=fu.employee_id AND fu.user_id   = CCLA.LAST_UPDATED_BY) AS API_LAST_UPDATED_BY,
  (SELECT DISTINCT pap.full_name FROM per_all_people_f pap, fnd_user fu WHERE pap.person_id=fu.employee_id AND fu.user_id   = CCLA.LAST_UPDATE_LOGIN) AS API_LAST_UPDATE_LOGIN,
  CCLA.CONC_BATCH_ID         AS API_CONC_BATCH_ID,
  CCLA.PROCESS_BATCH_ID      AS API_BATCH_ID,
  CCLA.PRE_PROCESSED_CODE   AS API_PRE_PROCESSED_CODE,
  CRC.NAME                   AS API_REVENUE_CLASS,
  COMPPLAN.COMPPLAN_NAME     AS API_PLAN,
  CQ.name                    AS API_PLAN_ELEMENT,
  CCLA.ROLLUP_DATE           AS API_ROLLUP_DATE,
  CCLA.ROLLUP_PERIOD_ID      AS API_ROLLUP_PERIOD_ID,
  (SELECT
    per.period_name
  FROM cn_cal_per_int_types_all cal,
    cn_period_statuses_all per
  WHERE cal.org_id                              = per.org_id
  AND per.org_id =  CCLA.org_id
  AND per.period_id = CCLA.ROLLUP_PERIOD_ID
  AND cal.cal_period_id                         = per.period_id
  AND cal.interval_type_id                      = -1000
  AND (per.PERIOD_SET_ID, per.PERIOD_TYPE_ID )   IN
    (SELECT CR.PERIOD_SET_ID, CR.PERIOD_TYPE_ID FROM CN_REPOSITORIES_ALL CR
    )
  )        AS API_ROLLUP_PERIOD,
  CCLA.COMMISSION_AMOUNT     AS API_COMMISSION_AMOUNT,
  DECODE(CCLA.PRESERVE_CREDIT_OVERRIDE_FLAG, NULL,FND_MESSAGE.GET_STRING('CN','CN_SCA_NO'), 'N', FND_MESSAGE.GET_STRING('CN','CN_SCA_NO'), FND_MESSAGE.GET_STRING('CN','CN_SCA_YES')) AS API_PRESERVE_CREDIT_FLAG,
  CCLA.adjust_date          AS API_ADJUST_DATE,
  CCLA.ADJ_COMM_LINES_API_ID AS API_ADJ_API_ID,
  CLAD.meaning              AS API_ADJ_STATUS,
  CCLA.ADJUST_COMMENTS       AS API_ADJ_COMMENTS,
  (SELECT DISTINCT pap.full_name FROM per_all_people_f pap, fnd_user fu WHERE pap.person_id=fu.employee_id AND fu.user_name = CCLA.ADJUSTED_BY) AS API_ADJUSTED_BY,
  CCLA.ADJUST_ROLLUP_FLAG    AS API_ADJ_ROLLUP_FLAG,
  CCLA.LINE_NUMBER           AS API_LINE_NUMBER,
  CCLA.REASON_CODE           AS API_REASON,
  CR.ROLE_NAME               AS API_ROLE,
  CG.GROUP_NAME              AS API_COMP_GROUP,
  CCLA.SPLIT_STATUS          AS API_SPLIT_STATUS,
  CCLA.split_pct             AS API_SPLIT_PERCENT,
  CCLA.TERR_NAME             AS API_TERRITORY,
  CCLA.REVERSAL_FLAG         AS API_REVERSAL_FLAG,
  CCLA.REVERSAL_HEADER_ID    AS API_REVERSAL_HEADER_ID,
  CCLA.NEGATED_FLAG          AS API_NEGATED_FLAG,
  CCLA.IMP_HEADER_ID         AS API_IMP_HEADER_ID,
  CCLA.SOURCE_TRX_ID         AS API_SOURCE_TRX_ID,
  CCLA.SOURCE_TRX_LINE_ID    AS API_SOURCE_TRX_LINE_ID,
  CCLA.SOURCE_TRX_SALES_LINE_ID  AS API_SOURCE_TRX_SALES_LINE_ID,
  CCLA.ATTRIBUTE1 API_ATTRIBUTE1,
  CCLA.ATTRIBUTE2 API_ATTRIBUTE2,
  CCLA.ATTRIBUTE3 API_ATTRIBUTE3,
  CCLA.ATTRIBUTE4 API_ATTRIBUTE4,
  CCLA.ATTRIBUTE5 API_ATTRIBUTE5,
  CCLA.ATTRIBUTE6 API_ATTRIBUTE6,
  CCLA.ATTRIBUTE7 API_ATTRIBUTE7,
  CCLA.ATTRIBUTE8 API_ATTRIBUTE8,
  CCLA.ATTRIBUTE9 API_ATTRIBUTE9,
  CCLA.ATTRIBUTE10 API_ATTRIBUTE10,
  CCLA.ATTRIBUTE11 API_ATTRIBUTE11,
  CCLA.ATTRIBUTE12 API_ATTRIBUTE12,
  CCLA.ATTRIBUTE13 API_ATTRIBUTE13,
  CCLA.ATTRIBUTE14 API_ATTRIBUTE14,
  CCLA.ATTRIBUTE15 API_ATTRIBUTE15,
  CCLA.ATTRIBUTE16 API_ATTRIBUTE16,
  CCLA.ATTRIBUTE17 API_ATTRIBUTE17,
  CCLA.ATTRIBUTE18 API_ATTRIBUTE18,
  CCLA.ATTRIBUTE19 API_ATTRIBUTE19,
  CCLA.ATTRIBUTE20 API_ATTRIBUTE20,
  CCLA.ATTRIBUTE21 API_ATTRIBUTE21,
  CCLA.ATTRIBUTE22 API_ATTRIBUTE22,
  CCLA.ATTRIBUTE23 API_ATTRIBUTE23,
  CCLA.ATTRIBUTE24 API_ATTRIBUTE24,
  CCLA.ATTRIBUTE25 API_ATTRIBUTE25,
  CCLA.ATTRIBUTE26 API_ATTRIBUTE26,
  CCLA.ATTRIBUTE27 API_ATTRIBUTE27,
  CCLA.ATTRIBUTE28 API_ATTRIBUTE28,
  CCLA.ATTRIBUTE29 API_ATTRIBUTE29,
  CCLA.ATTRIBUTE30 API_ATTRIBUTE30,
  CCLA.ATTRIBUTE31 API_ATTRIBUTE31,
  CCLA.ATTRIBUTE32 API_ATTRIBUTE32,
  CCLA.ATTRIBUTE33 API_ATTRIBUTE33,
  CCLA.ATTRIBUTE34 API_ATTRIBUTE34,
  CCLA.ATTRIBUTE35 API_ATTRIBUTE35,
  CCLA.ATTRIBUTE36 API_ATTRIBUTE36,
  CCLA.ATTRIBUTE37 API_ATTRIBUTE37,
  CCLA.ATTRIBUTE38 API_ATTRIBUTE38,
  CCLA.ATTRIBUTE39 API_ATTRIBUTE39,
  CCLA.ATTRIBUTE40 API_ATTRIBUTE40,
  CCLA.ATTRIBUTE41 API_ATTRIBUTE41,
  CCLA.ATTRIBUTE42 API_ATTRIBUTE42,
  CCLA.ATTRIBUTE43 API_ATTRIBUTE43,
  CCLA.ATTRIBUTE44 API_ATTRIBUTE44,
  CCLA.ATTRIBUTE45 API_ATTRIBUTE45,
  CCLA.ATTRIBUTE46 API_ATTRIBUTE46,
  CCLA.ATTRIBUTE47 API_ATTRIBUTE47,
  CCLA.ATTRIBUTE48 API_ATTRIBUTE48,
  CCLA.ATTRIBUTE49 API_ATTRIBUTE49,
  CCLA.ATTRIBUTE50 API_ATTRIBUTE50,
  CCLA.ATTRIBUTE51 API_ATTRIBUTE51,
  CCLA.ATTRIBUTE52 API_ATTRIBUTE52,
  CCLA.ATTRIBUTE53 API_ATTRIBUTE53,
  CCLA.ATTRIBUTE54 API_ATTRIBUTE54,
  CCLA.ATTRIBUTE55 API_ATTRIBUTE55,
  CCLA.ATTRIBUTE56 API_ATTRIBUTE56,
  CCLA.ATTRIBUTE57 API_ATTRIBUTE57,
  CCLA.ATTRIBUTE58 API_ATTRIBUTE58,
  CCLA.ATTRIBUTE59 API_ATTRIBUTE59,
  CCLA.ATTRIBUTE60 API_ATTRIBUTE60,
  CCLA.ATTRIBUTE61 API_ATTRIBUTE61,
  CCLA.ATTRIBUTE62 API_ATTRIBUTE62,
  CCLA.ATTRIBUTE63 API_ATTRIBUTE63,
  CCLA.ATTRIBUTE64 API_ATTRIBUTE64,
  CCLA.ATTRIBUTE65 API_ATTRIBUTE65,
  CCLA.ATTRIBUTE66 API_ATTRIBUTE66,
  CCLA.ATTRIBUTE67 API_ATTRIBUTE67,
  CCLA.ATTRIBUTE68 API_ATTRIBUTE68,
  CCLA.ATTRIBUTE69 API_ATTRIBUTE69,
  CCLA.ATTRIBUTE70 API_ATTRIBUTE70,
  CCLA.ATTRIBUTE71 API_ATTRIBUTE71,
  CCLA.ATTRIBUTE72 API_ATTRIBUTE72,
  CCLA.ATTRIBUTE73 API_ATTRIBUTE73,
  CCLA.ATTRIBUTE74 API_ATTRIBUTE74,
  CCLA.ATTRIBUTE75 API_ATTRIBUTE75,
  CCLA.ATTRIBUTE76 API_ATTRIBUTE76,
  CCLA.ATTRIBUTE77 API_ATTRIBUTE77,
  CCLA.ATTRIBUTE78 API_ATTRIBUTE78,
  CCLA.ATTRIBUTE79 API_ATTRIBUTE79,
  CCLA.ATTRIBUTE80 API_ATTRIBUTE80,
  CCLA.ATTRIBUTE81 API_ATTRIBUTE81,
  CCLA.ATTRIBUTE82 API_ATTRIBUTE82,
  CCLA.ATTRIBUTE83 API_ATTRIBUTE83,
  CCLA.ATTRIBUTE84 API_ATTRIBUTE84,
  CCLA.ATTRIBUTE85 API_ATTRIBUTE85,
  CCLA.ATTRIBUTE86 API_ATTRIBUTE86,
  CCLA.ATTRIBUTE87 API_ATTRIBUTE87,
  CCLA.ATTRIBUTE88 API_ATTRIBUTE88,
  CCLA.ATTRIBUTE89 API_ATTRIBUTE89,
  CCLA.ATTRIBUTE90 API_ATTRIBUTE90,
  CCLA.ATTRIBUTE91 API_ATTRIBUTE91,
  CCLA.ATTRIBUTE92 API_ATTRIBUTE92,
  CCLA.ATTRIBUTE93 API_ATTRIBUTE93,
  CCLA.ATTRIBUTE94 API_ATTRIBUTE94,
  CCLA.ATTRIBUTE95 API_ATTRIBUTE95,
  CCLA.ATTRIBUTE96 API_ATTRIBUTE96,
  CCLA.ATTRIBUTE97 API_ATTRIBUTE97,
  CCLA.ATTRIBUTE98 API_ATTRIBUTE98,
  CCLA.ATTRIBUTE99 API_ATTRIBUTE99,
  CCLA.ATTRIBUTE100 API_ATTRIBUTE100,
  CCLA.ATTRIBUTE_CATEGORY API_ATTRIBUTE_CATEGORY,
  DECODE(CCLA.TERR_ID, NULL,'CN_SCA_COLLECTED', 'CN_SCA_CREDITED') AS CN_SCA_STATUS,
  DECODE(CCLA.TERR_ID, NULL,FND_MESSAGE.GET_STRING('CN','CN_SCA_COLLECTED'), FND_MESSAGE.GET_STRING('CN','CN_SCA_CREDITED'))
  || '-&gt; '
  || (SELECT CNL.MEANING FROM CN_LOOKUPS CNL WHERE CCLA.load_status = CNL.lookup_code
   AND CNL.lookup_type                              = 'LOAD_STATUS'
      )     AS LIFECYCLE_STATUS,
  'COLLECT'               AS RECORD_TYPE,
  HPU.LANGUAGE 			    AS LANGUAGE
FROM cn_comm_lines_api_all CCLA,
      cn_ecc_trxv_date_gtt tmp,
  HR_ALL_ORGANIZATION_UNITS_TL HPU,
  jtf_rs_salesreps RSD,
  (SELECT per.period_id,
    per.period_name,
    per.period_year,
    cal.interval_number,
    per.org_id
  FROM cn_cal_per_int_types_all cal,
    cn_period_statuses_all per
  WHERE cal.org_id                              = per.org_id
  AND cal.cal_period_id                         = per.period_id
  AND cal.interval_type_id                      = -1000
  AND (per.PERIOD_SET_ID, per.PERIOD_TYPE_ID )   IN
    (SELECT CR.PERIOD_SET_ID, CR.PERIOD_TYPE_ID FROM CN_REPOSITORIES_ALL CR
    )
  AND per.PERIOD_ID BETWEEN REGEXP_SUBSTR(fnd_profile.value('CN_ECC_VIEW_PERIOD') , '[^,]+', 1, 1) and REGEXP_SUBSTR(fnd_profile.value('CN_ECC_VIEW_PERIOD'), '[^,]+', 1, 2)
  ) calper,
  (SELECT CUST_ACCT.CUST_ACCOUNT_ID CUSTOMER_ID,
    substrb(PARTY.PARTY_NAME,1,50) CUSTOMER_NAME,
    CUST_ACCT.ACCOUNT_NUMBER CUSTOMER_NUMBER
  FROM HZ_PARTIES PARTY,
    HZ_CUST_ACCOUNTS CUST_ACCT
  WHERE CUST_ACCT.PARTY_ID = PARTY.PARTY_ID
  ) rac,
  (SELECT ACCT_ROLE.CUST_ACCOUNT_ROLE_ID,
    substrb(PARTY.PERSON_LAST_NAME,1,50) PERSON_LAST_NAME,
    substrb(PARTY.PERSON_FIRST_NAME,1,40) PERSON_FIRST_NAME
  FROM HZ_CUST_ACCOUNT_ROLES ACCT_ROLE,
    HZ_PARTIES PARTY,
    HZ_RELATIONSHIPS REL,
    HZ_ORG_CONTACTS ORG_CONT,
    HZ_PARTIES REL_PARTY,
    HZ_CUST_ACCOUNTS ROLE_ACCT
  WHERE ACCT_ROLE.PARTY_ID           = REL.PARTY_ID
  AND ACCT_ROLE.ROLE_TYPE            = 'CONTACT'
  AND ORG_CONT.PARTY_RELATIONSHIP_ID = REL.RELATIONSHIP_ID
  AND REL.SUBJECT_ID                 = PARTY.PARTY_ID
  AND REL.PARTY_ID                   = REL_PARTY.PARTY_ID
  AND REL.SUBJECT_TABLE_NAME         = 'HZ_PARTIES'
  AND REL.OBJECT_TABLE_NAME          = 'HZ_PARTIES'
  AND ACCT_ROLE.CUST_ACCOUNT_ID      = ROLE_ACCT.CUST_ACCOUNT_ID
  AND ROLE_ACCT.PARTY_ID             = REL.OBJECT_ID
  ) rabc,
  (SELECT ACCT_ROLE.CUST_ACCOUNT_ROLE_ID,
    substrb(PARTY.PERSON_LAST_NAME,1,50) PERSON_LAST_NAME,
    substrb(PARTY.PERSON_FIRST_NAME,1,40) PERSON_FIRST_NAME
  FROM HZ_CUST_ACCOUNT_ROLES ACCT_ROLE,
    HZ_PARTIES PARTY,
    HZ_RELATIONSHIPS REL,
    HZ_ORG_CONTACTS ORG_CONT,
    HZ_PARTIES REL_PARTY,
    HZ_CUST_ACCOUNTS ROLE_ACCT
  WHERE ACCT_ROLE.PARTY_ID           = REL.PARTY_ID
  AND ACCT_ROLE.ROLE_TYPE            = 'CONTACT'
  AND ORG_CONT.PARTY_RELATIONSHIP_ID = REL.RELATIONSHIP_ID
  AND REL.SUBJECT_ID                 = PARTY.PARTY_ID
  AND REL.PARTY_ID                   = REL_PARTY.PARTY_ID
  AND REL.SUBJECT_TABLE_NAME         = 'HZ_PARTIES'
  AND REL.OBJECT_TABLE_NAME          = 'HZ_PARTIES'
  AND ACCT_ROLE.CUST_ACCOUNT_ID      = ROLE_ACCT.CUST_ACCOUNT_ID
  AND ROLE_ACCT.PARTY_ID             = REL.OBJECT_ID
  ) rasc,
  (SELECT ACCT_SITE.CUST_ACCT_SITE_ID ADDRESS_ID,
    LOC.ADDRESS1
  FROM HZ_PARTY_SITES PARTY_SITE,
    HZ_LOCATIONS LOC,
    HZ_CUST_ACCT_SITES_ALL ACCT_SITE
  WHERE ACCT_SITE.PARTY_SITE_ID = PARTY_SITE.PARTY_SITE_ID
  AND LOC.LOCATION_ID           = PARTY_SITE.LOCATION_ID
  ) raba,
  (SELECT ACCT_SITE.CUST_ACCT_SITE_ID ADDRESS_ID,
    LOC.ADDRESS1
  FROM HZ_PARTY_SITES PARTY_SITE,
    HZ_LOCATIONS LOC,
    HZ_CUST_ACCT_SITES_ALL ACCT_SITE
  WHERE ACCT_SITE.PARTY_SITE_ID = PARTY_SITE.PARTY_SITE_ID
  AND LOC.LOCATION_ID           = PARTY_SITE.LOCATION_ID
  ) rasa,
  CN_REVENUE_CLASSES_ALL CRC,
  (SELECT CN_SRP_PLAN_ASSIGNS_ALL.COMP_PLAN_ID,
    CN_SRP_PLAN_ASSIGNS_ALL.SRP_PLAN_ASSIGN_ID,
    CN_SRP_PLAN_ASSIGNS_ALL.SALESREP_ID,
    CN_SRP_PLAN_ASSIGNS_ALL.ORG_ID,
    CN_SRP_PLAN_ASSIGNS_ALL.START_DATE PLAN_ASSIGN_START_DATE,
    CN_SRP_PLAN_ASSIGNS_ALL.END_DATE PLAN_ASSIGN_END_DATE,
    CN_COMP_PLANS_ALL.NAME AS COMPPLAN_NAME
  FROM CN_SRP_PLAN_ASSIGNS_ALL,
    CN_COMP_PLANS_ALL
  WHERE CN_COMP_PLANS_ALL.COMP_PLAN_ID = CN_SRP_PLAN_ASSIGNS_ALL.COMP_PLAN_ID
  AND CN_SRP_PLAN_ASSIGNS_ALL.ORG_ID   =CN_COMP_PLANS_ALL.ORG_ID
  ) COMPPLAN,
  (SELECT CN_CAL_PER_INT_TYPES_ALL.CAL_PERIOD_ID,
    CN_CAL_PER_INT_TYPES_ALL.INTERVAL_NUMBER,
    CN_QUOTAS_ALL.QUOTA_ID,
    CN_QUOTAS_ALL.ORG_ID,
    CN_QUOTAS_ALL.QUOTA_GROUP_CODE,
    CN_QUOTAS_ALL.NAME
  FROM CN_QUOTAS_ALL,
    CN_CAL_PER_INT_TYPES_ALL
  WHERE CN_QUOTAS_ALL.INTERVAL_TYPE_ID=CN_CAL_PER_INT_TYPES_ALL.INTERVAL_TYPE_ID
  AND CN_QUOTAS_ALL.ORG_ID            = CN_CAL_PER_INT_TYPES_ALL.ORG_ID
  ) CQ,
  cn_lookups CLT,
  cn_lookups CLAD,
  JTF_RS_ROLES_TL CR,
  JTF_RS_GROUPS_TL CG
WHERE CCLA.COMM_LINES_API_ID    = tmp.col_ecc_id
AND RSD.salesrep_id(+)          = CCLA.salesrep_id
AND RSD.org_id(+)               = CCLA.org_id
AND CCLA.customer_id            = RAC.customer_id (+)
AND CCLA.bill_to_contact_id     = RABC.CUST_ACCOUNT_ROLE_ID (+)
AND CCLA.ship_to_contact_id     = RASC.CUST_ACCOUNT_ROLE_ID (+)
AND CCLA.bill_to_address_id     = RABA.address_id (+)
AND CCLA.ship_to_address_id     = RASA.address_id (+)
AND CCLA.revenue_class_id       = CRC.revenue_class_id (+)
AND CCLA.SRP_PLAN_ASSIGN_ID     = COMPPLAN.SRP_PLAN_ASSIGN_ID(+)
AND CCLA.SALESREP_ID            = COMPPLAN.SALESREP_ID(+)
AND CCLA.ORG_ID                 = COMPPLAN.ORG_ID(+)
AND CCLA.QUOTA_ID               = CQ.QUOTA_ID(+)
AND CCLA.ORG_ID                 = CQ.ORG_ID(+)
AND CCLA.PROCESSED_PERIOD_ID    = CQ.CAL_PERIOD_ID(+)
AND CCLA.role_id                = CR.role_id (+)
AND (CR.LANGUAGE IS NULL OR CR.LANGUAGE = HPU.LANGUAGE)
AND CCLA.comp_group_id          = CG.group_id (+)
AND (CG.LANGUAGE IS NULL OR CG.LANGUAGE = HPU.LANGUAGE)
AND CCLA.trx_type               = CLT.lookup_code
AND CLT.lookup_type             = 'TRX TYPES'
AND CCLA.adjust_status          = CLAD.lookup_code(+)
AND CLAD.lookup_type (+)        = 'ADJUST_STATUS'
AND CCLA.org_id                 = HPU.organization_id
AND CCLA.PROCESSED_PERIOD_ID    = calper.period_id
AND CCLA.org_id                 = calper.org_id (+)
AND NVL(CCLA.LOAD_STATUS, 'X') &lt;&gt; 'LOADED'   UNION ALL
  SELECT /*+ leading(tmp) cardinality(tmp 10) push_pred(rasc) push_pred(rabc)
push_pred(rac) push_pred(raba) push_pred(rasa) */
   DISTINCT (API.comm_lines_api_id || '_API') AS ECC_SPEC_ID,
   GREATEST(NVL(API.LAST_UPDATE_DATE, API.CREATION_DATE), NVL(CCH.LAST_UPDATE_DATE, CCH.CREATION_DATE)) AS ECC_LAST_UPDATE_DATE,
  API.processed_date AS API_PROCESSED_DATE,
  API.EMPLOYEE_NUMBER AS API_EMPLOYEE_NUMBER,
  RSD.name                        AS API_SALESREP,
  API.SALESREP_ID                 AS API_SALESREP_ID,
  API.ORG_ID                      AS API_ORG_ID,
  CLT.meaning                     AS API_TRANSACTION_TYPE,
  NVL(API.transaction_amount, 0) AS API_TRANSACTION_AMOUNT,
  CCH.REVENUE_TYPE               AS API_REVENUE_TYPE,
  CCH.quantity                   AS API_QUANTITY,
  CCH.UOM_CODE                   AS API_UOM,
  API.TRANSACTION_CURRENCY_CODE  AS API_CURRENCY_CODE,
  CCH.EXCHANGE_RATE              AS API_EXCHANGE_RATE,
  CCH.SOURCE_DOC_TYPE            AS API_SOURCE_DOC_TYPE,
  CCH.SOURCE_TRX_NUMBER          AS API_SOURCE_TRX_NUMBER,
  API.SOURCE_DOC_ID              AS API_SOURCE_DOC_ID,
  CCH.order_number               AS API_ORDER_NUMBER,
  CCH.BOOKED_DATE                AS API_ORDER_DATE,
  CCH.invoice_number             AS API_INVOICE_NUMBER,
  CCH.INVOICE_DATE               AS API_INVOICE_DATE,
    CCH.SALES_CHANNEL              AS API_SALES_CHANNEL,
  RAC.customer_name               AS API_CUSTOMER,
  RABC.person_last_name
  ||', '
  ||RABC.person_first_name AS API_BILL_TO_CONTACT,
  RASC.person_last_name
  ||', '
  ||RASC.person_first_name AS API_SHIP_TO_CONTACT,
  RABA.address1  AS API_BILL_TO_ADDRESS,
  RASA.address1  AS API_SHIP_TO_ADDRESS,
  CCH.INVENTORY_ITEM_ID   AS API_INVENTORY_ITEM_ID,
  CCH.DISCOUNT_PERCENTAGE   AS API_DISCOUNT_PERCENTAGE,
  CCH.MARGIN_PERCENTAGE    AS API_MARGIN_PERCENTAGE,
  HPU.name                  AS API_OPERATING_UNIT,
  API.comm_lines_api_id     AS API_ID,
  CCH.commission_header_id     AS API_COMM_HEADER_ID,
  (SELECT CNL.MEANING FROM CN_LOOKUPS CNL WHERE 'LOADED' = CNL.lookup_code
   AND CNL.lookup_type                              = 'LOAD_STATUS'
  )          AS API_LOAD_STATUS,
  'LOADED'                   AS API_LOAD_STATUS_CODE,
  API.PROCESSED_PERIOD_ID    AS API_PERIOD_ID,
  calper.period_name         AS API_PERIOD,
  CCH.CREATION_DATE        AS API_CREATION_DATE,
  CCH.LAST_UPDATE_DATE      AS API_LAST_UPDATE_DATE,
  (SELECT DISTINCT pap.full_name FROM per_all_people_f pap, fnd_user fu WHERE pap.person_id=fu.employee_id AND fu.user_id = CCH.CREATED_BY) AS API_CREATED_BY,
  (SELECT DISTINCT pap.full_name FROM per_all_people_f pap, fnd_user fu WHERE pap.person_id=fu.employee_id AND fu.user_id = CCH.LAST_UPDATED_BY) AS API_LAST_UPDATED_BY,
  (SELECT DISTINCT pap.full_name FROM per_all_people_f pap, fnd_user fu WHERE pap.person_id=fu.employee_id AND fu.user_id = CCH.LAST_UPDATE_LOGIN) AS API_LAST_UPDATE_LOGIN,
  API.CONC_BATCH_ID         AS API_CONC_BATCH_ID,
  API.PROCESS_BATCH_ID      AS API_BATCH_ID,
  CCH.PRE_PROCESSED_CODE   AS API_PRE_PROCESSED_CODE,
  CRC.NAME                   AS API_REVENUE_CLASS,
  COMPPLAN.COMPPLAN_NAME     AS API_PLAN,
  CQ.name                    AS API_PLAN_ELEMENT,
  CCH.ROLLUP_DATE           AS API_ROLLUP_DATE,
  A</t>
  </si>
  <si>
    <t>cn-cp</t>
  </si>
  <si>
    <t>Recent Jobs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</si>
  <si>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to_date(to_char(to_timestamp('27-APR-20 01.39.24.000000 AM'),'DD-MON-YY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</si>
  <si>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>Enterprise Asset Management</t>
  </si>
  <si>
    <t>21s</t>
  </si>
  <si>
    <t>eam-store-wo</t>
  </si>
  <si>
    <t>eAM: Stores Work Order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</si>
  <si>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to_date(to_char(to_timestamp('27-APR-20 01.27.44.000000 PM'),'DD-MON-YY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</si>
  <si>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EAM_ECC_STORES_WO_TEMP
                                        WHERE wo_system_status_id &lt;&gt; 7 )  PIVOT (max(MATERIAL_DESCRIPTION) as MATERIAL_DESCRIPTION ,
                                      max(WO_STATUS) as WO_STATUS,
			  	      max(WORK_ORDER_TYPE_DISP) as WORK_ORDER_TYPE_DISP,
                                      max(WORK_ORDER_PRIORITY) as WORK_ORDER_PRIORITY,
				      max(ALERT_TYPE) as ALERT_TYPE,
				      max(ALERT_NAME) as ALERT_NAME,
                                      max(ASSET_GROUP_DESCRIPTION) as ASSET_GROUP_DESCRIPTION
                                      for LANGUAGE in ('US' "US"))</t>
  </si>
  <si>
    <t>SELECT * FROM eam_ecc_stores_wo_tracker where wip_entity_id in(select wip_entity_id from
				   EAM_ECC_STORES_WO_TEMP where language in ('US')) and ecc_last_update_date &gt;= to_date(to_char(to_timestamp('27-APR-20 01.27.44.000000 PM'),'DD-MON-YY HH24.MI.SS'),'DD-MON-YY HH24.MI.SS')</t>
  </si>
  <si>
    <t>eam-store-mat</t>
  </si>
  <si>
    <t>eAM: Stores Materials</t>
  </si>
  <si>
    <t>SELECT * from EAM_ECC_STORES_MAT_TEMP  PIVOT (max(MATERIAL_DESCRIPTION) as MATERIAL_DESCRIPTION ,
                                      max(EAM_ITEM_TYPE) as EAM_ITEM_TYPE,
                                      max(CROSS_REF_DESC) as CROSS_REF_DESC
                                      for LANGUAGE in ('US' "US"))</t>
  </si>
  <si>
    <t>SELECT * FROM EAM_ECC_STORES_MAT_TRACKER where inventory_item_id in(select inventory_item_id from
											  EAM_ECC_STORES_MAT_TEMP where language in ('US'))</t>
  </si>
  <si>
    <t>eam-asset-attrs</t>
  </si>
  <si>
    <t>eAM: Asset Attributes</t>
  </si>
  <si>
    <t>SELECT meaa.maintenance_object_id ||'-'|| meaa.inventory_item_id ||'-'|| meaa.organization_id ||'-'|| meaa.association_id AS ECC_SPEC_ID , dfv.*,
meaa.SERIAL_NUMBER ASSET_NUMBER,
meaa.ORGANIZATION_ID  ,
mp.organization_code as organization_code
FROM MTL_EAM_ASSET_ATTR_VALUES meaa,mtl_parameters mp  , (select 'ASSET_ROW_ID','ASSET_CONTEXT_VALUE','ASSET_ADR1','ASSET_ADR2','ASSET_CITY','ASSET_STATE','ASSET_ZIP','ASSET_ATTACHMENTS','ASSET_ATTACHMENTS1','ASSET_ATTACHMENTS2','ASSET_ATTACHMENTS3','ASSET_MAKE','ASSET_BATCH_CONTINUOUS','ASSET_MIXER_TYPE','ASSET_MOUNTING','ASSET_EXTERIOR_PAINT_COLOR','ASSET_INTERIOR_PAINT_COLOR','ASSET_CARPET_STYLE','ASSET_LOBBY_FLOOR_FINISH','ASSET_CUBICAL_SYSTEM_TYPE','ASSET_OFFICE_FURNITURE_SYSTEM_TYPE','ASSET_COMPRESSOR_TYPE','ASSET_SUCTION_PRESSURE__PSIG_','ASSET_DISCHARGE_PRESSURE__PSIG_','ASSET_FLOW_RATE__CFM_','ASSET_COOLING_METHOD','ASSET_HORSEPOWER','ASSET_WEIGHT','ASSET_NOISE_LEVEL_DB_A_','ASSET_COMPLETION_DATE','ASSET_ARCHITECT','ASSET_CONTRACTOR_SHELL','ASSET_CONTRACTOR_CORE','ASSET_ELECTRICAL_CONTRACTOR','ASSET_PLUMBING_CONTRACTOR','ASSET_HVAC_CONTRACTOR','ASSET_SPEED','ASSET_VOLTAGE','ASSET_NETWORKED','ASSET_NAME','ASSET_ACCT','ASSET_CONTACT','ASSET_PHONE','ASSET_BLOCK','ASSET_CYLINDER_HEAD','ASSET_TORQUE','ASSET_DISPLACEMENT','ASSET_VALVE_CONFIGURATION','ASSET_COMPRESSION_RATIO','ASSET_BORE___STROKE','ASSET_VOLTS','ASSET_PHASES','ASSET_LINE_SIZE','ASSET_MODEL','ASSET_LOAD','ASSET_MAST','ASSET_TONS','ASSET_BTUN','ASSET_KW','ASSET_CLAMP_FORCE','ASSET_OPENING_FORCE','ASSET_DRY_CYCLE_RATE','ASSET_SPECIFIC_INJECTION_PRESSURE','ASSET_BARREL_HEATING_POWER','ASSET_IDENTIFICATION','ASSET_DEPRECIATED_LIFE','ASSET_ESTIMATED_COST','ASSET_ENGINE','ASSET_TRANSMISSION','ASSET_SURFACE_REACH','ASSET_DIGGING_DEPTH','ASSET_GVW','ASSET_CLEARANCE','ASSET_TILE','ASSET_ATLAS','ASSET_COORDINATE_FOR_X','ASSET_COORDINATE_FOR_Y','ASSET_RESPONSIBLE_PARTY','ASSET_PARTS','ASSET_LABOR','ASSET_YEAR','ASSET_PRODUCT_NUMBER','ASSET_PART_NUMBER','ASSET_DRILLING_LINE','ASSET_AUXILIARY_BRAKE','ASSET_TYPE','ASSET_HEIGHT','ASSET_CASING_LOAD','ASSET_SETBACK_LOAD','ASSET_PAINT_COLOR','ASSET_SVP_OFFICE','ASSET_RAISED_FLOOR','ASSET_ORIENTATION','ASSET_MAX_CAPACITY','ASSET_WALL_MATERIAL','ASSET_WALL_CONFIGURATION','ASSET_STN_CONFIG','ASSET_CAT','ASSET_GIS_LOC','ASSET_DAT_IN_SRV','ASSET_ALT_ZON','ASSET_ENC_TYP','ASSET_IN_PRSR','ASSET_SEC_PRSR','ASSET_SURFACE','ASSET_SQ_FT_','ASSET_STORE_OPENING','ASSET_TURNOVER','ASSET_CONSTRUCTION_COMPLETE','ASSET_FIXTURES_ONSITE','ASSET_THERMOSTAT_FUNCTION','ASSET_THERMOSTAT_TYPE','ASSET_THERMOSTAT_ACTION','ASSET_ZONE','ASSET_ROOMS___CUBES_NUMBERS_SERVED','ASSET_SECONDARY_FUNCTION','ASSET_SECONDARY_ZONE','ASSET_EQUIPMENT_VOCATION','ASSET_AXLE_CONFIGURATION','ASSET_ENGINE_TYPE','ASSET_POWER_SOURCE','ASSET_TRANSMISSION_TYPE','ASSET_VIN','ASSET_BODY_TYPE','ASSET_ENGINE_DESCRIPTION','ASSET_WHEELBASE','ASSET_GROSS_VEHICLE_WEIGHT','ASSET_WARRANTY_TYPE','ASSET_WARRANTY_EXPIRATION_DATE','ASSET_MILAGE_LIMIT','ASSET_COVERAGE','ASSET_INSTALLATION_DATE','ASSET_MFGR','ASSET_REG_SIZE','ASSET_SPR_RNG','ASSET_ORFC','ASSET_ST_PSIG','ASSET_ST_WC','ASSET_IN_PRS','ASSET_OUT_PRS','ASSET_CNCTN','ASSET_PRS_TAG','ASSET_CONCATENATED_SEGMENTS' from dual where 1=2  union select ROWIDTOCHAR(ROW_ID),CONTEXT_VALUE,ADR1,ADR2,CITY,STATE,ZIP,ATTACHMENTS,ATTACHMENTS1,ATTACHMENTS2,ATTACHMENTS3,MAKE,BATCH_CONTINUOUS,MIXER_TYPE,MOUNTING,EXTERIOR_PAINT_COLOR,INTERIOR_PAINT_COLOR,CARPET_STYLE,LOBBY_FLOOR_FINISH,CUBICAL_SYSTEM_TYPE,OFFICE_FURNITURE_SYSTEM_TYPE,COMPRESSOR_TYPE,SUCTION_PRESSURE__PSIG_,DISCHARGE_PRESSURE__PSIG_,to_char(FLOW_RATE__CFM_),COOLING_METHOD,HORSEPOWER,WEIGHT,to_char(NOISE_LEVEL_DB_A_),COMPLETION_DATE,ARCHITECT,CONTRACTOR_SHELL,CONTRACTOR_CORE,ELECTRICAL_CONTRACTOR,PLUMBING_CONTRACTOR,HVAC_CONTRACTOR,SPEED,VOLTAGE,NETWORKED,NAME,ACCT,CONTACT,PHONE,BLOCK,CYLINDER_HEAD,TORQUE,DISPLACEMENT,VALVE_CONFIGURATION,COMPRESSION_RATIO,BORE___STROKE,VOLTS,PHASES,LINE_SIZE,MODEL,LOAD,MAST,TONS,BTUN,KW,CLAMP_FORCE,OPENING_FORCE,DRY_CYCLE_RATE,SPECIFIC_INJECTION_PRESSURE,BARREL_HEATING_POWER,IDENTIFICATION,DEPRECIATED_LIFE,ESTIMATED_COST,ENGINE,TRANSMISSION,SURFACE_REACH,DIGGING_DEPTH,GVW,CLEARANCE,TILE,ATLAS,COORDINATE_FOR_X,COORDINATE_FOR_Y,RESPONSIBLE_PARTY,PARTS,LABOR,YEAR,PRODUCT_NUMBER,PART_NUMBER,DRILLING_LINE,AUXILIARY_BRAKE,TYPE,to_char(HEIGHT),to_char(CASING_LOAD),to_char(SETBACK_LOAD),PAINT_COLOR,SVP_OFFICE,RAISED_FLOOR,ORIENTATION,MAX_CAPACITY,WALL_MATERIAL,WALL_CONFIGURATION,STN_CONFIG,CAT,GIS_LOC,DAT_IN_SRV,ALT_ZON,ENC_TYP,IN_PRSR,SEC_PRSR,SURFACE,SQ_FT_,to_char(STORE_OPENING, 'yyyy-mm-dd') ,TURNOVER,CONSTRUCTION_COMPLETE,FIXTURES_ONSITE,THERMOSTAT_FUNCTION,THERMOSTAT_TYPE,THERMOSTAT_ACTION,ZONE,ROOMS___CUBES_NUMBERS_SERVED,SECONDARY_FUNCTION,SECONDARY_ZONE,EQUIPMENT_VOCATION,AXLE_CONFIGURATION,ENGINE_TYPE,POWER_SOURCE,TRANSMISSION_TYPE,VIN,BODY_TYPE,ENGINE_DESCRIPTION,to_char(WHEELBASE),to_char(GROSS_VEHICLE_WEIGHT),WARRANTY_TYPE,WARRANTY_EXPIRATION_DATE,to_char(MILAGE_LIMIT),COVERAGE,INSTALLATION_DATE,MFGR,REG_SIZE,SPR_RNG,ORFC,ST_PSIG,ST_WC,IN_PRS,OUT_PRS,CNCTN,PRS_TAG,CONCATENATED_SEGMENTS from MTL_EAM_ASSET_ATTR_VALUES_DFV) dfv  WHERE meaa.rowid = dfv."'ASSET_ROW_ID'"(+) and meaa.organization_id = mp.organization_id(+)</t>
  </si>
  <si>
    <t>There are 166 documents processed successfully and 0 documents failed to be processed.</t>
  </si>
  <si>
    <t>166</t>
  </si>
  <si>
    <t>eam-wr</t>
  </si>
  <si>
    <t>eAM: Work Requests</t>
  </si>
  <si>
    <t>SELECT * FROM EAM_ECC_WR_TEMP PIVOT (max(WR_STATUS) as WR_STATUS ,
                                     max(WR_REQUEST_TYPE) as WR_REQUEST_TYPE,
                                     max(WR_PRIORITY) as WR_PRIORITY,
                                     max(ASSET_CRITICALITY) as ASSET_CRITICALITY,
				     max(ASSET_GROUP_DESCRIPTION) as ASSET_GROUP_DESCRIPTION,
                                     max(ASSET_TYPE) as ASSET_TYPE,
                                     max(WO_STATUS) as WO_STATUS for LANGUAGE in ('US' "US"))</t>
  </si>
  <si>
    <t>eam-wo</t>
  </si>
  <si>
    <t>eAM: Work Orders</t>
  </si>
  <si>
    <t xml:space="preserve"> SELECT * FROM EAM_ECC_WO_PO_PR_CONCAT where status_type NOT IN (1,3, 6,17) and language in ('US')</t>
  </si>
  <si>
    <t xml:space="preserve">SELECT * FROM EAM_ECC_WO_PO_PR_CONCAT  PIVOT (max(PO_ITEM_DESCRIPTION) as PO_ITEM_DESCRIPTION
			for LANGUAGE in ('US' "US")) where ecc_last_update_date &gt;=  to_date(to_char(to_timestamp('27-APR-20 01.26.54.000000 AM'),'DD-MON-YY HH24.MI.SS'),'DD-MON-YY HH24.MI.SS')
			and status_type IN (1,3, 6,17) </t>
  </si>
  <si>
    <t>SELECT distinct wip_entity_id ecc_spec_id
       ,wo_rowid
       ,null
       ,wip_entity_id
       ,wip_entity_name
       ,organization_id
       ,organization_code
       ,wo_description
       ,wo_system_status_id
       ,wo_status
       ,wo_pending_flag
       ,work_order_type_disp
       ,wo_department
       ,firm_flag
       ,asset_group
       ,asset_group_description
       ,asset_number
       ,asset_description
       ,asset_id
       ,asset_category
       ,asset_criticality
       ,asset_area
       ,wip_accounting_class
       ,asset_organization_code
       ,asset_organization_id
       ,asset_type
       ,asset_type_id
       ,asset_owning_dept
       ,asset_maintainable
       ,asset_active_flag
       ,asset_activity
       ,activity_source_meaning
       ,activity_type_disp
       ,activity_cause_disp
       ,priority_disp
       ,wo_shutdown_type
       ,wo_shutdown_type_code
       ,wo_shutdown_start_date
       ,wo_shutdown_end_date
       ,shutdown_hours
       ,tagout_required
       ,warranty_status
       ,warranty_exp_date
       ,null
       ,null
       ,null
       ,null
       ,null
       ,null
       ,null
       ,null
       ,null
       ,null
       ,null
       ,null
       ,null
       ,null
       ,null
       ,wo_actual_start_date
       ,wo_actual_completion_date
       ,wo_scheduled_start_date
       ,wo_scheduled_completion_date
       ,wo_schedule_delay
       ,wo_schedule_delay_flag
       ,wo_month
       ,wo_year
       ,wo_quarter
       ,WO_SCHEDULE_START_HORIZON
       ,null
       ,null
       ,null
       ,null
       ,null
       ,null
       ,null
       ,null
       ,null
       ,null
       ,null
       ,null
       ,wo_duration
       ,wo_scheduled_duration
       ,wo_age
       ,wo_completed_on_time
       ,wo_completed_late
       ,wo_completed
       ,pm_schedule_id
       ,PM_WORK_ORDER_FLAG
       ,pm_schedule_name
       ,wo_scheduled
       ,maintenance_object_id
       ,failure_code
       ,failure_desc
       ,cause_code
       ,cause_desc
       ,resolution_code
       ,resolution_desc
       ,failure_date
       ,failure_comments
       ,last_updated_by
       ,project_name
       ,task_name
       ,total_material_cost
       ,total_labor_cost
       ,total_equipment_cost
       ,actual_total_cost
       ,estimated_total_cost
       ,estimated_total_cost_flag
       ,variance_total_cost
       ,wo_cost_overrun
       ,cost_overrun_flag
       ,top_10_high_cost_wo_flag
       ,language
       ,material_shortage_check_date
       ,material_shortage_flag
       ,material_shortage
       ,materials
       ,resources
       ,operational_log_flag
       ,checkin_status
       ,warranty_active
       ,unplanned_wo_flag
       ,released_wo_flag
       ,open_wo_flag
       ,alert_flag
       ,alert_count
       ,alert_type
       ,alert_name
       ,alert_details
       ,wr_request_number
       ,wr_request_priority
       ,currency
       ,is_map_enabled
       ,wo_completion_percentage
      FROM eam_ecc_work_orders_v  where open_wo_flag = 'N' and language in ('US')</t>
  </si>
  <si>
    <t>There are 616 documents processed successfully and 0 documents failed to be processed.</t>
  </si>
  <si>
    <t>616</t>
  </si>
  <si>
    <t>select * from (SELECT ECC_SPEC_ID ,dfv.*,
	ECC_LAST_UPDATE_DATE,
	WIP_ENTITY_ID ,
	WIP_ENTITY_NAME ,
	ORGANIZATION_ID ,
	ORGANIZATION_CODE ,
	WO_DESCRIPTION ,
	WO_SYSTEM_STATUS_ID ,
	WO_STATUS ,
	WO_PENDING_FLAG ,
	WORK_ORDER_TYPE_DISP ,
	WO_DEPARTMENT ,
	FIRM_FLAG ,
	ASSET_GROUP ,
	ASSET_GROUP_DESCRIPTION ,
	ASSET_NUMBER,
	ASSET_DESCRIPTION ,
	ASSET_ID ,
	ASSET_CATEGORY ,
	ASSET_CRITICALITY ,
	ASSET_AREA ,
	WIP_ACCOUNTING_CLASS ,
	ASSET_ORGANIZATION_CODE ,
	ASSET_ORGANIZATION_ID ,
	ASSET_TYPE ,
	ASSET_TYPE_ID ,
	ASSET_OWNING_DEPT ,
	ASSET_MAINTAINABLE ,
	ASSET_ACTIVE_FLAG ,
	ASSET_ACTIVITY ,
	ACTIVITY_SOURCE_MEANING ,
	ACTIVITY_TYPE_DISP ,
	ACTIVITY_CAUSE_DISP ,
	PRIORITY_DISP ,
	WO_SHUTDOWN_TYPE ,
	WO_SHUTDOWN_TYPE_CODE ,
	WO_SHUTDOWN_START_DATE ,
	WO_SHUTDOWN_END_DATE ,
	SHUTDOWN_HOURS ,
	TAGOUT_REQUIRED ,
	WARRANTY_STATUS ,
	WARRANTY_EXP_DATE ,
	OP_SEQUENCE_NUM ,
	OP_DESCRIPTION ,
	OP_DEPT_CODE ,
	OP_SHUTDOWN_TYPE ,
	OP_SHUTDOWN_TYPE_CODE ,
	OP_COMPLETED ,
	RESOURCE_SEQ_NUM ,
	RESOURCE_ID ,
	RESOURCE_TYPE ,
	USAGE_RATE ,
	ASSIGNED_UNITS ,
	INSTANCE_ID ,
	SERIAL_NUMBER ,
	INSTANCE_NAME ,
	EMPLOYEE_NUMBER ,
	WO_ACTUAL_START_DATE ,
	WO_ACTUAL_COMPLETION_DATE ,
	WO_SCHEDULED_START_DATE ,
	WO_SCHEDULED_COMPLETION_DATE ,
	WO_SCHEDULE_DELAY ,
	WO_SCHEDULE_DELAY_FLAG ,
	WO_MONTH ,
	WO_YEAR ,
	WO_QUARTER ,
	WO_SCHEDULE_START_HORIZON ,
	OP_START_DATE ,
	OP_END_DATE ,
	OP_MONTH ,
	RESOURCE_START_DATE ,
	RESOURCE_END_DATE ,
	INSTANCE_START_DATE ,
	INSTANCE_END_DATE ,
	RESOURCE_CODE ,
	RESOURCE_DESCRIPTION ,
	OP_LONG_DESC ,
	RES_SCHEDULED_FLAG ,
	RES_UOM ,
	WO_DURATION ,
	WO_SCHEDULED_DURATION ,
	WO_AGE ,
	WO_COMPLETED_ON_TIME ,
	WO_COMPLETED_LATE ,
	WO_COMPLETED ,
	PM_SCHEDULE_ID ,
	PM_WORK_ORDER_FLAG ,
	PM_SCHEDULE_NAME ,
	WO_SCHEDULED ,
	MAINTENANCE_OBJECT_ID ,
	FAILURE_CODE ,
	FAILURE_DESC ,
	CAUSE_CODE ,
	CAUSE_DESC ,
	RESOLUTION_CODE ,
	RESOLUTION_DESC ,
	FAILURE_DATE ,
	FAILURE_COMMENTS ,
	LAST_UPDATED_BY ,
	PROJECT_NAME ,
	TASK_NAME ,
	TOTAL_MATERIAL_COST ,
	TOTAL_LABOR_COST ,
	TOTAL_EQUIPMENT_COST ,
	ACTUAL_TOTAL_COST ,
	ESTIMATED_TOTAL_COST ,
	ESTIMATED_TOTAL_COST_FLAG ,
	VARIANCE_TOTAL_COST ,
	WO_COST_OVERRUN ,
	COST_OVERRUN_FLAG ,
	TOP_10_HIGH_COST_WO_FLAG ,
	LANGUAGE ,
	MATERIAL_SHORTAGE_CHECK_DATE ,
	MATERIAL_SHORTAGE_FLAG ,
	MATERIAL_SHORTAGE ,
	MATERIALS ,
	RESOURCES ,
	OPERATIONAL_LOG_FLAG ,
	CHECKIN_STATUS ,
	WARRANTY_ACTIVE ,
	UNPLANNED_WO_FLAG ,
	RELEASED_WO_FLAG ,
	OPEN_WO_FLAG ,
	ALERT_FLAG ,
	ALERT_COUNT ,
	ALERT_TYPE ,
	ALERT_NAME ,
	ALERT_DETAILS ,
	WR_REQUEST_NUMBER,
	WR_REQUEST_PRIORITY ,
	CURRENCY ,
	IS_MAP_ENABLED,
	WO_COMPLETION_PERCENTAGE
	FROM EAM_ECC_WO_TEMP eccwo  , (select 'WO_ROW_ID','WO_CONTEXT','WO_CONCATENATED_SEGMENTS' from dual where 1=2  union select ROWIDTOCHAR(ROW_ID),CONTEXT,CONCATENATED_SEGMENTS from WIP_DISCRETE_JOBS_DFV) dfv  WHERE eccwo.wo_rowid = dfv."'WO_ROW_ID'"(+) )PIVOT
                                         ( max(WO_STATUS) as WO_STATUS ,
                                           max(WORK_ORDER_TYPE_DISP) as WORK_ORDER_TYPE_DISP,
                                           max(ASSET_GROUP_DESCRIPTION) as ASSET_GROUP_DESCRIPTION,
                                           max(ASSET_CRITICALITY) as ASSET_CRITICALITY,
                                           max(ASSET_TYPE) as ASSET_TYPE,
                                           max(ACTIVITY_SOURCE_MEANING) as ACTIVITY_SOURCE_MEANING,
                                           max(ACTIVITY_TYPE_DISP) as ACTIVITY_TYPE_DISP,
                                           max(ACTIVITY_CAUSE_DISP) as ACTIVITY_CAUSE_DISP,
                                           max(PRIORITY_DISP) as PRIORITY_DISP,
                                           max(WO_SHUTDOWN_TYPE) as WO_SHUTDOWN_TYPE ,
                                           max(WARRANTY_STATUS) as WARRANTY_STATUS ,
                                           max(MATERIAL_SHORTAGE_FLAG) as MATERIAL_SHORTAGE_FLAG,
                                           max(ALERT_TYPE) as ALERT_TYPE,
                                           max(ALERT_NAME) as ALERT_NAME,
					   max(WO_SCHEDULE_START_HORIZON) as WO_SCHEDULE_START_HORIZON,
					   max(WR_REQUEST_PRIORITY) as WR_REQUEST_PRIORITY
                                           for LANGUAGE in ('US' "US"))</t>
  </si>
  <si>
    <t>SELECT * FROM EAM_ECC_WO_SPEC_TRACKER where wip_entity_id in(select wip_entity_id from EAM_ECC_WO_TEMP where language in ('US'))</t>
  </si>
  <si>
    <t>eam-asset</t>
  </si>
  <si>
    <t>eAM: Assets</t>
  </si>
  <si>
    <t>select ECC_SPEC_ID,
ASSET_ROWID,
sysdate,
ASSET_ORGANIZATION_CODE ,
ORGANIZATION_ID  ,
ASSET_TYPE  ,
ASSET_TYPE_ID ,
ASSET_NUMBER ,
ASSET_DESCRIPTION,
ASSET_ID ,
SERIAL_NUMBER,
ASSET_GROUP,
ASSET_GROUP_ID,
ASSET_GROUP_DESCRIPTION,
ASSET_CATEGORY ,
ASSET_CATEGORY_ID,
ASSET_CATEGORY_DESCRIPTION  ,
ASSET_OWNING_DEPT ,
ASSET_AREA  ,
ASSET_CRITICALITY  ,
WARRANTY_FLAG  ,
WARRANTY_EXPIRATION_DATE  ,
ASSET_STATUS ,
ASSET_ACTIVE_FLAG  ,
ASSET_MAINTAINABLE ,
WIP_ACCOUNTING_CLASS ,
LINEAR_ASSET_FLAG ,
CHECKED_OUT_FLAG ,
OPEN_WORK_ORDERS  ,
OPEN_WORK_REQUESTS ,
PLANNED_WORK ,
PLANNED_WORK_DATE ,
PM_ACTIVITY_LAST_SVC_DATE,
ASSET_SHUTDOWN  ,
PARENT_ASSET_NUMBER ,
PARENT_ASSET_DESCRIPTION ,
SUBINVENTORY_CODE ,
LOCATOR ,
ADDRESS,
FA_ASSET_CATEGORY,
FA_ASSET_NUMBER,
PN_LOCATION_ID,
PN_LOCATION_NAME,
PN_LOCATION_CODE,
LANGUAGE ,
WIP_ENTITY_NAME  ,
WIP_ENTITY_ID ,
WO_ORGANIZATION_ID,
WO_ORGANIZATION_CODE ,
WO_DESCRIPTION ,
WO_SYSTEM_STATUS_ID ,
WO_STATUS ,
WO_PENDING_FLAG   ,
WO_TYPE_DISP ,
WO_DEPARTMENT ,
WO_FIRM_FLAG ,
ACTIVITY  ,
ACTIVITY_ID ,
ACTIVITY_SOURCE_MEANING ,
ACTIVITY_TYPE_DISP ,
ACTIVITY_CAUSE_DISP,
PRIORITY_DISP ,
ACTIVITY_OWNINING_DEPT ,
ACTIVITY_START_DATE ,
ACTIVITY_END_DATE  ,
ACTIVITY_LAST_SVC_START_DATE   ,
ACTIVITY_LAST_SVC_END_DATE ,
ACTIVITY_NEXT_SVC_START_DATE,
ACTIVITY_NEXT_SVC_END_DATE,
WO_SHUTDOWN_TYPE_CODE,
WO_SHUTDOWN_TYPE  ,
WO_SHUTDOWN_START_DATE  ,
WO_SHUTDOWN_END_DATE,
WO_SHUTDOWN_HOURS,
WO_TAGOUT_REQUIRED ,
WO_WARRANTY_STATUS ,
WO_ACTUAL_START_DATE ,
WO_ACTUAL_COMPLETION_DATE ,
WO_SCHEDULED_START_DATE,
WO_SCHEDULED_COMPLETION_DATE  ,
WO_COMPLETED_ON_TIME,
WO_SCHEDULE_DELAY  ,
WO_SCHEDULE_DEVIATION,
OPS_DEVIATED,
PM_SCHEDULE_ID  ,
PM_WORK_ORDER_FLAG   ,
PM_WO_FLAG   ,
PM_WORK_ORDER,
PM_WO_COMPLETED_ON_TIME,
PM_SCHEDULE_NAME  ,
PM_SCHEDULE_DELAY,
FAILURE_CODE   ,
FAILURE_DESC  ,
CAUSE_CODE  ,
CAUSE_DESC  ,
RESOLUTION_CODE ,
RESOLUTION_DESC ,
FAILURE_DATE ,
FAILURE_COMMENTS  ,
DAYS_BETWEEN_FAILURE ,
TIME_TO_REPAIR  ,
MTBF  ,
MTBF_HRS,
MTTR ,
READING_BETWEEN_FAILURES ,
METER  ,
UOM,
PROJECT_NAME ,
TASK_NAME  ,
WO_COST_PERIOD ,
WO_COST_PERIOD_MONTH ,
WO_COST_PERIOD_YEAR ,
WO_COST_PERIOD_START_DATE ,
TOTAL_MATERIAL_COST ,
TOTAL_LABOR_COST   ,
TOTAL_EQUIPMENT_COST ,
ACTUAL_TOTAL_COST  ,
ESTIMATED_TOTAL_COST ,
PM_WO_ACTUAL_TOTAL_COST ,
COST_CATEGORY,
ALERT_FLAG ,
ALERT_COUNT   ,
ALERT_TYPE  ,
ALERT_NAME ,
ALERT_DETAILS,NULL,NULL,NULL,NULL,NULL,ASSET_ATTRIBUTES,NULL,WO_SORT_ORDER,
CURRENCY,
MAINTENANCE_OBJECT_ID,
IS_MAP_ENABLED
FROM EAM_ECC_ASSETS_V where asset_active_flag = 'N' and language in ('US')</t>
  </si>
  <si>
    <t>There are 23 documents processed successfully and 0 documents failed to be processed.</t>
  </si>
  <si>
    <t>23</t>
  </si>
  <si>
    <t>select * from (SELECT ECC_SPEC_ID ,dfv.*,
ECC_LAST_UPDATE_DATE,
ASSET_ORGANIZATION_CODE ,
ORGANIZATION_ID  ,
ASSET_TYPE  ,
ASSET_TYPE_ID ,
ASSET_NUMBER ,
ASSET_DESCRIPTION,
ASSET_ID ,
SERIAL_NUMBER,
ASSET_GROUP,
ASSET_GROUP_DESCRIPTION,
ASSET_CATEGORY ,
ASSET_CATEGORY_DESCRIPTION  ,
ASSET_OWNING_DEPT ,
ASSET_AREA  ,
ASSET_CRITICALITY  ,
WARRANTY_FLAG  ,
WARRANTY_EXPIRATION_DATE  ,
ASSET_STATUS ,
ASSET_ACTIVE_FLAG  ,
ASSET_MAINTAINABLE ,
WIP_ACCOUNTING_CLASS ,
LINEAR_ASSET_FLAG ,
CHECKED_OUT_FLAG ,
PLANNED_WORK ,
PLANNED_WORK_DATE ,
ASSET_SHUTDOWN  ,
PARENT_ASSET_NUMBER ,
PARENT_ASSET_DESCRIPTION ,
SUBINVENTORY_CODE ,
LOCATOR ,
ADDRESS,
LANGUAGE ,
WIP_ENTITY_NAME  ,
WIP_ENTITY_ID ,
WO_ORGANIZATION_ID,
WO_ORGANIZATION_CODE ,
WO_DESCRIPTION ,
WO_SYSTEM_STATUS_ID ,
WO_STATUS ,
WO_PENDING_FLAG   ,
WO_TYPE_DISP ,
WO_DEPARTMENT ,
WO_FIRM_FLAG ,
ACTIVITY  ,
ACTIVITY_ID ,
ACTIVITY_SOURCE_MEANING ,
ACTIVITY_TYPE_DISP ,
ACTIVITY_CAUSE_DISP,
PRIORITY_DISP ,
ACTIVITY_OWNINING_DEPT ,
WO_TAGOUT_REQUIRED ,
WO_WARRANTY_STATUS ,
WO_ACTUAL_START_DATE ,
WO_ACTUAL_COMPLETION_DATE ,
WO_SCHEDULED_START_DATE,
WO_SCHEDULED_COMPLETION_DATE  ,
FAILURE_CODE   ,
FAILURE_DESC  ,
CAUSE_CODE  ,
CAUSE_DESC  ,
RESOLUTION_CODE ,
RESOLUTION_DESC ,
FAILURE_DATE ,
FAILURE_COMMENTS  ,
DAYS_BETWEEN_FAILURE ,
TIME_TO_REPAIR  ,
MTBF  ,
MTTR ,
READING_BETWEEN_FAILURES ,
METER  ,
UOM,
PROJECT_NAME ,
TASK_NAME  ,
TOTAL_MATERIAL_COST ,
TOTAL_LABOR_COST   ,
TOTAL_EQUIPMENT_COST ,
ACTUAL_TOTAL_COST  ,
ESTIMATED_TOTAL_COST ,
ALERT_FLAG ,
ALERT_COUNT   ,
ALERT_TYPE  ,
ALERT_NAME ,
ALERT_DETAILS,
WO_SHUTDOWN_TYPE_CODE,
WO_SHUTDOWN_TYPE  ,
WO_SHUTDOWN_START_DATE  ,
WO_SHUTDOWN_END_DATE,
WO_SHUTDOWN_HOURS,
WO_SCHEDULE_DELAY  ,
PM_SCHEDULE_ID  ,
PM_WORK_ORDER_FLAG   ,
PM_SCHEDULE_NAME  ,
WO_COST_PERIOD_MONTH ,
WO_COST_PERIOD_YEAR ,
WO_COST_PERIOD ,
WO_COST_PERIOD_START_DATE ,
PM_WO_ACTUAL_TOTAL_COST ,
MTBF_HRS,
ASSET_CATEGORY_ID,
ASSET_GROUP_ID,
PM_SCHEDULE_DELAY,
WO_COMPLETED_ON_TIME,
PM_WO_COMPLETED_ON_TIME,
PM_WORK_ORDER,
FA_ASSET_CATEGORY,
FA_ASSET_NUMBER,
PN_LOCATION_ID,
PN_LOCATION_NAME,
PN_LOCATION_CODE,
OPEN_WORK_ORDERS  ,
OPEN_WORK_REQUESTS ,
ACTIVITY_START_DATE ,
ACTIVITY_END_DATE  ,
ACTIVITY_LAST_SVC_START_DATE   ,
ACTIVITY_LAST_SVC_END_DATE ,
ACTIVITY_NEXT_SVC_START_DATE,
ACTIVITY_NEXT_SVC_END_DATE,
IS_ASSET_COST,
IS_SHUTDOWN_REQUIRED,
IS_MTBF,
ACTUAL_ASSET_DOWNTIME_HRS,
COST_CATEGORY,
PM_ACTIVITY_LAST_SVC_DATE,
OPS_DEVIATED,
UPDATE_BOM_ROUTING_LINK,
CREATE_ACTIVITY_LINK,
ASSET_ATTRIBUTES,
WO_SCHEDULE_DEVIATION,
ACTUAL_ASSET_COST,
WO_SORT_ORDER,
PM_WO_FLAG   ,
CURRENCY,
MAINTENANCE_OBJECT_ID,
IS_MAP_ENABLED
FROM EAM_ECC_ASSETS_TEMP eccassets  , (select 'INSTANCE_ROW_ID','INSTANCE_CONTEXT_VALUE','INSTANCE_LAST_MAINTENANCE_DONE_BY_NAME_','INSTANCE_CONCATENATED_SEGMENTS' from dual where 1=2  union select ROWIDTOCHAR(ROW_ID),CONTEXT_VALUE,LAST_MAINTENANCE_DONE_BY_NAME_,CONCATENATED_SEGMENTS from CSI_ITEM_INSTANCES_DFV) dfv  WHERE eccassets.asset_rowid = dfv."'INSTANCE_ROW_ID'"(+) ) PIVOT (max(ASSET_TYPE) as  ASSET_TYPE,
				   	max(ASSET_GROUP_DESCRIPTION) as  ASSET_GROUP_DESCRIPTION,
					max(ASSET_CATEGORY_DESCRIPTION) as  ASSET_CATEGORY_DESCRIPTION,
					max(ASSET_CRITICALITY) as  ASSET_CRITICALITY,
					max(ASSET_STATUS) as ASSET_STATUS ,
					max(WO_STATUS) as  WO_STATUS,
					max(WO_TYPE_DISP) as WO_TYPE_DISP,
					max(ACTIVITY_SOURCE_MEANING) as ACTIVITY_SOURCE_MEANING ,
					max(ACTIVITY_TYPE_DISP) as  ACTIVITY_TYPE_DISP,
					max(ACTIVITY_CAUSE_DISP) as  ACTIVITY_CAUSE_DISP,
					max(PRIORITY_DISP) as PRIORITY_DISP ,
					max(WO_SHUTDOWN_TYPE_CODE) as WO_SHUTDOWN_TYPE_CODE ,
					max(WO_WARRANTY_STATUS) as WO_WARRANTY_STATUS ,
          				max(PM_WO_FLAG) as PM_WO_FLAG for LANGUAGE in ('US' "US")) ORDER BY PLANNED_WORK_DATE asc,PM_ACTIVITY_LAST_SVC_DATE asc</t>
  </si>
  <si>
    <t>SELECT * FROM EAM_ECC_ASSETS_TRACKER where ecc_spec_id in (select asset_id from EAM_ECC_ASSETS_TEMP where language in ('US')) and wip_entity_id is null</t>
  </si>
  <si>
    <t>Depot Repair</t>
  </si>
  <si>
    <t>csd-repairs-closed</t>
  </si>
  <si>
    <t>Depot Resolved Service Orders</t>
  </si>
  <si>
    <t>SELECT 'CSD-RO-'||cr.repair_line_id||'-' ||sr.incident_id || '-' || cfs.flow_status_code AS ecc_spec_id
                                       from csd_repairs cr, cs_incidents_all_b sr, csd_flow_statuses_b cfs, csd_ecc_repairs_temp tmp
                                      where tmp.repair_line_id = cr.repair_line_id
                                        and cr.incident_id = sr.incident_id
                                        and (cfs.flow_status_code = 'H' or
                                             cfs.flow_status_code in (SELECT paramc2 FROM csd_repair_history crh WHERE crh.repair_line_id = tmp.repair_line_id))</t>
  </si>
  <si>
    <t>SELECT  /*+ leading(tmp) cardinality(tmp 10) push_pred(ecc_ro) */
                                   ecc_ro.* FROM (select * from (SELECT srdfv.*,xdfv.*, csdro.* FROM CSD_ECC_REPAIRS_CLOSED_V csdro
                               , (select 'SRD_ROW_ID','SRD_CONTEXT_VALUE','SRD_ADDITIONAL_INFO','SRD_CONCATENATED_SEGMENTS' from dual where 1=2  union select ROWIDTOCHAR(ROW_ID),CONTEXT_VALUE,ADDITIONAL_INFO,CONCATENATED_SEGMENTS from CS_INCIDENTS_ALL_B_DFV) srdfv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csdro.sr_rowid = srdfv."'SRD_ROW_ID'"(+) AND csdro.sr_rowid = xdfv."'SRXT_ROW_ID'"(+) and csdro.language in ('US'))
                              PIVOT(max(repair_type_name) as repair_type_name,
                                  max(ro_status_meaning) as ro_status_meaning,
                                  max(approval_status) as approval_status,
                                  max(external_display_status) as external_display_status,
                                  max(flow_status) as flow_status,
                                  max(rework) as rework,
                                  max(ro_escalation) as ro_escalation,
                                  max(repair_item_desc) as repair_item_desc,
                                  max(repair_inventory_org) as repair_inventory_org,
                                  max(repair_owner) as repair_owner,
                                  max(repair_org_name) as repair_org_name,
                                  max(repair_priority) as repair_priority,
                                  max(warranty_status) as warranty_status,
                                  max(warranty_violation) as warranty_violation,
                                  max(instance_usage) as instance_usage,
                                  max(estimate_status) as estimate_status,
                                  max(sr_owner) as sr_owner,
                                  max(disposition) as disposition ,
                                  max(sr_item_description) as sr_item_description,
                                  max(diagnostic_code) as diagnostic_code,
                                  max(diagnostic_code_desc) as diagnostic_code_desc,
                                  max(service_code) as service_code,
                                  max(service_code_desc) as service_code_desc,
                                  max(incident_type) as incident_type,
                                  max(incident_severity) as incident_severity,
                                  max(incident_urgency) as incident_urgency,
                                  max(incident_status) as incident_status,
                                  max(sr_summary) as sr_summary,
                                  max(sr_creation_channel) as sr_creation_channel,
                                  max(return_type) as return_type,
                                  max(carrier_name) as carrier_name,
                                  max(processor_name) as processor_name,
                                  max(ship_to_country) as ship_to_country,
                                  max(returned_to_country) as returned_to_country,
                                  max(returned_from_country) as returned_from_country,
                                  max(operating_unit_name) as operating_unit_name,
                                  max(tis_flow_status_meaning) as tis_flow_status_meaning
                              for LANGUAGE in ('US' "US"))) ecc_ro,
                                   CSD_ECC_REPAIRS_CLOSED_TEMP tmp
                                   WHERE ecc_ro.repair_line_id = tmp.repair_line_id</t>
  </si>
  <si>
    <t>csd-repairs</t>
  </si>
  <si>
    <t>Depot Service Orders</t>
  </si>
  <si>
    <t>SELECT ('CSD-RO-' ||cr.repair_line_id ||'-' ||sr.incident_id) ecc_spec_id
                                       from csd_repairs cr, cs_incidents_all_b sr, csd_ecc_repairs_closed_temp tmp
                                      where tmp.repair_line_id = cr.repair_line_id
                                        and cr.incident_id = sr.incident_id</t>
  </si>
  <si>
    <t>SELECT  /*+ leading(tmp) cardinality(tmp 10) push_pred(ecc_ro) */
                                   ecc_ro.* FROM (select * from (SELECT srdfv.*,xdfv.*, csdro.* FROM CSD_ECC_REPAIRS_V csdro
                               , (select 'SRD_ROW_ID','SRD_CONTEXT_VALUE','SRD_ADDITIONAL_INFO','SRD_CONCATENATED_SEGMENTS' from dual where 1=2  union select ROWIDTOCHAR(ROW_ID),CONTEXT_VALUE,ADDITIONAL_INFO,CONCATENATED_SEGMENTS from CS_INCIDENTS_ALL_B_DFV) srdfv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csdro.sr_rowid = srdfv."'SRD_ROW_ID'"(+) AND csdro.sr_rowid = xdfv."'SRXT_ROW_ID'"(+) and csdro.language in ('US') )
                              PIVOT(max(repair_type_name) as repair_type_name,
                                  max(late) as late,
                                  max(ro_status_meaning) as ro_status_meaning,
                                  max(approval_status) as approval_status,
                                  max(external_display_status) as external_display_status,
                                  max(flow_status) as flow_status,
                                  max(rework) as rework,
                                  max(ro_escalation) as ro_escalation,
                                  max(repair_item_desc) as repair_item_desc,
                                  max(repair_inventory_org) as repair_inventory_org,
                                  max(repair_owner) as repair_owner,
                                  max(repair_org_name) as repair_org_name,
                                  max(repair_priority) as repair_priority,
                                  max(warranty_status) as warranty_status,
                                  max(warranty_violation) as warranty_violation,
                                  max(aging) as aging,
                                  max(instance_usage) as instance_usage,
                                  max(estimate_status) as estimate_status,
                                  max(sr_owner) as sr_owner,
                                  max(disposition) as disposition ,
                                  max(sr_item_description) as sr_item_description,
                                  max(diagnostic_code) as diagnostic_code,
                                  max(diagnostic_code_desc) as diagnostic_code_desc,
                                  max(service_code) as service_code,
                                  max(service_code_desc) as service_code_desc,
                                  max(incident_type) as incident_type,
                                  max(incident_severity) as incident_severity,
                                  max(incident_urgency) as incident_urgency,
                                  max(incident_status) as incident_status,
                                  max(sr_summary) as sr_summary,
                                  max(sr_creation_channel) as sr_creation_channel,
                                  max(return_type) as return_type,
                                  max(carrier_name) as carrier_name,
                                  max(processor_name) as processor_name,
                                  max(ship_to_country) as ship_to_country,
                                  max(returned_to_country) as returned_to_country,
                                  max(returned_from_country) as returned_from_country,
                                  max(operating_unit_name) as operating_unit_name
                              for LANGUAGE in ('US' "US"))) ecc_ro,
                                   CSD_ECC_REPAIRS_TEMP tmp
                                   WHERE ecc_ro.repair_line_id = tmp.repair_line_id</t>
  </si>
  <si>
    <t>Process Manufacturing</t>
  </si>
  <si>
    <t>gmo-material-q</t>
  </si>
  <si>
    <t>Material Details for Quality</t>
  </si>
  <si>
    <t>Select
* from(Select /*+ leading ( t,v.hdr,v.bhold,v.fl,v.step) push_pred(v.bhold) push_pred(v.routingdesc) cardinality ( t 10 ) push_pred( v ) */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OPM_ECC_MTL_V v, GMO.OPM_ECC_MTL_TEMP t 
where batch_status in (2,3)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</si>
  <si>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gmo-ncm</t>
  </si>
  <si>
    <t>Nonconformances Details</t>
  </si>
  <si>
    <t>Select
* from(Select /*+ leading(t) cardinality(t 10) push_pred(v) */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
from OPM_ECC_NCM_V v, GMO.OPM_ECC_NCM_TEMP t
where batch_status in(2,3)
and v.BATCH_ID = t.BATCH_ID
and language in ('US'))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</si>
  <si>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gmo-test</t>
  </si>
  <si>
    <t>Test Details</t>
  </si>
  <si>
    <t>Select /*+ leading(t) cardinality(t 10) push_pred(v) */
* from(Select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OPM_ECC_SAMPLE_V v, GMO.OPM_ECC_SAMPLE_TEMP t 
where batch_status in(2,3)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</si>
  <si>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gmo-res-q</t>
  </si>
  <si>
    <t>Resource Details for Quality</t>
  </si>
  <si>
    <t>Select
* from(Select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 from
(SELECT /*+ leading(t,eemv.hdr,eemv.bhold,eemv.fl,eemv.step) cardinality(t 10) push_pred(eemv) use_nl(eemv.steplkup eemv.f1) push_pred(eemv.bhold)*/
eemv.*
FROM OPM_ECC_RESOURCE_V eemv, GMO.OPM_ECC_RESOURCE_TEMP t
WHERE eemv.BATCH_ID = t.BATCH_ID
UNION ALL
SELECT /*+ leading(t, eemv.hdr,eemv.bhold,eemv.fl,eemv.step) cardinality(t 10) push_pred(eemv) index(eemv.steplkup FND_LOOKUP_VALUES_U1) use_nl(eemv.steplkup eemv.f1) push_pred(eemv.bhold) */
eemv.*
FROM OPM_ECC_PP_V eemv, GMO.OPM_ECC_PP_TEMP t
WHERE eemv.BATCH_ID = t.BATCH_ID) v 
where batch_status in(2,3)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</si>
  <si>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gmo-batch-q</t>
  </si>
  <si>
    <t>Batch Details for Quality</t>
  </si>
  <si>
    <t>Select
* from(Select /*+leading(t,v.hdr,v.bhold) cardinality(t 10) push_pred(v) push_pred(v.bhold) push_pred(v.routingdesc) */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OPM_ECC_HDR_V v, GMO.OPM_ECC_HDR_TEMP t 
where batch_status in(2,3)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</si>
  <si>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gmo-so</t>
  </si>
  <si>
    <t>Sales Order Details</t>
  </si>
  <si>
    <t>Select
* from(Select /*+ leading(t) cardinality(t 10) push_pred(v) */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
from OPM_ECC_SO_RESER_V v, GMO.OPM_ECC_SO_RESER_TEMP t
where batch_status in(-1,1,2)
and v.BATCH_ID = t.BATCH_ID
and language in ('US'))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</si>
  <si>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gmo-exp</t>
  </si>
  <si>
    <t>Expiry Lot Details</t>
  </si>
  <si>
    <t>Select
* from(Select /*+ leading(t) cardinality(t 10) push_pred(v) */ 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
from OPM_ECC_EXPIRED_LOT_V v, GMO.OPM_ECC_EXPIRED_LOT_TEMP t
where batch_status in(-1,1,2)
and v.ORGANIZATION_ID = t.ORGANIZATION_ID
and language in ('US'))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</si>
  <si>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gmo-res</t>
  </si>
  <si>
    <t>Resource Details for Batch</t>
  </si>
  <si>
    <t>Select
* from(Select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 from
(SELECT /*+ leading(t,eemv.hdr,eemv.bhold,eemv.fl,eemv.step) cardinality(t 10) push_pred(eemv) use_nl(eemv.steplkup eemv.f1) push_pred(eemv.bhold)*/
eemv.*
FROM OPM_ECC_RESOURCE_V eemv, GMO.OPM_ECC_RESOURCE_TEMP t
WHERE eemv.BATCH_ID = t.BATCH_ID
UNION ALL
SELECT /*+ leading(t, eemv.hdr,eemv.bhold,eemv.fl,eemv.step) cardinality(t 10) push_pred(eemv) index(eemv.steplkup FND_LOOKUP_VALUES_U1) use_nl(eemv.steplkup eemv.f1) push_pred(eemv.bhold) */
eemv.*
FROM OPM_ECC_PP_V eemv, GMO.OPM_ECC_PP_TEMP t
WHERE eemv.BATCH_ID = t.BATCH_ID) v 
where batch_status in(-1,1,2) 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</si>
  <si>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gmo-steps</t>
  </si>
  <si>
    <t>Step Details for Batch</t>
  </si>
  <si>
    <t>Select
* from(Select /*+ leading(t) cardinality(t 10) push_pred(v) */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OPM_ECC_STEP_V v, GMO.OPM_ECC_STEP_TEMP t 
where batch_status in(-1,1,2)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</si>
  <si>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gmo-sample</t>
  </si>
  <si>
    <t>Sample Details</t>
  </si>
  <si>
    <t>Select  /*+ leading(t) cardinality(t 10) push_pred(v) */
* from(Select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OPM_ECC_SAMPLE_V v, GMO.OPM_ECC_SAMPLE_TEMP t 
where batch_status in(2,3)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</si>
  <si>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gmo-batch-md</t>
  </si>
  <si>
    <t>Batch Details for Batch Dashboard</t>
  </si>
  <si>
    <t>Select
* from( Select /*+leading(t,v.hdr,v.bhold) cardinality(t 10) push_pred(v) push_pred(v.bhold) push_pred(v.routingdesc) */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OPM_ECC_HDR_V v, GMO.OPM_ECC_HDR_TEMP t 
where batch_status in(-1,1,2)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</si>
  <si>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gmo-material</t>
  </si>
  <si>
    <t xml:space="preserve">Material Details for Batch </t>
  </si>
  <si>
    <t>Select
* from(Select /*+ leading ( t,v.hdr,v.bhold,v.fl,v.step) push_pred(v.bhold) push_pred(v.routingdesc) cardinality ( t 10 ) push_pred( v ) */
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 , CASE WHEN DTL_UNALLOC IS NOT NULL AND DTL_UNALLOC&lt;&gt; 0 AND BATCH_STATUS &lt;&gt;-1 AND LINE_TYPE = -1 THEN 'YES' ELSE 'NO' END UNALLOCATED 
from OPM_ECC_MTL_V v, GMO.OPM_ECC_MTL_TEMP t 
where batch_status in(-1,1,2)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</si>
  <si>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gmo-steps-q</t>
  </si>
  <si>
    <t>Step Details for Quality</t>
  </si>
  <si>
    <t>Select
* from(Select /*+ leading(t) cardinality(t 10) push_pred(v) */  ECC_SPEC_ID, RECORD_TYPE, RECORD_IDENTIFIER, v.ORGANIZATION_ID, ORGCODE, ORGNAME, v.BATCH_ID, BATCH_NO, BATCH_STATUS,
BATCH_STATUS_DESCRIPTION, BATCH_TYPE,BATCH_TYPE_DESCRIPTION, BATCH_DELAYED, BATCH_DELAY_TIME, BATCH_DELAY_STRING, BATCH_TERMINATED_IND,
RECIPE_VALIDITY_RULE_ID, ROUTINGID, PLANNEDSTARTDATE, PLANNEDCOMPDATE,ACTUALSTARTDATE, ACTUALCOMPDATE, CLOSEDATE, DUEDATE,
FORMULA_ID, FORMULA_NO, FORMULA_VERS, FORMULADESC, RECIPE_ID, RECIPE_NO, RECIPE_STATUS, RECIPE_STATUS_DESC, RECIPE_VERSION,
RECIPE_DESCRIPTION, ROUTING_NO, ROUTING_VERSION, ROUTING_DESCRIPTION, ROUTING_CLASS, ROUTING_STATUS, ROUTING_STATUS_DESC,
FPO_ID, BATCH_HOLD_IND, HOLD_REASON, HOLD_START_DATE,HOLD_COMMENTS, HOLD_REQUESTOR, BATCH_HOLD_TYPE, MATERIAL_DETAIL_ID,
LINE_TYPE, LINE_DESCRIPTION, INVENTORY_ITEM_ID, ITEM_DESCRIPTION, ITEM, INVENTORY_PLANNING_CODE,PLANNER_CODE, LINE_NO, PLANQTY,
ACTUALQTY, WIPPLANQTY, DTL_UM, PLAN_MATERIAL_YIELD, WIP_PLAN_MATERIAL_YIELD, DTL_UNALLOC, STEPID, BATCHSTEP_NO, STEP_OPRN_NAME,
STEP_OPRN_DESC, STEP_STATUS, STEPPLANNEDSTARTDATE, STEPPLANNEDCOMPDATE, STEPACTUALSTARTDATE, STEPACTUALCOMPDATE,
STEPCLOSEDATE, STEPPLANNEDQTY, STEPACTUALQTY,ROUTINGSTEPID, STEP_DELAYED, STEP_DELAY_TIME, STEP_DELAY_STRING, ACTIVITY,
BATCHSTEP_ACTVITY_ID, ACTPLANSTARTDATE, ACTPLANCOMPDATE, ACTACTUALSTARTDATE,ACTACTUALCOMPDATE, OPRN_LINE_ID, RES,
RESOURCE_DESC, RESPRIM_RSRC_IND, RESCAPACITY_UM, RESPLANLUSG, RESACTUALUSG, RESPLANQTY, RESACTUALQTY, RESPLANSTARTDATE,
RESACTUALSTARTDATE, RESPLANCOMPDATE, RESACTUALCOMPDATE, RESUSAGE_UM, RESRESOURCE_QTY_UM, RESPLAN_RSRC_COUNT,
RESACTUAL_RSRC_COUNT, PP_PROCESS_PARAM_ID, PP_PARAMETER_NAME,PP_PARAMETER_DESCRIPTION, PP_PARAMETER_ID, PP_ACTUAL_VALUE,
PP_TARGET_VALUE, PP_MINIMUM_VALUE, PP_MAXIMUM_VALUE, PP_PARAMETER_UOM, CUSTOMER_NAME, ORDER_NUMBER,
RESERVATION_ID, SALES_ORDER_ID, ORD_LINE_ID, ORDERED_ITEM, REQUEST_DATE, PROMISE_DATE, ORDER_QUANTITY_UOM, ORDERED_QUANTITY, TRANSACTION_TYPE_ID,
TRANSACTION_TYPE_NAME, REAS_TRANSACTION_DATE, REAS_TRANS_ID, LOT_NUMBER, SUBINVENTORY, LOCATOR_ID, TRANSACTION_QUANTITY, PRIMARY_QUANTITY,
SECONDARY_TRANSACTION_QUANTITY, PRIMARY_UOM_CODE, SECONDARY_UOM_CODE, LPN_ID, REASON_ID, REASON_NAME, DESCRIPTION, EXP_LOT_NUMBER,
EXP_PARENT_LOT_NUMBER, EXP_SUPPLIER_LOT_NUMBER, EXP_LOT_GRADE_CODE, EXPIRATION_DATE, EXPIRATION_PERIOD, EXP_SUBINVENTORY, EXP_LOCATOR_ID,
OH_EXP_TRANSACTION_QUANTITY, OH_EXP_PRIMARY_QUANTITY, SAMPLE_ID, EVENT_SPEC_DISP_ID, RESULT_ID, SAMPLE_NUMBER, LAB_NAME, DISPOSITION,
DISPOSITION_CODE, SAMPLESTEP_NO, SEQUENCE, TEST, TEST_EVALUATION, RESULT, TARGET, UNIT, MIN_VALUE, MAX_VALUE, RESULT_DATE, TESTER, NONCONFORM_SEVERITY,
NONCONFORMANCE_TYPE, NONCONFORMANCE_STATUS, NCM_DATE_OPENED, NCM_PLAN_ID, NCM_COLLECTION_ID, NCM_OCCURRENCE, NCM_LAST_UPDATE_DATE, NONCONFORMANCE_NUMBER,
NONCONFORMANCE_OWNER, NONCONFORMANCE_DESC,  LANGUAGE, LAST_UPDATE_DATE 
from OPM_ECC_STEP_V v, GMO.OPM_ECC_STEP_TEMP t 
where batch_status in(2,3)
and v.BATCH_ID = t.BATCH_ID
and language in ('US')  ) 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</si>
  <si>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gmo-quality</t>
  </si>
  <si>
    <t>Production Quality</t>
  </si>
  <si>
    <t>SELECT * FROM ( select
ECC_SPEC_ID, RECORD_TYPE, RECORD_IDENTIFIER, v.ORGANIZATION_ID, ORGCODE, ORGNAME, v.BATCH_ID, BATCH_NO, BATCH_STATUS,
BATCH_STATUS_DESCRIPTION,BATCH_TYPE, BATCH_TYPE_DESCRIPTION, BATCH_DELAYED, BATCH_DELAY_TIME, BATCH_DELAY_STRING, BATCH_TERMINATED_IND, RECIPE_VALIDITY_RULE_ID,
ROUTINGID, PLANNEDSTARTDATE,PLANNEDCOMPDATE, ACTUALSTARTDATE, ACTUALCOMPDATE, CLOSEDATE, DUEDATE, FORMULA_ID, FORMULA_NO,
FORMULA_VERS, FORMULADESC, RECIPE_ID, RECIPE_NO, RECIPE_STATUS, RECIPE_STATUS_DESC,RECIPE_VERSION,
RECIPE_DESCRIPTION, ROUTING_NO, ROUTING_VERSION, ROUTING_DESCRIPTION, ROUTING_CLASS, ROUTING_STATUS, ROUTING_STATUS_DESC, FPO_ID, BATCH_HOLD_IND, HOLD_REASON, HOLD_START_DATE,
HOLD_COMMENTS, HOLD_REQUESTOR, BATCH_HOLD_TYPE, MATERIAL_DETAIL_ID, LINE_TYPE, LINE_DESCRIPTION, INVENTORY_ITEM_ID, ITEM_DESCRIPTION, ITEM, INVENTORY_PLANNING_CODE, PLANNER_CODE,
LINE_NO, PLANQTY,ACTUALQTY, WIPPLANQTY, DTL_UM, PLAN_MATERIAL_YIELD, WIP_PLAN_MATERIAL_YIELD, DTL_UNALLOC, STEPID, BATCHSTEP_NO, STEP_OPRN_NAME, STEP_OPRN_DESC, STEP_STATUS, STEPPLANNEDSTARTDATE,
STEPPLANNEDCOMPDATE, STEPACTUALSTARTDATE, STEPACTUALCOMPDATE, STEPCLOSEDATE, STEPPLANNEDQTY, STEPACTUALQTY, ROUTINGSTEPID, STEP_DELAYED,
STEP_DELAY_TIME, STEP_DELAY_STRING, ACTIVITY, BATCHSTEP_ACTVITY_ID, ACTPLANSTARTDATE, ACTPLANCOMPDATE, ACTACTUALSTARTDATE, ACTACTUALCOMPDATE, OPRN_LINE_ID, RES, RESOURCE_DESC,
RESPRIM_RSRC_IND, RESCAPACITY_UM, RESPLANLUSG, RESACTUALUSG, RESPLANQTY, RESACTUALQTY, RESPLANSTARTDATE, RESACTUALSTARTDATE, RESPLANCOMPDATE, RESACTUALCOMPDATE, RESUSAGE_UM,
RESRESOURCE_QTY_UM, RESPLAN_RSRC_COUNT,RESACTUAL_RSRC_COUNT, PP_PROCESS_PARAM_ID, PP_PARAMETER_NAME, PP_PARAMETER_DESCRIPTION, PP_PARAMETER_ID, PP_ACTUAL_VALUE, PP_TARGET_VALUE, PP_MINIMUM_VALUE, PP_MAXIMUM_VALUE,
PP_PARAMETER_UOM, SAMPLE_ID, EVENT_SPEC_DISP_ID, RESULT_ID, SAMPLE_NUMBER, LAB_NAME, DISPOSITION, DISPOSITION_CODE, SAMPLESTEP_NO, SEQUENCE,
TEST, TEST_EVALUATION, RESULT, TARGET, UNIT, MIN_VALUE, MAX_VALUE, RESULT_DATE, TESTER, NONCONFORM_SEVERITY, NONCONFORMANCE_TYPE, NONCONFORMANCE_STATUS, NCM_DATE_OPENED,
NCM_PLAN_ID, NCM_COLLECTION_ID, NCM_OCCURRENCE, NCM_LAST_UPDATE_DATE, NONCONFORMANCE_NUMBER, NONCONFORMANCE_OWNER, NONCONFORMANCE_DESC, EID_LAST_UPDATE_DATE,
LANGUAGE, COMPLETED_TODAY, COMPLETED_LAST_WEEK, HAS_ACCEPTED_SAMPLES, HAS_REJECTED_SAMPLES, HAS_VARIANCE_SAMPLES,
TOTAL_NON_CONFORMANCES,NONCONFORMANCES 
from
OPM_ECC_QUALITY_V v
where
LAST_UPDATE_DATE &gt;= TO_DATE('27-APR-20','DD-MON-RR HH24:MI:SS')
and language in ('US')  )
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</si>
  <si>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gmo-batch</t>
  </si>
  <si>
    <t>Batch Dashboard</t>
  </si>
  <si>
    <t>SELECT * FROM (
select
ECC_SPEC_ID, RECORD_TYPE, RECORD_IDENTIFIER, v.ORGANIZATION_ID, ORGCODE, ORGNAME, v.BATCH_ID, BATCH_NO, BATCH_STATUS,
BATCH_STATUS_DESCRIPTION, BATCH_TYPE, BATCH_TYPE_DESCRIPTION, BATCH_DELAYED,
BATCH_DELAY_TIME, BATCH_DELAY_STRING, BATCH_TERMINATED_IND, RECIPE_VALIDITY_RULE_ID, ROUTINGID,
PLANNEDSTARTDATE, PLANNEDCOMPDATE, ACTUALSTARTDATE, ACTUALCOMPDATE, CLOSEDATE, DUEDATE, FORMULA_ID, FORMULA_NO, FORMULA_VERS,
FORMULADESC, RECIPE_ID, RECIPE_NO, RECIPE_STATUS, RECIPE_STATUS_DESC, RECIPE_VERSION, RECIPE_DESCRIPTION, ROUTING_NO,
ROUTING_VERSION, ROUTING_DESCRIPTION, ROUTING_CLASS, ROUTING_STATUS, ROUTING_STATUS_DESC, FPO_ID, BATCH_HOLD_IND,
HOLD_REASON, HOLD_START_DATE, HOLD_COMMENTS, HOLD_REQUESTOR, BATCH_HOLD_TYPE, MATERIAL_DETAIL_ID, LINE_TYPE, LINE_DESCRIPTION,
INVENTORY_ITEM_ID, ITEM_DESCRIPTION, ITEM, INVENTORY_PLANNING_CODE, PLANNER_CODE, LINE_NO, PLANQTY, ACTUALQTY,
WIPPLANQTY, DTL_UM, PLAN_MATERIAL_YIELD, WIP_PLAN_MATERIAL_YIELD, DTL_UNALLOC, STEPID, BATCHSTEP_NO, STEP_OPRN_NAME
, STEP_OPRN_DESC, STEP_STATUS, STEPPLANNEDSTARTDATE, STEPPLANNEDCOMPDATE, STEPACTUALSTARTDATE, STEPACTUALCOMPDATE, STEPCLOSEDATE, STEPPLANNEDQTY, STEPACTUALQTY, ROUTINGSTEPID, STEP_DELAYED, STEP_DELAY_TIME, STEP_DELAY_STRING, ACTIVITY,
BATCHSTEP_ACTVITY_ID, ACTPLANSTARTDATE, ACTPLANCOMPDATE, ACTACTUALSTARTDATE, ACTACTUALCOMPDATE, OPRN_LINE_ID, RES, RESOURCE_DESC, RESPRIM_RSRC_IND,
RESCAPACITY_UM, RESPLANLUSG,RESACTUALUSG, RESPLANQTY, RESACTUALQTY, RESPLANSTARTDATE, RESACTUALSTARTDATE,
RESPLANCOMPDATE, RESACTUALCOMPDATE, RESUSAGE_UM, RESRESOURCE_QTY_UM, RESPLAN_RSRC_COUNT, RESACTUAL_RSRC_COUNT,
PP_PROCESS_PARAM_ID, PP_PARAMETER_NAME, PP_PARAMETER_DESCRIPTION, PP_PARAMETER_ID, PP_ACTUAL_VALUE, PP_TARGET_VALUE, PP_MINIMUM_VALUE, PP_MAXIMUM_VALUE, PP_PARAMETER_UOM,
CUSTOMER_NAME, ORDER_NUMBER, RESERVATION_ID, SALES_ORDER_ID, ORD_LINE_ID, ORDERED_ITEM,
REQUEST_DATE, PROMISE_DATE, ORDER_QUANTITY_UOM, ORDERED_QUANTITY, TRANSACTION_TYPE_ID, TRANSACTION_TYPE_NAME, REAS_TRANSACTION_DATE,
REAS_TRANS_ID, LOT_NUMBER, SUBINVENTORY, LOCATOR_ID, TRANSACTION_QUANTITY, PRIMARY_QUANTITY, SECONDARY_TRANSACTION_QUANTITY, PRIMARY_UOM_CODE, SECONDARY_UOM_CODE, LPN_ID, REASON_ID, REASON_NAME, DESCRIPTION, EXP_LOT_NUMBER, EXP_PARENT_LOT_NUMBER,
EXP_SUPPLIER_LOT_NUMBER, EXP_LOT_GRADE_CODE, EXPIRATION_DATE, EXPIRATION_PERIOD, EXP_SUBINVENTORY, EXP_LOCATOR_ID, OH_EXP_TRANSACTION_QUANTITY, OH_EXP_PRIMARY_QUANTITY, SAMPLE_ID, EVENT_SPEC_DISP_ID, RESULT_ID, SAMPLE_NUMBER, LAB_NAME, DISPOSITION,
DISPOSITION_CODE, SAMPLESTEP_NO, SEQUENCE, TEST, TEST_EVALUATION, RESULT, TARGET, UNIT, MIN_VALUE, MAX_VALUE,
RESULT_DATE, TESTER, NONCONFORM_SEVERITY, NONCONFORMANCE_TYPE, NONCONFORMANCE_STATUS, NCM_DATE_OPENED, NCM_PLAN_ID, NCM_COLLECTION_ID, NCM_OCCURRENCE, NCM_LAST_UPDATE_DATE, NONCONFORMANCE_NUMBER, NONCONFORMANCE_OWNER,
NONCONFORMANCE_DESC, EID_LAST_UPDATE_DATE,
LANGUAGE, STARTING_TODAY, COMPLETING_TODAY, STARTED_TODAY, COMPLETED_TODAY, COMPLETED_YESTERDAY,
STARTING_TOMORROW, COMPLETING_TOMORROW, UPCOMING, FINISH_DELAYED, STARTED_LATE, UNALLOC_PRDT, ON_TRACK, DELAYED,ON_HOLD,UNALLOCATED,LAST_UPDATE_DATE 
from OPM_ECC_V v
where
LAST_UPDATE_DATE &gt;= TO_DATE('27-APR-20','DD-MON-RR HH24:MI:SS')
and language in ('US')  )
PIVOT (max(BATCH_HOLD_IND) AS BATCH_HOLD_IND ,max(ORGNAME) AS ORGNAME,max(BATCH_STATUS_DESCRIPTION) AS BATCH_STATUS_DESCRIPTION,max(STEP_STATUS) AS STEP_STATUS,max(LINE_DESCRIPTION)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RESOURCE_DESC,max(STEP_OPRN_DESC) as STEP_OPRN_DESC for LANGUAGE in ('US' "US"))</t>
  </si>
  <si>
    <t>Delivery_Details</t>
  </si>
  <si>
    <t>Shipping Delivery Details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</si>
  <si>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to_date(to_char(to_timestamp('27-APR-20 01.02.15.000000 AM'),'DD-MON-YY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</si>
  <si>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Outsourced Manufacturing</t>
  </si>
  <si>
    <t>jmf-subcon</t>
  </si>
  <si>
    <t>Outsourced Manufacturing Command Center Data Set</t>
  </si>
  <si>
    <t>select * from ( SELECT
/*+ NO_UNNEST*/
ECC_SPEC_ID,
COMPONENT_ID,
COMPONENT_NAME,
COMPONENTDESCRIPTION,
COMPONENT_CATEGORY_ID,
COMPONENT_CATEGORY_NAME,
COMPONENT_CATEGORY_DESCRIPTION,
COMPONENTTYPE,
COMPONENTUNITPRICE,
COMPONENTCURRENCY,
COMPONENTCOST,
RSO_ALLOCATED_QUANTITY,
RSOALLOC_LKUP.MEANING RSO_ALLOCATION,
PRIMARY_UOM,
RSO_QUANTITY_ORDERED,
RSO_QUANTITY_UOM,
RSO_UNALLOCATEDQUANTITY,
RSO_QUANTITY_UNINVOICED,
RSO_HEADER_ID,
RSO_NUMBER,
RSO_LINE_ID,
RSO_LINE_NUMBER,
OEM_ORG_ID,
OEM_ORG_CODE,
MP_ORG_ID,
MP_ORG_CODE,
SUBCON_TYPE,
ONHAND_QTY,
RSO_PRICE,
RSO_PRICE_QTY_UOM,
RSO_EXTENDEDPRICE,
RSO_SCHEDULE_SHIP_DATE,
RSO_ACTUAL_SHIP_DATE,
RPO_HEADER_ID,
RPO_NUMBER,
RPO_LINE_ID,
RPO_LINE_NUMBER,
RPO_SHIPMENT_ID,
RSO_PAYMENT_TERM_ID,
REPLENISHMENTPURCHASETERM,
RECEIVEDQUANTITY,
OPENSHIPMENTS_LKUP.MEANING OPENSHIPMENTS,
DELAYEDSHIPMENTS_LKUP.MEANING DELAYEDSHIPMENTS,
RECEIVEDDATE,
INTRANSIT_QTY,
RSO_RETURNED_QTY,
SUBCON_PO_SHIPMENT_ID,
SUBCON_PO_HEADER_ID,
SUBCONTRACT_ORDER,
SUBCON_PO_LINE_ID,
SUBCONTRACT_ORDER_LINE,
SUBCON_ORDERED_QTY,
SUBCON_QTY_RECEIVED,
OPENSUBCON_LKUP.MEANING OPENSUBCON,
DELAYEDSUBCON_LKUP.MEANING DELAYEDSUBCON,
PENDINGORDERVALUE,
SUBCON_ALLOCATED_QTY,
SUBCON_UNINVOICED_QTY,
SUBCON_REQUIRED_DATE,
OSA_ITEM_ID,
OSA_NAME,
OSA_DESC,
OSA_CATEGORY_ID,
OSA_CATEGORY_NAME,
OSA_CATEGORY_DESCRIPTION,
OSACOST,
WO_ID,
WO_NAME,
WO_SCHEDULED_START_DATE,
WO_SCHEDULED_COMP_DATE,
WO_ACTUAL_COMP_DATE,
WO_STATUS,
QUANTITY_REQUIRED,
QUANTITY_CONSUMED,
PERCENT_CONSUMPTION,
SUBCON_UNALLOCATED_QTY,
SUBCONALLOC_LKUP.MEANING SUBCON_ALLOCATION,
SUBCON_ADJUSTMENT_ID,
SUBCON_ADJUSTMENT_QTY,
SUBCON_ADJUSTMENT_REASON,
DROPSHIP_REQ_HEADER_ID,
DROPSHIP_REQ_NUMBER,
DROPSHIP_PO_HEADER_ID,
DROPSHIP_PO_NUMBER,
DROPSHIP_PO_SUPPLIER,
SUBCON_PO_RECEIPT_NUMBER,
SUBCON_PO_REJECTED_QTY,
INSPECTION_DATE,
INSPECTION_RESULT,
REJECTION_REASON,
QA_PLAN_ID,
QA_COLLECTION_ID,
QA_OCCURRENCE,
CUSTOMERSALESORDER,
CUSTOMERSALESORDERLINE,
CUSTOMERNAME,
SHIPDATE,
CUSTOMERORDERFLAG_LKUP.MEANING CUSTOMERORDERFLAG,
OSA_TYPE,
MP_ORG_TYPE,
INT_SO_HEADER_ID,
INT_SO_NUMBER,
INT_SO_LINE_ID,
INT_SO_LINE_NUMBER,
INT_SO_SCHEDULE_SHIP_DATE,
INT_SO_ACTUAL_SHIP_DATE,
nvl(ONHAND_QTY,0) * nvl(COMPONENTUNITPRICE,0)   ONHAND_VALUE,
nvl(INTRANSIT_QTY,0) * nvl(COMPONENTUNITPRICE,0) INTRANSIT_VALUE,
nvl(SUBCON_PO_REJECTED_QTY,0) * nvl(OSACOST,0) REJECTED_VALUE,
nvl(RSO_quantity_uninvoiced,0) *  nvl(COMPONENTUNITPRICE,0) UNINVOICED_REPLENISHMENTS,
nvl(Subcon_uninvoiced_qty,0) * nvl(OSACOST ,0) UNINVOCED_ASSEMBLIES,
nvl(Subcon_adjustment_qty,0) * nvl(COMPONENTUNITPRICE, 0) CONSUMPTION_DETAILS,
nvl(Subcon_PO_Rejected_Qty,0) * nvl(OSACOST,0) REJECTED_ASSEMBLIES,
LANGUAGE
FROM
(
SELECT
a.eid_endeca_id
||  b.eid_endeca_id
||  c.eid_endeca_id ECC_SPEC_ID,
a.component_id,
a.component_name,
a.componentdescription,
a.component_category_id,
a.component_category_name,
a.component_category_description,
a.componenttype,
a.componentunitprice,
a.componentcurrency,
a.componentcost,
a.rso_allocated_quantity,
CASE WHEN
a.rso_unallocatedquantity IS NULL
THEN
NULL
WHEN
a.rso_unallocatedquantity &gt; 0
THEN
'U'
ELSE
'A'
END
rso_allocation,
a.primary_uom,
a.rso_quantity_ordered,
a.rso_quantity_uom,
a.rso_unallocatedquantity,
a.rso_quantity_uninvoiced,
a.rso_header_id,
a.rso_number,
a.rso_line_id,
a.rso_line_number,
a.oem_org_id,
a.oem_org_code,
a.mp_org_id,
a.mp_org_code,
a.subcon_type,
a.onhand_qty,
a.rso_price,
a.rso_price_qty_uom,
a.rso_extendedprice,
a.rso_schedule_ship_date,
a.rso_actual_ship_date,
a.rpo_header_id,
a.rpo_number,
a.rpo_line_id,
a.rpo_line_number,
a.rpo_shipment_id,
a.rso_payment_term_id,
a.replenishmentpurchaseterm,
a.receivedquantity,
CASE WHEN
(
a.receivedquantity IS NULL
AND
a.rso_quantity_ordered IS NULL
)
THEN
NULL
WHEN
nvl(a.receivedquantity,0) &lt; nvl(a.rso_quantity_ordered,0)
THEN
'Y'
ELSE
'N'
END
openshipments,
CASE WHEN
(
a.receivedquantity IS NULL
AND
a.rso_quantity_ordered IS NULL
)
THEN
NULL
WHEN
nvl(a.receivedquantity,0) &lt; nvl(a.rso_quantity_ordered,0)
THEN
CASE WHEN
(
a.receiveddate &gt;= trunc(SYSDATE)
)
THEN
0
WHEN
(
trunc(SYSDATE) - trunc(a.receiveddate) = 1
)
THEN
1
WHEN
(
trunc(SYSDATE) - trunc(a.receiveddate) = 2
)
THEN
2
WHEN
(
trunc(SYSDATE) - trunc(a.receiveddate) = 3
)
THEN
3
ELSE
4
END
ELSE
NULL
END
delayedshipments,
a.receiveddate,
a.intransit_qty,
a.rso_returned_qty,
a.subcon_po_shipment_id,
a.subcon_po_header_id,
a.subcontract_order,
a.subcon_po_line_id,
a.subcontract_order_line,
a.subcon_ordered_qty,
a.subcon_qty_received,
CASE WHEN
(
a.subcon_qty_received IS NULL
AND
a.subcon_ordered_qty IS NULL
)
THEN
NULL
WHEN
nvl(a.subcon_qty_received,0) &lt; nvl(a.subcon_ordered_qty,0)
THEN
'Y'
ELSE
'N'
END
opensubcon,
CASE WHEN
(
a.subcon_qty_received IS NULL
AND
a.subcon_ordered_qty IS NULL
)
THEN
NULL
WHEN
nvl(a.subcon_qty_received,0) &lt; nvl(a.subcon_ordered_qty,0)
THEN
CASE WHEN
(
a.subcon_required_date &gt;= trunc(SYSDATE)
)
THEN
0
WHEN
(
trunc(SYSDATE) - trunc(a.subcon_required_date) = 1
)
THEN
1
WHEN
(
trunc(SYSDATE) - trunc(a.subcon_required_date) = 2
)
THEN
2
WHEN
(
trunc(SYSDATE) - trunc(a.subcon_required_date) = 3
)
THEN
3
ELSE
4
END
ELSE
NULL
END
delayedsubcon,
a.osacost * ( a.subcon_ordered_qty - a.subcon_qty_received ) pendingordervalue,
a.subcon_allocated_qty,
a.subcon_uninvoiced_qty,
a.subcon_required_date,
a.osa_item_id,
a.osa_name,
a.osa_desc,
a.osa_category_id,
a.osa_category_name,
a.osa_category_description,
a.osacost,
a.wo_id,
a.wo_name,
a.wo_scheduled_start_date,
a.wo_scheduled_comp_date,
a.wo_actual_comp_date,
a.wo_status,
a.quantity_required,
a.quantity_consumed,
CASE
     WHEN A.QUANTITY_REQUIRED = 0 THEN 0
     ELSE ( A.QUANTITY_CONSUMED / A.QUANTITY_REQUIRED ) * 100
END
PERCENT_CONSUMPTION,
a.subcon_unallocated_qty,
CASE WHEN
a.subcon_unallocated_qty IS NULL
THEN
NULL
WHEN
a.subcon_unallocated_qty &gt; 0
THEN
'U'
ELSE
'A'
END
subcon_allocation,
b.subcon_adjustment_id,
b.subcon_adjustment_qty,
b.subcon_adjustment_reason,
a.dropship_req_header_id,
a.dropship_req_number,
a.dropship_po_header_id,
a.dropship_po_number,
a.dropship_po_supplier,
c.subcon_po_receipt_number,
c.subcon_po_rejected_qty,
c.inspection_date,
c.inspection_result,
c.rejection_reason,
c.qa_plan_id,
c.qa_collection_id,
c.qa_occurrence,
a.customersalesorder,
a.customersalesorderline,
a.customername,
a.shipdate,
CASE WHEN
a.customername IS NULL
THEN
'N'
ELSE
'Y'
END
customerorderflag,
a.osa_type,
a.language,
a.mp_org_type,
a.int_so_header_id,
a.int_so_number,
a.int_so_line_id,
a.int_so_line_number,
a.int_so_schedule_ship_date,
a.int_so_actual_ship_date
FROM
JMF_ECC_SUBCONDET_V a,
JMF_ECC_SUBCONADJ_V b,
JMF_ECC_SUBCONQUALITY_V c
WHERE
a.subcon_po_shipment_id = b.subcon_po_shipment_id (+)
AND
a.component_id = b.component_id (+)
AND
a.subcon_po_shipment_id = c.subcon_po_shipment_id (+)
AND   A.RSO_NUMBER = B.RSO_NUMBER (+)
AND   A.RSO_NUMBER = C.RSO_NUMBER (+)
AND   A.RPO_NUMBER = B.RPO_NUMBER (+)
AND   A.RPO_NUMBER = C.RPO_NUMBER (+)
AND
least(
nvl(a.creation_date,SYSDATE),
nvl(b.creation_date,SYSDATE),
nvl(c.creation_date,SYSDATE)
) &gt;= trunc(SYSDATE) - 10 * 365
AND (
c.eid_endeca_id IN (
SELECT
eid_endeca_id
FROM
jmf_eid_subconquality_tmp
)
OR
b.eid_endeca_id IN (
SELECT
eid_endeca_id
FROM
jmf_eid_subconadj_tmp
)
OR
a.eid_endeca_id IN (
SELECT
eid_endeca_id
FROM
jmf_eid_subcondet_tmp
)
)
) det,
(
SELECT
meaning,
lookup_code,
language rsoalloc_lkup_lang
FROM
fnd_lookup_values
WHERE
lookup_type = 'JMF_EID_ALLOCATION_STATUS'
) rsoalloc_lkup,
(
SELECT
meaning,
lookup_code,
language openshipments_lkup_lang
FROM
fnd_lookup_values
WHERE
lookup_type = 'JMF_EID_YES_NO'
) openshipments_lkup,
(
SELECT
meaning,
lookup_code,
language delayedshipments_lkup_lang
FROM
fnd_lookup_values
WHERE
lookup_type = 'JMF_EID_DELAY_STATUS'
) delayedshipments_lkup,
(
SELECT
meaning,
lookup_code,
language opensubcon_lkup_lang
FROM
fnd_lookup_values
WHERE
lookup_type = 'JMF_EID_YES_NO'
) opensubcon_lkup,
(
SELECT
meaning,
lookup_code,
language delayedsubcon_lkup_lang
FROM
fnd_lookup_values
WHERE
lookup_type = 'JMF_EID_DELAY_STATUS'
) delayedsubcon_lkup,
(
SELECT
meaning,
lookup_code,
language subconalloc_lkup_lang
FROM
fnd_lookup_values
WHERE
lookup_type = 'JMF_EID_ALLOCATION_STATUS'
) subconalloc_lkup,
(
SELECT
meaning,
lookup_code ,
language customerorderflag_lkup_lang
FROM
fnd_lookup_values
WHERE
lookup_type = 'JMF_EID_YES_NO'
) customerorderflag_lkup
WHERE
rsoalloc_lkup.lookup_code (+) = det.rso_allocation
AND
openshipments_lkup.lookup_code (+) = det.openshipments
AND
rsoalloc_lkup.rsoalloc_lkup_lang (+) = det.language
AND
openshipments_lkup.openshipments_lkup_lang (+) = det.language
AND
delayedshipments_lkup.delayedshipments_lkup_lang (+) = det.language
AND
opensubcon_lkup.opensubcon_lkup_lang (+) = det.language
AND
delayedsubcon_lkup.delayedsubcon_lkup_lang (+) = det.language
AND
subconalloc_lkup.subconalloc_lkup_lang (+) = det.language
AND
customerorderflag_lkup.customerorderflag_lkup_lang (+) = det.language
AND
delayedshipments_lkup.lookup_code (+) = det.delayedshipments
AND
opensubcon_lkup.lookup_code (+) = det.opensubcon
AND
delayedsubcon_lkup.lookup_code (+) = det.delayedsubcon
AND
subconalloc_lkup.lookup_code (+) = det.subcon_allocation
AND
customerorderflag_lkup.lookup_code = det.customerorderflag
AND
WO_STATUS &lt;&gt; 'Cancelled' AND language in ('US'))
PIVOT (max(COMPONENTDESCRIPTION) as COMPONENTDESCRIPTION,
       max(COMPONENTTYPE) as COMPONENTTYPE,
       max(RSO_ALLOCATION) as RSO_ALLOCATION,
       max(SUBCON_TYPE) as SUBCON_TYPE,
       max(REPLENISHMENTPURCHASETERM) as REPLENISHMENTPURCHASETERM,
       max(OPENSHIPMENTS) as OPENSHIPMENTS,
       max(DELAYEDSHIPMENTS) as DELAYEDSHIPMENTS,
       max(OPENSUBCON) as OPENSUBCON,
       max(DELAYEDSUBCON) as DELAYEDSUBCON,
       max(OSA_DESC) as OSA_DESC,
       max(SUBCON_ALLOCATION) as SUBCON_ALLOCATION,
       max(CUSTOMERORDERFLAG) as CUSTOMERORDERFLAG,
       max(OSA_TYPE) as OSA_TYPE,
       max(MP_ORG_TYPE) as MP_ORG_TYPE for LANGUAGE in ('US' "US"))</t>
  </si>
  <si>
    <t>Property Manager</t>
  </si>
  <si>
    <t>pn-expenses</t>
  </si>
  <si>
    <t>Lease Expenses</t>
  </si>
  <si>
    <t>SELECT * FROM
(
SELECT
ACCOUNTING_METHOD,
AMOUNT,
ECC_SPEC_ID,
EXEMPT_YN,
EXPENSE_PURPOSE,
ITEM_CATEGORY,
LANGUAGE,
LEASE_CLASS,
LEASE_ID,
LEASE_NUM,
LIFE_MONTHS,
ORG_ID,
PAYMENT_TERM_ID,
PERIOD_START_DATE,
PRIMARY_REGIME,
REGIME_CODE,
STREAM_DATE,
STREAM_TYPE_CODE,
TRANSACTED_FLAG,
to_char(stream_date,'YYYY-MM') rep_period,
to_char(stream_date,'YYYY-MM') month,
PROCESSING_STATUS_FLAG
from  PN_ECC_LEASE_EXPENSE_V
where PROCESSING_STATUS_FLAG ='I' and language in ('US')
) PIVOT (MAX(ACCOUNTING_METHOD) AS ACCOUNTING_METHOD,
         MAX(EXPENSE_PURPOSE) AS EXPENSE_PURPOSE,
         MAX(LEASE_CLASS) AS LEASE_CLASS
FOR LANGUAGE in  ('US' "US"))</t>
  </si>
  <si>
    <t>select ecc_spec_id
                               from pn_ecc_lease_expense_v
                               where processing_status_flag='D'</t>
  </si>
  <si>
    <t>pn-projection</t>
  </si>
  <si>
    <t>Projection Data Set</t>
  </si>
  <si>
    <t>SELECT * FROM
(SELECT
ACCOUNTING_METHOD,
AMOUNT,
ECC_SPEC_ID,
LANGUAGE,
LEASE_ID,
LEASE_TYPE,
ORG_ID,
PAYMENT_TERM_ID,
PROJ_DATE,
TO_CHAR(PROJ_DATE,'YYYY-MM') REP_PERIOD,
REGIME_CODE,
STREAM_TYPE_CODE,
YEAR,
PROCESSING_STATUS_FLAG
FROM
PN_ECC_PROJECTION_V
where PROCESSING_STATUS_FLAG ='I' and language in ('US')
) PIVOT (MAX(ACCOUNTING_METHOD) AS ACCOUNTING_METHOD,
         MAX(STREAM_TYPE_CODE) AS STREAM_TYPE_CODE
FOR LANGUAGE in  ('US' "US"))</t>
  </si>
  <si>
    <t>select ecc_spec_id
                               from pn_ecc_projection_v
                               where processing_status_flag='D'</t>
  </si>
  <si>
    <t>pn-normalize</t>
  </si>
  <si>
    <t>Normalized Data for Property Manager Leases</t>
  </si>
  <si>
    <t>SELECT
ACCOUNT_EXPENSE,
ABS(ACCRUED_LIABILITY) ACCRUED_LIABILITY,
ABS(ADJUSTMENT) ADJUSTMENT,
CURRENCY_CODE,
ECC_SPEC_ID,
LEASE_ID,
NORMALIZATION_CASH,
SCHEDULE_DATE,
TOTAL_CASH,
TO_CHAR(SCHEDULE_DATE,'MON-YY') PERIOD,
to_char(SCHEDULE_DATE,'YYYY-MM') rep_period,
PROCESSING_STATUS_FLAG,
ORG_ID
FROM PN_ECC_NORMALIZE_V
where PROCESSING_STATUS_FLAG ='I'
</t>
  </si>
  <si>
    <t>select ecc_spec_id
                               from pn_ecc_normalize_v
                               where processing_status_flag='D'</t>
  </si>
  <si>
    <t>pn-payterm</t>
  </si>
  <si>
    <t>Lease Pay Terms Data Set</t>
  </si>
  <si>
    <t>SELECT * FROM
(
SELECT dfv.*,lcdfv.*,
ACCOUNTING_METHOD,
ACTUAL_AMOUNT,
AMOUNT_AREA,
AP_INVOICE_NUM,
AREA,
trunc(AREA_UTILIZED) AREA_UTILIZED,
ASSET_NUMBER,
ASSIGNABLE_AREA,
CALENDAR_MONTH,
CONV_MOUNT,
CONV_RATE,
COUNTRY,
CURRENCY_CODE,
DAY_CONVENTION,
DISCOUNT_RATE,
ECC_SPEC_ID,
EXEMPT_YN,
EXPENSE_ACCRUED,
EXPENSE_UNACCRUED,
FUNC_CURRENCY,
GL_END_DATE,
GL_PERIOD_NAME,
GL_START_DATE,
GROSS_AREA,
INTEREST_ACCRUED,
ITEM,
ITEM_CATEGORY,
ITEM_CLASS,
LEASE_APPROVAL_STATUS,
LEASE_CLASS,
LEASE_DAYS,
LEASE_END_DATE,
LEASE_ID,
LEASE_MONTHS,
LEASE_NUM,
LEASE_START_DATE,
LEASE_STATUS,
LEASE_TYPE,
LEASE_YEARS,
LEDGER_CURRENCY,
LEDGER_NAME,
LIABILITY_FLAG,
LIABILITY_REMAINING,
LOCATION_NAME,
OCCUPANCY_MAX,
OCCUPANCY_OPTIMUN,
OCCUPANCY_PERCENT,
OCCUPANCY_STATUS,
OCCUPANCY_UTILIZED,
ORG_ID,
fnd_access_control_util.get_org_name(ORG_ID) ORG_NAME,
PAYMENT_CURRENCY,
PAYMENT_DUE_DATE,
PAYMENT_ITEM,
PAYMENT_ITEM_ID,
PAYMENT_PURPOSE,
PAYMENT_TERM_AMOUNT,
PAYMENT_TERM_FLAG,
PAYMENT_TERM_ID,
PAYMENT_TYPE,
PAY_FREQUENCY,
PRIMARY_REGIME,
PROPERTY_CODE,
PROPERTY_NAME,
REGION_NAME,
REMAINING_PERIODS,
RENTABLE_AREA,
ROU_FLAG,
ROU_REMAINING,
SCHEDULE_DAY,
SUPPLIER,
LEASE_SUPPLIER,        --Bug 30854519
TERM_END_DATE,
TERM_START_DATE,
TERRITORY,
UOM,
USABLE_AREA,
VACANT_AREA,
to_char(payment_due_date,'YYYY-MM') rep_period,
to_date('01-'||to_char(payment_due_date,'MON-YYYY')) trans_date_range,
to_char(lease_end_date,'YYYY-MM') TERM_PERIOD,
decode(to_char(LEASE_START_DATE,'YYYY-MM'),to_char(payment_due_date,'YYYY-MM'),1,0) PERIOD_CREATED,
decode(to_char(LEASE_END_DATE,'YYYY-MM'),to_char(payment_due_date,'YYYY-MM'),1,0) PERIOD_TERMEXP,
ASSET_ROU_REMAINING,
ASSET_MODEL,
UNITS,
UNIT_COST,
TOTAL_COST,
INSTALL_AT,
ADDRESS_LINE1,
LANGUAGE,
ZONE,
LOCATION_TYPE,
TENURE,
CLASS,
ASSET_DESCRIPTION,
PORTFOLIO,
CONDITION,
PROCESSING_STATUS_FLAG,
AS_ROWID,
HD_ROWID,
LC_ROWID,
REGIME_CODE,
TERM_ROU_FLAG,
TERM_LIABILITY_FLAG,
REPFROMINC_FLAG,
NORMALIZE_FLAG,
INTERCOMPANY_FLAG,
LEASE_INTEREST_ACCRUED
FROM
    pn_ecc_pay_term_v dfvalias
 , (select 'HD_ROW_ID','HD_CONTEXT_VALUE','HD_DATE_ENTERED','HD_ENTERED_BY','HD_INVOICE_','HD_LANDLORD_CONTRIBUTION','HD_DUE_DATE_OF_INVOICE','HD_CONCATENATED_SEGMENTS' from dual where 1=2  union select ROWIDTOCHAR(ROW_ID),CONTEXT_VALUE,to_char(DATE_ENTERED, 'yyyy-mm-dd') ,ENTERED_BY,INVOICE_,to_char(LANDLORD_CONTRIBUTION),to_char(DUE_DATE_OF_INVOICE, 'yyyy-mm-dd') ,CONCATENATED_SEGMENTS from PN_LEASE_DETAILS_ALL_DFV) dfv , (select 'LC_ROW_ID','LC_CONTEXT_VALUE','LC_MORTGAGE_BALANCE','LC_MORTGAGE_DUE_DATE','LC_CONCATENATED_SEGMENTS' from dual where 1=2  union select ROWIDTOCHAR(ROW_ID),CONTEXT_VALUE,MORTGAGE_BALANCE,MORTGAGE_DUE_DATE,CONCATENATED_SEGMENTS from PN_LOCATIONS_ALL_DFV) lcdfv  WHERE dfvalias.HD_ROWID = dfv."'HD_ROW_ID'"(+) AND dfvalias.LC_ROWID = lcdfv."'LC_ROW_ID'"(+) AND  PROCESSING_STATUS_FLAG = 'I' and language in ('US') ) PIVOT (MAX(ACCOUNTING_METHOD) AS ACCOUNTING_METHOD,
         MAX(LEASE_APPROVAL_STATUS) AS LEASE_APPROVAL_STATUS,
         MAX(LEASE_CLASS) AS LEASE_CLASS,
         MAX(LEASE_STATUS) AS LEASE_STATUS,
         MAX(LEASE_TYPE) AS LEASE_TYPE,
         MAX(PAYMENT_PURPOSE) AS PAYMENT_PURPOSE,
         MAX(PAYMENT_TYPE) AS PAYMENT_TYPE,
         MAX(PAY_FREQUENCY) AS PAY_FREQUENCY,
         MAX(ZONE) AS ZONE,
         MAX(LOCATION_TYPE) AS LOCATION_TYPE,
         MAX(TENURE) AS TENURE,
         MAX(CLASS) AS CLASS,
         MAX(ASSET_DESCRIPTION) AS ASSET_DESCRIPTION,
         MAX(PORTFOLIO) AS PORTFOLIO,
         MAX(CONDITION) AS CONDITION,
         MAX(REGIME_CODE) AS REGIME_CODE,
         MAX(TERM_ROU_FLAG) AS TERM_ROU_FLAG,
         MAX(TERM_LIABILITY_FLAG) AS TERM_LIABILITY_FLAG,
         MAX(REPFROMINC_FLAG) AS REPFROMINC_FLAG,
         MAX(NORMALIZE_FLAG) AS NORMALIZE_FLAG,
         MAX(INTERCOMPANY_FLAG) AS INTERCOMPANY_FLAG,
         MAX(OCCUPANCY_STATUS) AS OCCUPANCY_STATUS
FOR LANGUAGE in  ('US' "US"))</t>
  </si>
  <si>
    <t>select ecc_spec_id
                               from pn_ecc_pay_term_v
                               where processing_status_flag='D'</t>
  </si>
  <si>
    <t>Human Resources</t>
  </si>
  <si>
    <t>PER</t>
  </si>
  <si>
    <t>select * from (SELECT ECC_SPEC_ID
    ,PERSON_ID
               ,COMPETENCY_NAME
               ,COM_EFFECTIVE_DATE_FROM
               ,COM_EFFECTIVE_DATE_TO
    ,LOGGED_USER_ID
    ,SECURITY_PROFILE_ID
               ,COM_LAST_UPDATE_DATE
,LANGUAGE
FROM PER_ECC_COMPETENCY_DEL_V where language in ('US')) PIVOT (max(COMPETENCY_NAME) as COMPETENCY_NAME for LANGUAGE in ('US' "US"))</t>
  </si>
  <si>
    <t>select * from (SELECT ECC_SPEC_ID
    ,PERSON_ID
               ,QUALIFICATION
    ,LOGGED_USER_ID
    ,SECURITY_PROFILE_ID
               ,QUA_LAST_UPDATE_DATE
,LANGUAGE
FROM PER_ECC_QUALIFICATION_DEL_V where language in ('US')) PIVOT (max(QUALIFICATION) as QUALIFICATION for LANGUAGE in ('US' "US"))</t>
  </si>
  <si>
    <t>select * from (SELECT ECC_SPEC_ID
    ,PERSON_ID
               ,PERFORMANCE_RATING
               ,REVIEW_DATE
    ,LOGGED_USER_ID
    ,SECURITY_PROFILE_ID
               ,PER_LAST_UPDATE_DATE
,LANGUAGE
FROM PER_ECC_PERFORMANCE_DEL_V where language in ('US')) PIVOT (max(PERFORMANCE_RATING) as PERFORMANCE_RATING for LANGUAGE in ('US' "US"))</t>
  </si>
  <si>
    <t>select * from (SELECT ECC_SPEC_ID
    ,PERSON_ID
               ,TAG
    ,LOGGED_USER_ID
    ,SECURITY_PROFILE_ID
               ,TAG_LAST_UPDATE_DATE
,LANGUAGE
FROM PER_ECC_TAG_DEL_V where language in ('US')) PIVOT (max(TAG) as TAG for LANGUAGE in ('US' "US"))</t>
  </si>
  <si>
    <t>select * from (SELECT ECC_SPEC_ID
    ,PERSON_ID
               ,PHONE_NUMBER
    ,LOGGED_USER_ID
    ,SECURITY_PROFILE_ID
               ,PHN_LAST_UPDATE_DATE
,LANGUAGE
FROM PER_ECC_PHONE_DEL_V where language in ('US')) PIVOT (max(PHONE_NUMBER) as PHONE_NUMBER for LANGUAGE in ('US' "US"))</t>
  </si>
  <si>
    <t>select * from (SELECT ECC_SPEC_ID
    ,PERSON_ID
               ,ADDRESS_STYLE
               ,ADDRESS_TYPE
               ,ADDRESS
               ,ADDRESS_DATE_FROM
               ,ADDRESS_DATE_TO
    ,LOGGED_USER_ID
    ,SECURITY_PROFILE_ID
               ,ADD_LAST_UPDATE_DATE
,LANGUAGE
FROM PER_ECC_ADDRESS_DEL_V where language in ('US')) PIVOT (max(ADDRESS_TYPE) as ADDRESS_TYPE for LANGUAGE in ('US' "US"))</t>
  </si>
  <si>
    <t>select * from (SELECT ECC_SPEC_ID
                ,PERSON_ID
                ,USER_ID
               ,ASG_EFFECTIVE_START_DATE
               ,ASG_EFFECTIVE_END_DATE
               ,ASSIGNMENT_ID
               ,ASG_PRIMARY_FLAG
               ,EMPLOYEE_CATEGORY
               ,EMPLOYMENT_CATEGORY
               ,ASSIGNMENT_CATEGORY
               ,ASSIGNMENT_STATUS
               ,ASSIGNMENT_TYPE
               ,REMOTE_WORKER
               ,PROBATION_PERIOD
               ,BARGAINING_UNIT
               ,ORGANIZATION
               ,PEOPLE_GROUP
               ,JOB
               ,POSITION
               ,GRADE
               ,PAYROLL
               ,LOCATION
               ,GRADE_CHANGE
               ,JOB_CHANGE
               ,POSITION_CHANGE
               ,LOCATION_CHANGE
               ,ORGANIZATION_CHANGE
    ,SALARY_CHANGE
    ,COUNTRY
               ,SUPERVISOR
               ,SUPERVISOR_ID
               ,SUPERVISOR_USER_ID
               ,SALARY_BASIS
               ,REGULATORY_REGION
               ,DERIVED_LOCATION
               ,COORDINATES
    ,LOGGED_USER_ID
    ,SECURITY_PROFILE_ID
               ,ASG_LAST_UPDATE_DATE
               ,IS_MANAGER
,LANGUAGE
FROM PER_ECC_ASSIGNMENT_DEL_V where language in ('US')) PIVOT (max(EMPLOYEE_CATEGORY) as EMPLOYEE_CATEGORY, max(EMPLOYMENT_CATEGORY) as EMPLOYMENT_CATEGORY,
  max(BARGAINING_UNIT) as BARGAINING_UNIT, max(COUNTRY) as COUNTRY, max(PROBATION_PERIOD) as PROBATION_PERIOD
                                                  , max(ORGANIZATION) as ORGANIZATION
                                                  , max(JOB) as JOB
                                                  , max(POSITION) as POSITION
                                                  , max(LOCATION) as LOCATION
                                                  , max(GRADE) as GRADE for LANGUAGE in ('US' "US"))</t>
  </si>
  <si>
    <t>select * from (SELECT ECC_SPEC_ID
        ,PERSON_ID
               ,PERSON
               ,IMAGE
               ,BUSINESS_GROUP_ID
               ,PEOPLE_EFFECTIVE_START_DATE
               ,PEOPLE_EFFECTIVE_END_DATE
               ,FIRST_NAME
               ,LAST_NAME
               ,MIDDLE_NAME
               ,KNOWN_AS
               ,FULL_NAME
               ,EMAIL_ADDRESS
               ,MARITAL_STATUS
               ,NATIONALITY
               ,PERSON_TYPE
               ,CURRENTLY_EMPLOYEE
               ,CURRENTLY_APPLICANT
               ,CURRENTLY_CONTINGENT_WORKER
               ,DATE_OF_BIRTH
               ,AGE
               ,BIRTH_ANNIVERSARY
               ,GENDER
               ,WORK_EXPERIENCE
               ,BLOOD_GROUP
               ,JOINING_DATE
               ,RELIEVING_DATE
               ,TENURE
               ,WORK_ANNIVERSARY
    ,LOGGED_USER_ID
    ,SECURITY_PROFILE_ID
               ,PEO_LAST_UPDATE_DATE
,LANGUAGE
FROM PER_ECC_PEOPLE_DEL_V where language in ('US')) PIVOT (max(MARITAL_STATUS) as MARITAL_STATUS, max(NATIONALITY) as NATIONALITY, max(GENDER) as GENDER, max(PERSON_TYPE) as PERSON_TYPE for LANGUAGE in ('US' "US"))</t>
  </si>
  <si>
    <t>select * from (SELECT ECC_SPEC_ID
    ,PERSON_ID
               ,COMPETENCY_NAME
               ,COM_EFFECTIVE_DATE_FROM
               ,COM_EFFECTIVE_DATE_TO
    ,LOGGED_USER_ID
    ,SECURITY_PROFILE_ID
               ,COM_LAST_UPDATE_DATE
,LANGUAGE
FROM PER_ECC_COMPETENCY_V where language in ('US') and COM_LAST_UPDATE_DATE &gt;=  to_date(to_char(to_timestamp('27-APR-20' ),'DD-MON-YY HH24.MI.SS'),'DD-MON-YY HH24.MI.SS')) PIVOT (max(COMPETENCY_NAME) as COMPETENCY_NAME for LANGUAGE in ('US' "US"))</t>
  </si>
  <si>
    <t>select * from (SELECT ECC_SPEC_ID
    ,PERSON_ID
               ,QUALIFICATION
    ,LOGGED_USER_ID
    ,SECURITY_PROFILE_ID
               ,QUA_LAST_UPDATE_DATE
,LANGUAGE
FROM PER_ECC_QUALIFICATION_V where language in ('US') and QUA_LAST_UPDATE_DATE &gt;=  to_date(to_char(to_timestamp('27-APR-20' ),'DD-MON-YY HH24.MI.SS'),'DD-MON-YY HH24.MI.SS')) PIVOT (max(QUALIFICATION) as QUALIFICATION for LANGUAGE in ('US' "US"))</t>
  </si>
  <si>
    <t>select * from (SELECT ECC_SPEC_ID
    ,PERSON_ID
               ,PERFORMANCE_RATING
               ,REVIEW_DATE
    ,LOGGED_USER_ID
    ,SECURITY_PROFILE_ID
               ,PER_LAST_UPDATE_DATE
,LANGUAGE
FROM PER_ECC_PERFORMANCE_V where language in ('US') and PER_LAST_UPDATE_DATE &gt;=  to_date(to_char(to_timestamp('27-APR-20' ),'DD-MON-YY HH24.MI.SS'),'DD-MON-YY HH24.MI.SS')) PIVOT (max(PERFORMANCE_RATING) as PERFORMANCE_RATING for LANGUAGE in ('US' "US"))</t>
  </si>
  <si>
    <t>select * from (SELECT ECC_SPEC_ID
    ,PERSON_ID
               ,TAG
    ,LOGGED_USER_ID
    ,SECURITY_PROFILE_ID
               ,TAG_LAST_UPDATE_DATE
,LANGUAGE
FROM PER_ECC_TAG_V where language in ('US') and TAG_LAST_UPDATE_DATE &gt;=  to_date(to_char(to_timestamp('27-APR-20' ),'DD-MON-YY HH24.MI.SS'),'DD-MON-YY HH24.MI.SS')) PIVOT (max(TAG) as TAG for LANGUAGE in ('US' "US"))</t>
  </si>
  <si>
    <t>select * from (SELECT ECC_SPEC_ID
    ,PERSON_ID
               ,PHONE_NUMBER
    ,LOGGED_USER_ID
    ,SECURITY_PROFILE_ID
               ,PHN_LAST_UPDATE_DATE
,LANGUAGE
FROM PER_ECC_PHONE_V where language in ('US') and PHN_LAST_UPDATE_DATE &gt;=  to_date(to_char(to_timestamp('27-APR-20' ),'DD-MON-YY HH24.MI.SS'),'DD-MON-YY HH24.MI.SS')) PIVOT (max(PHONE_NUMBER) as PHONE_NUMBER for LANGUAGE in ('US' "US"))</t>
  </si>
  <si>
    <t>select * from (SELECT ECC_SPEC_ID
    ,PERSON_ID
               ,ADDRESS_STYLE
               ,ADDRESS_TYPE
               ,ADDRESS
               ,ADDRESS_DATE_FROM
               ,ADDRESS_DATE_TO
    ,LOGGED_USER_ID
    ,SECURITY_PROFILE_ID
               ,ADD_LAST_UPDATE_DATE
,LANGUAGE
FROM PER_ECC_ADDRESS_V where language in ('US') and ADD_LAST_UPDATE_DATE &gt;=  to_date(to_char(to_timestamp('27-APR-20' ),'DD-MON-YY HH24.MI.SS'),'DD-MON-YY HH24.MI.SS')) PIVOT (max(ADDRESS_TYPE) as ADDRESS_TYPE for LANGUAGE in ('US' "US"))</t>
  </si>
  <si>
    <t>select * from (SELECT ECC_SPEC_ID
                ,PERSON_ID
                ,USER_ID
               ,ASG_EFFECTIVE_START_DATE
               ,ASG_EFFECTIVE_END_DATE
               ,ASSIGNMENT_ID
               ,ASG_PRIMARY_FLAG
               ,EMPLOYEE_CATEGORY
               ,EMPLOYMENT_CATEGORY
               ,ASSIGNMENT_CATEGORY
               ,ASSIGNMENT_STATUS
               ,ASSIGNMENT_TYPE
               ,REMOTE_WORKER
               ,PROBATION_PERIOD
               ,BARGAINING_UNIT
               ,ORGANIZATION
               ,PEOPLE_GROUP
               ,JOB
               ,POSITION
               ,GRADE
               ,PAYROLL
               ,LOCATION
               ,GRADE_CHANGE
               ,JOB_CHANGE
               ,POSITION_CHANGE
               ,LOCATION_CHANGE
               ,ORGANIZATION_CHANGE
    ,SALARY_CHANGE
    ,COUNTRY
               ,SUPERVISOR
               ,SUPERVISOR_ID
               ,SUPERVISOR_USER_ID
               ,SALARY_BASIS
               ,REGULATORY_REGION
               ,DERIVED_LOCATION
               ,COORDINATES
    ,LOGGED_USER_ID
    ,SECURITY_PROFILE_ID
               ,ASG_LAST_UPDATE_DATE
               ,IS_MANAGER
,LANGUAGE
FROM PER_ECC_ASSIGNMENT_V where language in ('US') and ASG_LAST_UPDATE_DATE &gt;=  to_date(to_char(to_timestamp('27-APR-20' ),'DD-MON-YY HH24.MI.SS'),'DD-MON-YY HH24.MI.SS')) PIVOT (max(EMPLOYEE_CATEGORY) as EMPLOYEE_CATEGORY, max(EMPLOYMENT_CATEGORY) as EMPLOYMENT_CATEGORY,
  max(BARGAINING_UNIT) as BARGAINING_UNIT, max(COUNTRY) as COUNTRY, max(PROBATION_PERIOD) as PROBATION_PERIOD
                                                  , max(ORGANIZATION) as ORGANIZATION
                                                  , max(JOB) as JOB
                                                  , max(POSITION) as POSITION
                                                  , max(LOCATION) as LOCATION
                                                  , max(GRADE) as GRADE for LANGUAGE in ('US' "US"))</t>
  </si>
  <si>
    <t>select * from (SELECT ECC_SPEC_ID
        ,PERSON_ID
               ,PERSON
               ,IMAGE
               ,BUSINESS_GROUP_ID
               ,PEOPLE_EFFECTIVE_START_DATE
               ,PEOPLE_EFFECTIVE_END_DATE
               ,FIRST_NAME
               ,LAST_NAME
               ,MIDDLE_NAME
               ,KNOWN_AS
               ,FULL_NAME
               ,EMAIL_ADDRESS
               ,MARITAL_STATUS
               ,NATIONALITY
               ,PERSON_TYPE
               ,CURRENTLY_EMPLOYEE
               ,CURRENTLY_APPLICANT
               ,CURRENTLY_CONTINGENT_WORKER
               ,DATE_OF_BIRTH
               ,AGE
               ,BIRTH_ANNIVERSARY
               ,GENDER
               ,WORK_EXPERIENCE
               ,BLOOD_GROUP
               ,JOINING_DATE
               ,RELIEVING_DATE
               ,TENURE
               ,WORK_ANNIVERSARY
    ,LOGGED_USER_ID
    ,SECURITY_PROFILE_ID
               ,PEO_LAST_UPDATE_DATE
,LANGUAGE
FROM PER_ECC_PEOPLE_V where language in ('US') and PEO_LAST_UPDATE_DATE &gt;=  to_date(to_char(to_timestamp('27-APR-20' ),'DD-MON-YY HH24.MI.SS'),'DD-MON-YY HH24.MI.SS')) PIVOT (max(MARITAL_STATUS) as MARITAL_STATUS, max(NATIONALITY) as NATIONALITY, max(GENDER) as GENDER, max(PERSON_TYPE) as PERSON_TYPE for LANGUAGE in ('US' "US"))</t>
  </si>
  <si>
    <t>Discrete Quality</t>
  </si>
  <si>
    <t>qa-nc</t>
  </si>
  <si>
    <t>Nonconformances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</si>
  <si>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QA_ECC_RESULTS_NC_V WHERE ECC_LAST_UPDATE_DATE &gt;= to_date('27-APR-20','DD-MON-YYYY HH24:MI:SS') AND LANGUAGE IN ('US'))
                                PIVOT ( MAX(ITEM_DESCRIPTION) AS ITEM_DESCRIPTION FOR LANGUAGE IN ('US' "US"))</t>
  </si>
  <si>
    <t>qa-quality</t>
  </si>
  <si>
    <t>Collection Results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</si>
  <si>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QA_ECC_RESULTS_V WHERE ECC_LAST_UPDATE_DATE &gt;= to_date('27-APR-20','DD-MON-RR HH24:MI:SS') AND LANGUAGE IN ('US'))
                                  PIVOT ( MAX(ITEM_DESCRIPTION) AS ITEM_DESCRIPTION FOR LANGUAGE IN ('US' "US"))</t>
  </si>
  <si>
    <t>qa-ca</t>
  </si>
  <si>
    <t>Corrective Actions</t>
  </si>
  <si>
    <t>SELECT * FROM ( SELECT TX_DESC,DATE_BUCKET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,TXN_NUMEBR,ECC_SPEC_ID,PLAN_NAME,PLAN_DESCRIPTION,PLAN_TYPE,PLAN_ID FROM QA_ECC_RESULTS_CA_V WHERE ECC_LAST_UPDATE_DATE &gt;= to_date('27-APR-20','DD-MON-RR HH24:MI:SS') AND LANGUAGE IN ('US'))
                                PIVOT ( MAX(ITEM_DESCRIPTION) AS ITEM_DESCRIPTION FOR LANGUAGE IN ('US' "US"))</t>
  </si>
  <si>
    <t>Service Contracts</t>
  </si>
  <si>
    <t>8s</t>
  </si>
  <si>
    <t>oks-contract</t>
  </si>
  <si>
    <t>Service Contract Details</t>
  </si>
  <si>
    <t>select * from (SELECT oksecc.ecc_spec_id,okch_dfv.*, okcl_dfv.*,okcsl_dfv.*,
     oksecc.language_code ,
  oksecc.contract_operating_unit_id,
  oksecc.operating_unit,
  oksecc.contract_id,
  oksecc.contract_number,
  oksecc.contract_modifier,
  oksecc.contract_version,
  oksecc.document_number,
  oksecc.contract_category,
  oksecc.category_meaning,
  oksecc.known_as,
  oksecc.short_description,
  oksecc.contract_status,
  oksecc.contract_status_group,
  oksecc.status_meaning,
  oksecc.negotiation_status,
  oksecc.NEGOTIATION_STS_MEAN,
  oksecc.curr_entitle_grace_dur,
  oksecc.CUR_ENT_GRACE_PERIOD,
  oksecc.curr_entitle_grace_endt,
  oksecc.contract_signed_date,
  oksecc.contract_start_date,
  oksecc.start_date_fisc_year,
  oksecc.start_date_fisc_qtr,
  oksecc.start_date_fisc_month,
  oksecc.contract_end_date,
  oksecc.hdr_cont_duration,
  oksecc.renew_date,
  oksecc.days_to_expiry,
  oksecc.hdr_duedays_tobook,
  oksecc.agebucket_tobook,
  oksecc.creation_date,
  oksecc.contract_approved_date,
  oksecc.contract_canceled_timestamp,
  oksecc.contract_termination_date,
  oksecc.customer_party_id,
  oksecc.party_role,
  oksecc.customer_party_name,
  oksecc.customer_party_number,
  oksecc.customer_category_code,
  oksecc.third_party_role,
  oksecc.third_party_name,
  oksecc.third_party_number,
  oksecc.hdr_bill_to,
  oksecc.hdr_bill_to_acct_num,
  oksecc.hdr_cust_bill_to_site_use_id,
  oksecc.hdr_bill_to_location_id,
  oksecc.hdr_bill_to_site,
  oksecc.hdr_bill_to_acct_profile_id,
  oksecc.hdr_ship_to,
  oksecc.hdr_ship_to_acct_num,
 oksecc.hdr_ship_to_site_use_id,
  oksecc.hdr_ship_to_location_id,
  oksecc.hdr_ship_to_site,
  oksecc.contract_currency,
  oksecc.functional_currency,
  oksecc.contract_currency_conv_rate,
  oksecc.contract_currency_conv_date,
  oksecc.contract_currency_conv_type,
  oksecc.hdr_subtotal,
  oksecc.hdr_total_amount_func,
  oksecc.hdr_tax,
  oksecc.hdr_amount,
  oksecc.hdr_amount_func,
  oksecc.hdr_term_amount,
  oksecc.hdr_term_amount_func,
  oksecc.hdr_leakage_type,
  oksecc.hdr_cancel_amount,
  oksecc.hdr_cancel_amount_func,
  oksecc.forcast_amount_func,
  oksecc.hdr_price_list,
  oksecc.hdr_payment_term_id,
  oksecc.hdr_payment_terms,
  oksecc.hdr_pymt_method_code,
  oksecc.hdr_payment_method,
  oksecc.hdr_inv_rule_id,
  oksecc.hdr_invoicing_rule,
  oksecc.hdr_acct_rule_id,
  oksecc.hdr_accounting_rule,
  oksecc.contract_cust_purch_order_num,
  oksecc.hdr_po_required,
  oksecc.hdr_summary_print,
  oksecc.hdr_summary_transaction,
  oksecc.hdr_hold_credit,
  oksecc.hdr_pymt_instruction,
  oksecc.partial_period_start,
  oksecc.partial_period_type,
  oksecc.partial_price_uom,
  oksecc.tax_status,
  oksecc.tax_exemption,
  oksecc.exemption_reason,
  oksecc.hdr_cancel_rsn_code,
  oksecc.hdr_cancel_rsn,
  oksecc.hdr_terminate_rsn_code,
  oksecc.hdr_termination_rsn,
  oksecc.is_renewed_contract,
  oksecc.is_contract_renewed,
  oksecc.header_attribute_category,
  oksecc.header_attribute1,
  oksecc.header_attribute2,
  oksecc.header_attribute3,
  oksecc.header_attribute4,
  oksecc.header_attribute5,
  oksecc.header_attribute6,
  oksecc.header_attribute7,
  oksecc.header_attribute8,
  oksecc.header_attribute9,
  oksecc.header_attribute10,
  oksecc.header_attribute11,
  oksecc.header_attribute12,
  oksecc.header_attribute13,
  oksecc.header_attribute14,
  oksecc.header_attribute15,
  oksecc.forecast_close_date,
  oksecc.forecast_percent,
  oksecc.renewal_process_used,
  oksecc.RENEW_PR_USED_DESC,
  oksecc.renew_approval_type_used,
  oksecc.renew_approval_used_desc,
  oksecc.renew_pricing_method_used,
  oksecc.renew_price_list_used,
  oksecc.renew_markup_percent_used,
  oksecc.RENEW_BILL_PROFILE_USED,
  oksecc.renew_po_num_ref_used,
  oksecc.renew_grace_duration_used,
  oksecc.renew_est_rev_percent_used,
  oksecc.RENEW_EST_REV_DUR_USED,
  oksecc.active_threshold,
  oksecc.electronic_threshold,
  oksecc.renewal_notes,
  oksecc.renewal_process_touse,
  oksecc.renew_process_touse_desc,
  oksecc.renew_approval_touse,
  oksecc.renew_approval_touse_desc,
  oksecc.renewal_process_isused,
  oksecc.curr_renew_upto,
  oksecc.REN_PRICE_MTHD_TOUSE_DESC,
  oksecc.renew_price_list_touse,
  oksecc.renew_markup_percent_touse,
  oksecc.RENEW_BILL_PROFILE_TOUSE,
  oksecc.renew_po_required,
  oksecc.renew_po_number_touse,
  oksecc.RENEW_GRACE_DUR_TOUSE,
  oksecc.renew_est_rev_percent_touse,
  oksecc.RENEW_ESTREV_DUR_TOUSE,
  oksecc.followup_action,
  oksecc.quote_email_address,
  oksecc.quote_phone_country_code,
  oksecc.quote_phone_area_code,
  oksecc.quote_phone_number,
  oksecc.quote_address,
  oksecc.full_name,
  oksecc.quote_party_name,
  oksecc.quote_job_title,
  oksecc.quote_department,
  oksecc.salesrep_ids,
  oksecc.salesrep_name,
  oksecc.sales_group_name,
  oksecc.line_id,
  oksecc.line_header_id,
  oksecc.line_number,
  oksecc.line_service_name,
  oksecc.line_description,
  oksecc.line_type,
  oksecc.line_status_code,
  oksecc.line_status,
  oksecc.line_status_group,
  oksecc.coverage_id,
  oksecc.standard_cov_yn,
  oksecc.coverage_name,
  oksecc.coverage_desc,
  oksecc.coverage_type,
  oksecc.cov_type_name,
  oksecc.importance_level,
  oksecc.pm_prgm_name,
  oksecc.pm_prgm_desc,
  oksecc.exception_cov_id,
  oksecc.exception_cov_name,
  oksecc.exception_cov_desc,
  oksecc.exception_cov_type,
  oksecc.exception_cov_typ_name,
  oksecc.exception_cov_imp_lvl,
  oksecc.line_usage_type_code,
  oksecc.line_avg_intv,
  oksecc.line_start_date,
  oksecc.line_end_date,
  oksecc.line_duration,
  oksecc.line_date_cancelled,
  oksecc.line_date_terminated,
  oksecc.line_date_renewed,
  oksecc.line_daystoexpire,
  oksecc.currency_code,
  oksecc.line_price_list_used,
  oksecc.line_price_list,
  oksecc.pricing_date,
  oksecc.line_price_uom,
  oksecc.line_inv_rule_id,
  oksecc.line_invoicing_rule,
  oksecc.line_acct_rule_id,
  oksecc.line_accounting_rule,
  oksecc.line_payment_term_id,
  oksecc.line_payment_terms,
  oksecc.LINE_PAYMENT_INST_TYPE,
  oksecc.line_po_reqd,
  oksecc.line_cust_po_num,
  oksecc.line_payment_method,
  oksecc.line_payment_method_desc,
  oksecc.line_annualized_factor,
  oksecc.line_billing_sch_type,
  oksecc.line_subtotal_amount,
  oksecc.line_total_func,
  oksecc.line_tax_amount,
  oksecc.line_amount,
  oksecc.line_amount_func,
  oksecc.line_leakage_type,
  oksecc.line_terminatedamount,
  oksecc.line_terminate_amt_func,
  oksecc.line_cancell_amt,
  oksecc.line_cancell_amt_func,
  oksecc.line_cancel_source,
  oksecc.line_cancel_rsn_code,
  oksecc.line_cancel_rsn,
  oksecc.line_terminate_rsn_code,
  oksecc.line_termination_rsn,
  oksecc.is_renewed_line,
  oksecc.is_line_renewed,
  oksecc.line_tax_status,
  oksecc.line_tax_exemption,
  oksecc.line_tax_exempt_rsn,
  oksecc.line_tax_classify_code,
  oksecc.line_bill_to,
  oksecc.line_bill_to_acct_num,
  oksecc.line_cust_bill_to_site_use_id,
  oksecc.line_bill_to_loc_id,
  oksecc.line_bill_to_site,
  oksecc.line_bill_to_acct_profile_id,
  oksecc.line_ship_to,
  oksecc.line_ship_to_acct_num,
  oksecc.line_ship_to_site_use_id,
  oksecc.line_ship_to_loc_id,
  oksecc.line_ship_to_site,
  oksecc.line_renewal_type_code,
  oksecc.line_renewal_type_desc,
  oksecc.line_due_inv_amt,
  oksecc.line_past_due_inv_amt,
  oksecc.line_attr_cat,
  oksecc.line_attr1,
  oksecc.line_attr2,
  oksecc.line_attr3,
  oksecc.line_attr4,
  oksecc.line_attr5,
  oksecc.line_attr6,
  oksecc.line_attr7,
  oksecc.line_attr8,
  oksecc.line_attr9,
  oksecc.line_attr10,
  oksecc.line_attr11,
  oksecc.line_attr12,
  oksecc.line_attr13,
  oksecc.line_attr14,
  oksecc.line_attr15,
  oksecc.sub_line_id,
  oksecc.sub_line_cle_id,
  oksecc.sub_line_lse_id,
  oksecc.sub_line_oks_id,
  oksecc.sub_line_number,
  oksecc.sub_line_cgnmn,
  oksecc.subline_style,
  oksecc.sub_line_status_meaning,
  oksecc.sub_line_status,
  oksecc.sub_line_status_grp,
  oksecc.subline_item_id,
  oksecc.subline_item_name,
  oksecc.sub_line_instancenumber,
  oksecc.sub_line_serialnumber,
  oksecc.sub_line_externalreference,
  oksecc.sub_line_system,
  oksecc.sub_line_instance_id,
  oksecc.sub_line_current_location,
  oksecc.sub_line_instance_owner,
  oksecc.sub_line_instance_owner_acct,
  oksecc.sub_line_install_date,
  oksecc.inst_item_sales_order,
  oksecc.install_location,
  oksecc.subline_prod_status,
  oksecc.subline_prod_end_date,
  oksecc.sub_line_num_itm,
  oksecc.sub_line_object1_id1,
  oksecc.sub_line_object1_id2,
  oksecc.sub_line_jtot_object1_cd,
  oksecc.covered_level_type,
  oksecc.sub_line_startdate,
  oksecc.sub_line_enddate,
  oksecc.subline_duration,
  oksecc.sub_line_dateterminated,
  oksecc.sub_line_datecancel,
  oksecc.sline_daystoexpire,
  oksecc.sub_line_curr_cd,
  oksecc.sub_line_pricingmethod,
  oksecc.sub_line_quantity,
  oksecc.sub_line_lst_prc,
  oksecc.sub_line_prc_ut,
  oksecc.sub_line_priclistuom,
  oksecc.sub_line_leakage_type,
  oksecc.sub_line_terminatedamount,
  oksecc.sub_line_termamt_func,
  oksecc.sub_line_cancell_amt,
  oksecc.sub_line_cancelamt_func,
  oksecc.sub_line_pricenegotiated,
  oksecc.sub_line_total_func,
  oksecc.sub_line_taxamount,
  oksecc.sub_line_amount,
  oksecc.sub_line_amount_func,
  oksecc.sub_line_annualized_factor,
  oksecc.sub_line_annual_amt,
  oksecc.sub_line_renewaltype,
  oksecc.sline_cancel_rsn_code,
  oksecc.sline_cancel_rsn,
  oksecc.sline_terminate_rsn_code,
  oksecc.sline_termination_rsn,
  oksecc.is_renewed_subline,
  oksecc.is_sline_renewed,
  oksecc.billed_services,
  oksecc.multi_bid_yn,
  oksecc.multi_bid_meaning,
  oksecc.parent_source_id,
  oksecc.master_quote_yn,
  oksecc.master_quote_meaning,
  oksecc.prev_hdr_duedays_tobook,
  oksecc.prev_agebucket_tobook,
  oksecc.group_name,
  oksecc.leakage_amount,
  oksecc.entered_quote,
  oksecc.pastdue_contract,
  oksecc.quoted_amount,
  oksecc.subline_cancel_quote,
  oksecc.due_date,
  oksecc.amount_due_renewal,
  oksecc.renewed_amount,
  oksecc.original_amount,
  oksecc.atr,
  oksecc.on_time_renewal,
  oksecc.renewed_contract,
  oksecc.renewed_active_amount,
  oksecc.total_k_val ,
  oksecc.risk_percent
FROM OKS_K_REPRT_ECC_V oksecc,
(select 'OKS_CH_ROW_ID','OKS_CH_CONTEXT_VALUE','OKS_CH_CONCATENATED_SEGMENTS' from dual where 1=2  union select ROWIDTOCHAR(ROW_ID),CONTEXT_VALUE,CONCATENATED_SEGMENTS from OKC_K_HEADERS_B_DFV) okch_dfv,
(select 'OKS_CL_ROW_ID','OKS_CL_CONTEXT_VALUE','OKS_CL_CONCATENATED_SEGMENTS' from dual where 1=2  union select ROWIDTOCHAR(ROW_ID),CONTEXT_VALUE,CONCATENATED_SEGMENTS from OKC_K_LINES_B_DFV) okcl_dfv,
(select 'OKS_CSL_ROW_ID','OKS_CSL_CONTEXT_VALUE','OKS_CSL_CONCATENATED_SEGMENTS' from dual where 1=2  union select ROWIDTOCHAR(ROW_ID),CONTEXT_VALUE,CONCATENATED_SEGMENTS from OKC_K_LINES_B_DFV) okcsl_dfv,
OKC_K_HEADERS_ALL_B okh,
okc_k_lines_b okl,
okc_k_lines_b oksl
where
oksecc.CONTRACT_ID in (SELECT index_num1 FROM oks_session_gt ) and
oksecc.CONTRACT_ID = OKH.ID and
okh.rowid = okch_dfv."'OKS_CH_ROW_ID'"(+) and
oksecc.line_id = OKL.id and
okl.rowid = okcl_dfv."'OKS_CL_ROW_ID'"(+) and
oksecc.sub_line_id = oksl.id (+) and
oksl.rowid = okcsl_dfv."'OKS_CSL_ROW_ID'"(+) and
 oksecc.language_code in ('US')
) pivot
   (  max(OPERATING_UNIT) as operating_unit,
max(category_meaning)  as	category_meaning                   	,
max(Known_As)	as	Known_As	,
max(Short_Description)	as	Short_Description	,
max(status_meaning)	as	status_meaning	,
max(NEGOTIATION_STS_MEAN)	as	NEGOTIATION_STS_MEAN	,
max(CUR_ENT_GRACE_PERIOD)	as	CUR_ENT_GRACE_PERIOD	,
max(HDR_PRICE_LIST)	as	HDR_PRICE_LIST	,
max(HDR_PAYMENT_TERMS)	as	HDR_PAYMENT_TERMS	,
max(HDR_PAYMENT_METHOD)	as	HDR_PAYMENT_METHOD	,
max(HDR_PYMT_INSTRUCTION)	as	HDR_PYMT_INSTRUCTION	,
max(PARTIAL_PRICE_UOM)	as	PARTIAL_PRICE_UOM	,
max(hdr_cancel_rsn)	as	hdr_cancel_rsn	,
max(hdr_termination_rsn)	as	hdr_termination_rsn	,
max(is_contract_renewed) as is_contract_renewed,
max(RENEW_PR_USED_DESC)	as	RENEW_PR_USED_DESC	,
max(renew_approval_used_desc)	as	renew_approval_used_desc	,
max(RENEW_PRICING_METHOD_USED)	as	RENEW_PRICING_METHOD_USED	,
max(RENEW_PRICE_LIST_USED)	as	RENEW_PRICE_LIST_USED	,
max(RENEW_BILL_PROFILE_USED)	as	RENEW_BILL_PROFILE_USED	,
max(RENEW_GRACE_DURATION_USED)	as	RENEW_GRACE_DURATION_USED	,
max(RENEW_EST_REV_DUR_USED)	as	RENEW_EST_REV_DUR_USED	,
max(Renew_Process_touse_desc)	as	Renew_Process_touse_desc	,
max(renew_approval_touse_desc)	as	renew_approval_touse_desc	,
max(REN_PRICE_MTHD_TOUSE_DESC)	as	REN_PRICE_MTHD_TOUSE_DESC	,
max(renew_PRICE_LIST_touse)	as	renew_PRICE_LIST_touse	,
max(RENEW_BILL_PROFILE_TOUSE)	as	RENEW_BILL_PROFILE_TOUSE	,
max(RENEW_GRACE_DUR_TOUSE)	as	RENEW_GRACE_DUR_TOUSE	,
max(RENEW_ESTREV_DUR_TOUSE)	as	RENEW_ESTREV_DUR_TOUSE	,
max(FOLLOWUP_ACTION)	as	FOLLOWUP_ACTION	,
max(BILLED_SERVICES)	as	BILLED_SERVICES	,
max(multi_bid_meaning)	as	multi_bid_meaning	,
max(line_description)	as	line_description	,
max(line_type)	as	line_type	,
max(line_status)	as	line_status	,
max(standard_cov_yn)	as	standard_cov_yn	,
max(coverage_name)	as	coverage_name	,
max(coverage_desc)	as	coverage_desc	,
max(cov_type_name)	as	cov_type_name	,
max(exception_cov_name)	as	exception_cov_name	,
max(exception_cov_desc)	as	exception_cov_desc	,
max(LINE_PRICE_LIST)	as	LINE_PRICE_LIST	,
max(LINE_PRICE_UOM)	as	LINE_PRICE_UOM	,
max(LINE_PAYMENT_TERMS)	as	LINE_PAYMENT_TERMS	,
max(LINE_PAYMENT_INST_TYPE)	as	LINE_PAYMENT_INST_TYPE	,
max(LINE_PAYMENT_METHOD_DESC)	as	LINE_PAYMENT_METHOD_DESC	,
max(line_billing_sch_type)	as	line_billing_sch_type	,
max(line_cancel_rsn)	as	line_cancel_rsn	,
max(line_termination_rsn)	as	line_termination_rsn	,
max(line_renewal_type_desc)	as	line_renewal_type_desc	,
max(sub_line_cgnmn)	as	sub_line_cgnmn	,
max(SUBLINE_STYLE)	as	SUBLINE_STYLE	,
max(sub_line_status_meaning)	as	sub_line_status_meaning	,
max(covered_level_type)	as	covered_level_type	,
max(sline_cancel_rsn)	as	sline_cancel_rsn	,
max(sline_termination_rsn)	as	sline_termination_rsn	,
Max(sub_line_renewalType)    AS   sub_line_renewalType ,
Max(sub_line_pricingmethod)  AS   sub_line_pricingmethod,
Max(sub_line_Quantity)      AS   sub_line_Quantity       ,
Max(sub_line_priclistuom)   AS    sub_line_priclistuom
         for language_code in ('US' "US"))</t>
  </si>
  <si>
    <t>oks-contract-risk</t>
  </si>
  <si>
    <t>Service Contract Risk Details</t>
  </si>
  <si>
    <t>select * from (SELECT   ecc_spec_id,
  contract_id,
  risk_rating,
  value_rating,
  customer_party_name,
  short_description,
  contract_number,
  status_meaning,
  negotiation_sts_meaning,
   language_code ,
   contract_end_date,
   contract_termination_date ,
   contract_status_group
 FROM oks_k_risk_ecc_v WHERE ((contract_status_group = 'ACTIVE') or
(contract_status_group in ('EXPIRED', 'HOLD', 'SIGNED') and
    (contract_end_date &gt;=  NVL(fnd_date.canonical_to_date(fnd_profile.value('OKS_ECC_CONTARCT_FROM_DATE')),sysdate))) or
(contract_status_group in ('TERMINATED') and
    (contract_termination_date &gt;= NVL(fnd_date.canonical_to_date(fnd_profile.value('OKS_ECC_CONTARCT_FROM_DATE')),sysdate))) or
(contract_status_group in ('ENTERED','CANCELLED') and
    (contract_end_date &gt;= NVL(fnd_date.canonical_to_date(fnd_profile.value('OKS_ECC_CONTARCT_FROM_DATE')),sysdate)))
)) pivot
(
max(Short_Description)	as	Short_Description	,
max(status_meaning)	as	status_meaning	,
max(negotiation_sts_meaning)	as	negotiation_sts_meaning
         for language_code in ('US' "US"))</t>
  </si>
  <si>
    <t>oks-contract-salescredit</t>
  </si>
  <si>
    <t>Service Contract Sales Credit Details</t>
  </si>
  <si>
    <t>select * from (SELECT    ecc_spec_id,
  language_code,
  linesalescreditid,
  linesalesperson,
  linesalesgroup,
  linesalescredittype,
  linequotapercent,
  linenonquota,
  contract_id,
  contract_line_id,
  contract_number,
  contract_modifier,
  line_number  ,
  CONTRACT_STATUS_GROUP,
  CONTRACT_END_DATE,
  CONTRACT_TERMINATION_DATE
 FROM oks_k_sales_credit_ecc_v WHERE (contract_id IN
    (SELECT index_num1 FROM oks_session_gt
    )) and
    (contract_end_date &gt;= NVL(fnd_date.canonical_to_date(fnd_profile.value('OKS_ECC_CONTARCT_FROM_DATE')),sysdate))
   and language_code in ('US'))
 pivot
(
max(lineSALESGROUP)	as	lineSALESGROUP
  for language_code in ('US' "US"))</t>
  </si>
  <si>
    <t>oks-contract-customer</t>
  </si>
  <si>
    <t>Service Contract Customer Details</t>
  </si>
  <si>
    <t>select * from (SELECT        ecc_spec_id,
  language_code,
  contract_id,
  contract_number,
  contract_modifier,
  contract_status_group,
  contract_end_date,
  contract_termination_date,
  party_name,
  party_number,
  overdue_inv_amt,
  overdue_inv_count,
  late_pay_amt,
  tca_sst_org_profile_id,
  tca_sst_party_id,
  tca_sst_location_id,
  tca_sst_primary_name,
  tca_sst_alternate_name,
  tca_sst_enquiry_duns,
  tca_sst_org_last_update_date,
  tca_sst_source_number,
  tca_sst_primary_address,
  tca_sst_city_state,
  tca_sst_city,
  tca_sst_state,
  tca_sst_county,
  tca_sst_postal_code,
  tca_sst_country,
  tca_sst_phone_number,
  tca_det_history_ind,
  tca_fincl_embt_ind,
  tca_criminal_procd_ind,
  tca_claims_ind,
  tca_fincl_lgl_event_ind,
  tca_disaster_ind,
  tca_oprg_spec_event_ind,
  tca_suit_ind,
  tca_judge_ind,
  tca_sst_spcl_event_comment,
  tca_sst_num_spcl_event,
  tca_sst_duns_number_c,
  tca_sst_do_not_confuse_with,
  tca_sst_fax_number,
  tca_sst_ceo_title_name,
  tca_sst_principal_title_name,
  tca_hq_branch_ind,
  tca_legal_status,
  tca_sst_organization_type,
  tca_registration_type,
  tca_oob_ind,
  tca_sst_employees_total,
  tca_include_subsidiary,
  tca_employee_total_est,
  tca_employee_total_min,
  tca_sst_employees_here,
  tca_emp_here_est,
  tca_employee_here_minimum,
  tca_db_db_rating,
  tca_bankruptcy_ind,
  tca_prnt_hq_bkcy_ind,
  tca_db_num_prnt_bkcy_filing,
  tca_db_prnt_bkcy_filg_type,
  tca_db_prnt_bkcy_filg_chapter,
  tca_db_prnt_bkcy_filg_date,
  tca_db_num_prnt_bkcy_convs,
  tca_db_prnt_bkcy_conv_date,
  tca_db_prnt_bkcy_chapter_conv,
  tca_db_paydex_current,
  tca_db_dlqn_score,
  tca_dlqn_score_commentary,
  tca_db_dlqn_score_class,
  tca_db_dlqn_score_natl_per,
  tca_db_failure_score,
  tca_failure_score_commtry,
  tca_db_failure_score_class,
  tca_minority_owned,
  tca_woman_owned,
  tca_disadv_8a,
  tca_finrep_organization_prf_id,
  tca_finrep_current_ratio,
  tca_finrep_income_statement_dt,
  tca_finrep_net_income,
  tca_finrep_net_worth,
  tca_finrep_prev_net_worth,
  tca_finrep_sales,
  tca_finrep_total_liab_equity,
  tca_credit_class,
  tca_credit_hold
 FROM oks_k_cust_ecc_v WHERE (
    (contract_end_date &gt;= NVL(fnd_date.canonical_to_date(fnd_profile.value('OKS_ECC_CONTARCT_FROM_DATE')),sysdate))
and language_code in ('US')))
 pivot
(
max(tca_det_history_ind)	as	tca_det_history_ind,
max(tca_fincl_embt_ind)	as	tca_fincl_embt_ind,
max(tca_criminal_procd_ind)	as	tca_criminal_procd_ind,
max(tca_claims_ind)	as	tca_claims_ind,
max(tca_fincl_lgl_event_ind)	as	tca_fincl_lgl_event_ind,
max(tca_disaster_ind)	as	tca_disaster_ind,
max(tca_oprg_spec_event_ind)	as	tca_oprg_spec_event_ind,
max(tca_suit_ind)	as	tca_suit_ind,
max(tca_judge_ind)	as	tca_judge_ind,
max(tca_hq_branch_ind)	as	tca_hq_branch_ind,
max(tca_legal_status)	as	tca_legal_status,
max(tca_registration_type)	as	tca_registration_type,
max(tca_oob_ind)	as	tca_oob_ind,
max(tca_include_subsidiary)	as	tca_include_subsidiary,
max(tca_employee_total_est)	as	tca_employee_total_est,
max(tca_employee_total_min)	as	tca_employee_total_min,
max(tca_emp_here_est)	as	tca_emp_here_est,
max(tca_employee_here_minimum)	as	tca_employee_here_minimum,
max(tca_bankruptcy_ind)	as	tca_bankruptcy_ind,
max(tca_prnt_hq_bkcy_ind)	as	tca_prnt_hq_bkcy_ind,
max(tca_dlqn_score_commentary)	as	tca_dlqn_score_commentary,
max(tca_failure_score_commtry)	as	tca_failure_score_commtry,
max(tca_minority_owned)	as	tca_minority_owned,
max(tca_woman_owned)	as	tca_woman_owned,
max(tca_disadv_8a)	as	tca_disadv_8a
         for language_code in ('US' "US"))</t>
  </si>
  <si>
    <t>oks-contract-renewal</t>
  </si>
  <si>
    <t>Service Contract Renewal Details</t>
  </si>
  <si>
    <t xml:space="preserve">select * from oks_k_renewal_ecc_v </t>
  </si>
  <si>
    <t>oks-contract-sr</t>
  </si>
  <si>
    <t>Service Contract Service Request Details</t>
  </si>
  <si>
    <t>select * from (SELECT     ecc_spec_id,
  incident_id,
  language_code,
  sr_number,
  operating_unit,
  incident_status_id,
  sr_status,
  incident_type_id,
  sr_type,
  incident_urgency_id,
  urgency,
  incident_severity_id,
  sr_severity,
  customer_id,
  account_id,
  customer_site_id,
  contract_id,
  contract_number,
  contract_type,
  contract_service_id,
  coverage_type,
  incident_date,
  inc_date_year,
  inc_date_year_month,
  inc_date_ym_week,
  expected_resolution_date,
  actual_resolution_date,
  close_date,
  close_flag,
  problem_code,
  problem_summary,
  resolution_code,
  resolution_summary,
  incident_owner_id,
  owner,
  inv_organization_id,
  escalated,
  inventory_item_id,
  inventory_item_name,
  fa_corp_category,
  serial_num,
  item_instance,
  system_id,
  system_number,
  coverage_name,
  service_name,
  customer_party_name,
  customer_country,
  customer_city,
  customer_state,
  customer_party_id,
  customer_party_number,
  contract_operating_unit_id,
  sr_status_code,
  escalated_yn_code,
  item_category,
  sr_last_update_date,
  contract_status,
  contract_start_date,
  contract_end_date,
  contract_termination_date,
  contract_booked_amount,
  sr_operating_unit,
  sr_org_id,
  contract_currency,
  contract_status_group
 FROM oks_ecc_srs_v WHERE (
 contract_end_date &gt;=  NVL(fnd_date.canonical_to_date(fnd_profile.value('OKS_ECC_CONTARCT_FROM_DATE')),sysdate) and
              language_code in ('US')
)) pivot
(
max(sr_status)	as	sr_status	,
max(sr_type)	as	sr_type	,
max(urgency)	as	urgency,
max(sr_severity)	as	sr_severity,
max(sr_operating_unit)	as	sr_operating_unit,
max(problem_code)	as	problem_code,
max(resolution_code)	as	resolution_code
         for language_code in ('US' "US"))</t>
  </si>
  <si>
    <t>oks-contract-contact</t>
  </si>
  <si>
    <t>Service Contract Contact Details</t>
  </si>
  <si>
    <t>select * from (SELECT     ecc_spec_id,
  language_code,
  contract_id,
  contract_number,
  contract_modifier,
  contact_role,
  contact_name,
  contact_status,
  contact_email_address,
  contact_start_date,
  contact_end_date ,
  contract_status_group,
  contract_end_date,
  contract_termination_date
 FROM oks_k_contact_ecc_v WHERE (contract_id IN
    (SELECT index_num1 FROM oks_session_gt
    )) and
   (contract_end_date &gt;= NVL(fnd_date.canonical_to_date(fnd_profile.value('OKS_ECC_CONTARCT_FROM_DATE')),sysdate)) and
             language_code in ('US'))
 pivot
(
max(contact_role)	as	contact_role
  for language_code in ('US' "US"))</t>
  </si>
  <si>
    <t>iProcurement</t>
  </si>
  <si>
    <t>1m 1s</t>
  </si>
  <si>
    <t>icx-my-reqs</t>
  </si>
  <si>
    <t>My Requisitions</t>
  </si>
  <si>
    <t>SELECT * FROM  ( select ECC_SPEC_ID,
                                            REQ_HEADER_ID,
                                            REQUISITION_NUMBER,
                                            PREPARER_ID,
                                            DESCRIPTION,
                                            REQ_TOTAL,
                                            AUTH_STATUS,
                                            ECC_LAST_UPDATE_DATE,
                                            LANGUAGE,
                                            creation_date,
                                            CHANGE,
                                            copy,
                                            exp_rcv,
					    ORG_ID
                                            from icx_my_reqs_v WHERE LANGUAGE in ( 'US') ) PIVOT(
              MAX(DESCRIPTION) AS DESCRIPTION,
              MAX(REQUISITION_NUMBER) AS REQUISITION_NUMBER,
              MAX(AUTH_STATUS) AS AUTH_STATUS
              FOR LANGUAGE IN ('US' "US"))</t>
  </si>
  <si>
    <t>There are 452 documents processed successfully and 0 documents failed to be processed.</t>
  </si>
  <si>
    <t>452</t>
  </si>
  <si>
    <t>icx-my-notifs</t>
  </si>
  <si>
    <t>My Notifications</t>
  </si>
  <si>
    <t>SELECT * FROM  ( select ECC_SPEC_ID ,
                                      NOTIFICATION_ID,
                                      FROM_USER ,
                                      SUBJECT,
                                      RECIPIENT_ROLE ,
                                      NOTIF_TYPE ,
                                      LANGUAGE,
                                      SENT_DATE from icx_my_notifs_v WHERE LANGUAGE in ( 'US') ) PIVOT(
              MAX(FROM_USER) AS FROM_USER,
              MAX(SUBJECT) AS SUBJECT,
              MAX(NOTIF_TYPE) AS NOTIF_TYPE
              FOR LANGUAGE IN ('US' "US"))</t>
  </si>
  <si>
    <t>There are 2,664 documents processed successfully and 0 documents failed to be processed.</t>
  </si>
  <si>
    <t>2664</t>
  </si>
  <si>
    <t>icx-news</t>
  </si>
  <si>
    <t>iProcurement Purchasing News</t>
  </si>
  <si>
    <t>SELECT * FROM  ( SELECT
              ecc_spec_id,
              news_code,
              news_text,
              news_url,
              language
              from icx_cat_ecc_news_v WHERE LANGUAGE in ( 'US')  ) PIVOT(
              MAX(news_text) AS news_text,
              MAX(news_url) AS news_url
              FOR LANGUAGE IN ('US' "US"))</t>
  </si>
  <si>
    <t>There are 4 documents processed successfully and 0 documents failed to be processed.</t>
  </si>
  <si>
    <t>4</t>
  </si>
  <si>
    <t>icx-freq-items</t>
  </si>
  <si>
    <t>iProcurement Frequently Requested Items</t>
  </si>
  <si>
    <t>19s</t>
  </si>
  <si>
    <t xml:space="preserve">SELECT DISTINCT
              ecc_spec_id,
              business_group_id
              from icx_cat_ecc_freq_items_v </t>
  </si>
  <si>
    <t>There are 24 documents processed successfully and 0 documents failed to be processed.</t>
  </si>
  <si>
    <t>24</t>
  </si>
  <si>
    <t>SELECT * FROM  ( SELECT
              ecc_spec_id,
	      org_id,
	      description,
	      display_price,
	      thumbnail_image,
	      language,
	      Sum(reqs_count) frequency
              from icx_cat_ecc_freq_items_v WHERE LANGUAGE in ( 'US')  --pivot uptake in v4
              GROUP BY ecc_spec_id,
	      org_id,
	      description,
	      display_price,
	      thumbnail_image,
              language  ) PIVOT(
              MAX(description) AS DESCRIPTION,
              MAX(display_price) AS DISPLAY_PRICE,
              COUNT(1) AS IS_TRANSLATION_AVAILABLE
              FOR LANGUAGE IN ('US' "US"))</t>
  </si>
  <si>
    <t>icx-top-categories</t>
  </si>
  <si>
    <t>iProcurement Top Categories</t>
  </si>
  <si>
    <t xml:space="preserve">SELECT
              ecc_spec_id,
              business_group_id ,
              ORG_ID
              from icx_cat_ecc_top_categories_v </t>
  </si>
  <si>
    <t>There are 9 documents processed successfully and 0 documents failed to be processed.</t>
  </si>
  <si>
    <t>88</t>
  </si>
  <si>
    <t>9</t>
  </si>
  <si>
    <t>SELECT * FROM  ( SELECT
              ecc_spec_id,
              max(category_name) AS CATEGORY_NAME,
              thumbnail_image,
              language,
              sum(reqs_count) frequency
              from icx_cat_ecc_top_categories_v  WHERE LANGUAGE in ( 'US')    --pivot uptake in v4
              GROUP BY ecc_spec_id, thumbnail_image, language  ) PIVOT(
              MAX(category_name) AS CATEGORY_NAME,
              COUNT(1) AS IS_TRANSLATION_AVAILABLE
              FOR LANGUAGE IN ('US' "US"))</t>
  </si>
  <si>
    <t>icx-catalog</t>
  </si>
  <si>
    <t>iProcurement Catalog</t>
  </si>
  <si>
    <t>select * from (  select * from ICX_CAT_ECC_100793_VL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</si>
  <si>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</si>
  <si>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</si>
  <si>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</si>
  <si>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</si>
  <si>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</si>
  <si>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</si>
  <si>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</si>
  <si>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</si>
  <si>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</si>
  <si>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</si>
  <si>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</si>
  <si>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</si>
  <si>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</si>
  <si>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</si>
  <si>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</si>
  <si>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</si>
  <si>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</si>
  <si>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</si>
  <si>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</si>
  <si>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</si>
  <si>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</si>
  <si>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</si>
  <si>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</si>
  <si>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</si>
  <si>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</si>
  <si>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</si>
  <si>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</si>
  <si>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</si>
  <si>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</si>
  <si>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</si>
  <si>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</si>
  <si>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</si>
  <si>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</si>
  <si>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</si>
  <si>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</si>
  <si>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</si>
  <si>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</si>
  <si>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</si>
  <si>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</si>
  <si>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</si>
  <si>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</si>
  <si>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</si>
  <si>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</si>
  <si>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</si>
  <si>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</si>
  <si>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</si>
  <si>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</si>
  <si>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</si>
  <si>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</si>
  <si>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</si>
  <si>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</si>
  <si>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</si>
  <si>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</si>
  <si>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</si>
  <si>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</si>
  <si>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</si>
  <si>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</si>
  <si>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</si>
  <si>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</si>
  <si>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</si>
  <si>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</si>
  <si>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</si>
  <si>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</si>
  <si>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</si>
  <si>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</si>
  <si>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</si>
  <si>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</si>
  <si>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</si>
  <si>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</si>
  <si>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</si>
  <si>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</si>
  <si>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</si>
  <si>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</si>
  <si>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</si>
  <si>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</si>
  <si>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</si>
  <si>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</si>
  <si>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</si>
  <si>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</si>
  <si>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</si>
  <si>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</si>
  <si>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</si>
  <si>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</si>
  <si>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</si>
  <si>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</si>
  <si>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</si>
  <si>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</si>
  <si>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</si>
  <si>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</si>
  <si>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</si>
  <si>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</si>
  <si>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</si>
  <si>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</si>
  <si>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</si>
  <si>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</si>
  <si>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</si>
  <si>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</si>
  <si>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</si>
  <si>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</si>
  <si>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</si>
  <si>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</si>
  <si>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</si>
  <si>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</si>
  <si>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</si>
  <si>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</si>
  <si>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</si>
  <si>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</si>
  <si>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</si>
  <si>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</si>
  <si>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</si>
  <si>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</si>
  <si>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</si>
  <si>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</si>
  <si>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</si>
  <si>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</si>
  <si>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</si>
  <si>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</si>
  <si>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</si>
  <si>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</si>
  <si>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</si>
  <si>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</si>
  <si>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</si>
  <si>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</si>
  <si>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</si>
  <si>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</si>
  <si>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</si>
  <si>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</si>
  <si>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</si>
  <si>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</si>
  <si>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</si>
  <si>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</si>
  <si>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</si>
  <si>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</si>
  <si>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</si>
  <si>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</si>
  <si>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</si>
  <si>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</si>
  <si>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</si>
  <si>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</si>
  <si>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</si>
  <si>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</si>
  <si>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</si>
  <si>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</si>
  <si>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</si>
  <si>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to_date(to_char(to_timestamp('27-APR-20 12.13.46.000000 AM'),'DD-MON-YY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</si>
  <si>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to_date(to_char(to_timestamp('27-APR-20 12.13.46.000000 AM'),'DD-MON-YY HH24.MI.SS'),'DD-MON-YY HH24.MI.SS') </t>
  </si>
  <si>
    <t xml:space="preserve">SELECT
              ecc_spec_id,
              zonesi
              from icx_cat_ecc_zones_i WHERE ECC_LAST_UPDATE_DATE &gt;=  to_date(to_char(to_timestamp('27-APR-20 12.13.46.000000 AM'),'DD-MON-YY HH24.MI.SS'),'DD-MON-YY HH24.MI.SS') </t>
  </si>
  <si>
    <t xml:space="preserve">SELECT
              ecc_spec_id,
              zonesp
              from icx_cat_ecc_zones_p WHERE ECC_LAST_UPDATE_DATE &gt;=  to_date(to_char(to_timestamp('27-APR-20 12.13.46.000000 AM'),'DD-MON-YY HH24.MI.SS'),'DD-MON-YY HH24.MI.SS') </t>
  </si>
  <si>
    <t xml:space="preserve">SELECT
              ecc_spec_id,
              zonesb
              from icx_cat_ecc_zones_b WHERE ECC_LAST_UPDATE_DATE &gt;=  to_date(to_char(to_timestamp('27-APR-20 12.13.46.000000 AM'),'DD-MON-YY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</si>
  <si>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to_date(to_char(to_timestamp('27-APR-20 12.13.46.000000 AM'),'DD-MON-YY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</si>
  <si>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to_date(to_char(to_timestamp('27-APR-20 12.13.46.000000 AM'),'DD-MON-YY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</si>
  <si>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recordkey ECC_SPEC_ID
                             FROM icx_cat_endeca_item_attributes
                             WHERE attributekey LIKE '##DELETERECORD##'</t>
  </si>
  <si>
    <t>25m 8s</t>
  </si>
  <si>
    <t>select * from (
SELECT
ECC_SPEC_ID,
RECORD_TYPE,
EVENT_ID,
ORG_ID,
APPLICATION_ID,
INVOICE_ID,
INVOICE_TYPE_LOOKUP_CODE,
INVOICE_NUMBER,
TRANSACTION_CURRENCY,
INVOICE_DATE,
GL_DATE,
ACCOUNTED_AMOUNT,
PAYMENT_TYPE_FLAG,
PAYMENT_TYPE_DESC,
INSTALLMENT,
AMOUNT,
INVOICE_PAYMENT_ID,
CHECK_ID,
TRANSACTION_NUMBER,
TRANSACTION_DATE,
BANK_ACCOUNT_NAME,
VENDOR_ID,
SUPPLIER_NAME,
SUPPLIER_NUMBER,
SITE_CODE,
EVENT_STATUS_CODE,
EVENT_STATUS_DESC,
PROCESS_STATUS_CODE,
PROCESS_STATUS_DESC,
EVENT_TYPE_CODE,
EVENT_TYPE_DESC,
EVENT_NUMBER,
LEDGER_ID,
LEDGER_NAME,
CURRENCY_CODE,
PERIOD_NAME,
PERIOD_YEAR,
CLOSING_STATUS,
OPERATING_UNIT,
LANGUAGE
FROM
(
SELECT /*+ LEADING(ps) */
    ip.invoice_payment_id
    || '-'
    || xe.event_id
    || '-'
    || xe.event_number ecc_spec_id ,
    'PAY' AS record_type,
    xe.event_id,
    ai.org_id,
	xe.APPLICATION_ID,
    ai.invoice_id                 invoice_id,
    ai.invoice_type_lookup_code   invoice_type_lookup_code,
    ai.invoice_num                invoice_number,
	ai.invoice_currency_code TRANSACTION_CURRENCY,
    ai.invoice_date               AS invoice_date,
	ai.GL_DATE,
    ( ip.amount * nvl(ip.exchange_rate, 1) ) AS ACCOUNTED_AMOUNT,
    c.payment_type_flag,
	(
        SELECT
            meaning
        FROM
            fnd_lookup_values
        WHERE
            view_application_id = 200
            AND lookup_type = 'PAYMENT TYPE'
            AND language = outl.language
            AND lookup_code = c.payment_type_flag
    ) PAYMENT_TYPE_DESC,
    ip.payment_num                installment,
    ip.amount                     AMOUNT,
    ip.invoice_payment_id,
	c.check_id,
	c.check_number TRANSACTION_NUMBER,
    c.check_date TRANSACTION_DATE,
    c.bank_account_name,
    ai.vendor_id,
    hp.party_name                 supplier_name,
    pav.segment1                  supplier_number,
    pos.vendor_site_code          site_code,
    xe.event_status_code,
    (
        SELECT
            meaning
        FROM
            fnd_lookup_values
        WHERE
            view_application_id = 602
            AND lookup_type = 'XLA_EVENT_STATUS'
                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xe.process_status_code
    ) process_status_desc,
	xe.event_type_code,
    (select ett.description from XLA_EVENT_TYPES_TL ett where xe.EVENT_TYPE_CODE = ett. EVENT_TYPE_CODE and xe.application_id = ett.application_id and ett.language = outl.language) as EVENT_TYPE_DESC,
    xe.event_number,
    gl.ledger_id,
    gl.name                       ledger_name,
    gl.currency_code,
    ps.period_name,
    ps.period_year,
    ps.closing_status,
    outl.name                     operating_unit,
    outl.language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= 'U'
    AND xe.process_status_code = 'U' AND ( to_date(to_char(ip.last_update_date,'DD-MON-RR HH24:MI:SS'),'DD-MON-RR HH24:MI:SS')   &gt;=  to_date('26-APR-20','DD-MON-RR HH24:MI:SS')
       AND ip.last_update_date &lt; sysdate) )temp
where temp.language in ('US'))
PIVOT (max(OPERATING_UNIT) as OPERATING_UNIT, max(EVENT_STATUS_DESC) as EVENT_STATUS_DESC,
        max(PROCESS_STATUS_DESC) as PROCESS_STATUS_DESC,
		max(EVENT_TYPE_DESC) as EVENT_TYPE_DESC, max(PAYMENT_TYPE_DESC) as PAYMENT_TYPE_DESC,
    max(SUPPLIER_NAME) as SUPPLIER_NAME
For LANGUAGE in ('US' "US"))</t>
  </si>
  <si>
    <t>select * from (
SELECT
ECC_SPEC_ID,
RECORD_TYPE,
INVOICE_TYPE_LOOKUP_CODE,
ORG_ID,
TRANSACTION_CURRENCY,
SUPPLIER_NAME,
SUPPLIER_NUMBER,
SITE_CODE,
INVOICE_ID,
TRANSACTION_NUMBER,
TRANSACTION_DATE,
GL_DATE,
INVOICE_DISTRIBUTION_ID,
DISTRIBUTION_LINE_NUMBER,
INV_PERIOD,
AMOUNT,
ACCOUNTED_AMOUNT,
APPLICATION_ID,
EVENT_ID,
EVENT_STATUS_CODE,
EVENT_STATUS_DESC,
PROCESS_STATUS_CODE,
PROCESS_STATUS_DESC,
EVENT_TYPE_CODE,
EVENT_TYPE_DESC,
LINE_TYPE_LOOKUP_CODE,
LINE_TYPE_DESC,
EVENT_NUMBER,
LEDGER_ID,
LEDGER_NAME,
CURRENCY_CODE,
PERIOD_NAME,
PERIOD_YEAR,
CLOSING_STATUS,
OPERATING_UNIT,
LANGUAGE
FROM
(SELECT /*+ LEADING(ps) */
    aia.invoice_id
    || '-'
    ||aida.invoice_distribution_id
    || '-'
    || xe.event_id
    || '-'
    || xe.event_number ecc_spec_id,
    'INV' AS record_type,
    aia.invoice_type_lookup_code,
	aia.org_id,
	aia.invoice_currency_code as TRANSACTION_CURRENCY,
    ap.vendor_name         supplier_name,
    ap.segment1            supplier_number,
    pos.vendor_site_code   site_code,
    aia.invoice_id,
    aia.invoice_num        TRANSACTION_NUMBER,
    aia.invoice_date TRANSACTION_DATE,
    aia.gl_date,
    aida.invoice_distribution_id,
    aida.distribution_line_number,
    aida.period_name       inv_period,
    aida.amount,
	(CASE WHEN aida.base_amount IS NULL
    THEN (aida.amount * nvl(aida.exchange_rate,1))
    ELSE aida.base_amount
	END) as ACCOUNTED_AMOUNT,
    xe.application_id,
    xe.event_id,
    xe.event_status_code,
    (
        SELECT
            meaning
        FROM
            fnd_lookup_values
        WHERE
            view_application_id = 602
            AND lookup_type = 'XLA_EVENT_STATUS'
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                AND lookup_type = 'XLA_EVENT_PROCESS_STATUS'
            AND language = outl.language
            AND lookup_code = xe.process_status_code
    ) process_status_desc,
    xe.event_type_code,
	(select ett.description from XLA_EVENT_TYPES_TL ett where xe.EVENT_TYPE_CODE = ett. EVENT_TYPE_CODE and xe.application_id = ett.application_id AND ett.language = outl.language) as EVENT_TYPE_DESC,
    LINE_TYPE_LOOKUP_CODE,
    (select DISPLAYED_FIELD from AP_LOOKUP_CODES where LOOKUP_TYPE = 'INVOICE DISTRIBUTION TYPE'
    and LOOKUP_CODE = aida.LINE_TYPE_LOOKUP_CODE) as LINE_TYPE_DESC,
    xe.event_number,
    lgr.ledger_id,
    lgr.name               ledger_name,
    lgr.currency_code,
    ps.period_name,
    ps.period_year,
    ps.closing_status,
    outl.name              operating_unit,
    outl.language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= 'U' AND ( to_date(to_char(aia.last_update_date,'DD-MON-RR HH24:MI:SS'),'DD-MON-RR HH24:MI:SS')   &gt;=  to_date('26-APR-20','DD-MON-RR HH24:MI:SS')
       AND aia.last_update_date &lt; sysdate) )temp
where temp.language in ('US'))
PIVOT (max(OPERATING_UNIT) as OPERATING_UNIT, max(EVENT_STATUS_DESC) as EVENT_STATUS_DESC, max(PROCESS_STATUS_DESC) as PROCESS_STATUS_DESC,
    max(EVENT_TYPE_DESC) as EVENT_TYPE_DESC, max(LINE_TYPE_DESC) as LINE_TYPE_DESC, max(SUPPLIER_NAME) as SUPPLIER_NAME
For LANGUAGE in ('US' "US"))</t>
  </si>
  <si>
    <t>select * from (
SELECT
ECC_SPEC_ID,
RECORD_TYPE,
LEDGER_ID,
LEDGER_NAME,
CURRENCY_CODE,
OPERATING_UNIT,
LANGUAGE,
PERIOD_NAME,
PERIOD_YEAR,
CLOSING_STATUS,
ORG_ID,
INVOICE_ID,
INVOICE_TYPE_LOOKUP_CODE,
INVOICE_NUMBER,
INVOICE_CURRENCY,
INVOICE_DATE,
PAYMENT_TYPE_FLAG,
PAYMENT_TYPE_DESC,
INSTALLMENT,
INVOICE_PAYMENT_ID,
CHECK_ID,
TRANSACTION_NUMBER,
TRANSACTION_DATE,
BANK_ACCOUNT_NAME,
VENDOR_ID,
SUPPLIER_NAME,
SUPPLIER_NUMBER,
SITE_CODE,
APPLICATION_ID,
EVENT_ID,
EVENT_STATUS_CODE,
EVENT_STATUS_DESC,
PROCESS_STATUS_CODE,
PROCESS_STATUS_DESC,
EVENT_TYPE_CODE,
EVENT_TYPE_DESC,
EVENT_NUMBER,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DISPLAYED_LINE_NUMBER,
LINE_DESC,
ACCOUNT_CODE,
ACCOUNT_DESCRIPTION
FROM
(
SELECT /*+ LEADING(ps) */
    invoice_payment_id
    || '-'
    || xe.event_id
    || '-'
    || xe.event_number
    || '-'
    || xal.ae_header_id
    || '-'
    || xal.ae_line_num ecc_spec_id,
    'PAY' AS record_type,
    gl.ledger_id,
    gl.name ledger_name,
    gl.currency_code,
    outl.name operating_unit,
    outl.language,
    ps.period_name,
    ps.period_year,
    ps.closing_status,
    ai.org_id,
    ai.invoice_id invoice_id,
    ai.invoice_type_lookup_code invoice_type_lookup_code,
    ai.invoice_num invoice_number,
    ai.invoice_currency_code invoice_currency,
    ai.invoice_date AS invoice_date,
    c.payment_type_flag,
    (
        SELECT
            meaning
        FROM
            fnd_lookup_values
        WHERE
            view_application_id = 200
            AND   lookup_type = 'PAYMENT TYPE'
            AND   language = outl.language
            AND   lookup_code = c.payment_type_flag
    ) payment_type_desc,
    ip.payment_num installment,
    ip.invoice_payment_id,
    c.check_id,
    c.check_number transaction_number,
    c.check_date transaction_date,
    c.bank_account_name,
    ai.vendor_id,
    hp.party_name supplier_name,
    pav.segment1 supplier_number,
    pos.vendor_site_code site_code,
    xe.application_id,
    xe.event_id,
    Decode(xe.event_status_code,'Z','I',xe.event_status_code) as EVENT_STATUS_CODE,
    (
        SELECT
            meaning
        FROM
            fnd_lookup_values
        WHERE
            view_application_id = 602
            AND   lookup_type = 'XLA_EVENT_STATUS'
            AND   language = outl.language
            AND   lookup_code = Decode(xe.event_status_code,'Z','I',xe.event_status_code)
    ) event_status_desc,
    decode(xe.process_status_code,'Z','I',xe.process_status_code) as process_status_code,
    (
        SELECT
            meaning
        FROM
            fnd_lookup_values
        WHERE
            view_application_id = 602
            AND   lookup_type = 'XLA_EVENT_PROCESS_STATUS'
            AND   language = outl.language
            AND   lookup_code = decode(xe.process_status_code,'Z','I',xe.process_status_code)
    ) process_status_desc,
    xe.event_type_code,
    (
        SELECT
            ett.description
        FROM
            xla_event_types_tl ett
        WHERE
            xe.event_type_code = ett.event_type_code
            AND   xe.application_id = ett.application_id
            AND   ett.language = outl.language
    ) AS event_type_desc,
    xe.event_number,
    xah.ae_header_id,
    xah.gl_transfer_status_code,
    (
        SELECT
            meaning
        FROM
            fnd_lookup_values
        WHERE
            view_application_id = 602
            AND   lookup_type = 'GL_TRANSFER_FLAG'
            AND   language = outl.language
            AND   lookup_code = xah.gl_transfer_status_code
    ) gl_transfer_flag_desc,
    xah.accounting_entry_status_code,
    (
        SELECT
            meaning
        FROM
            fnd_lookup_values
        WHERE
            view_application_id = 602
            AND   lookup_type = 'XLA_ACCOUNTING_ENTRY_STATUS'
            AND   language = outl.language
            AND   lookup_code = xah.accounting_entry_status_code
    ) accounting_entry_status_desc,
    xah.accounting_entry_type_code,
    (
        SELECT
            meaning
        FROM
            fnd_lookup_values
        WHERE
            view_application_id = 602
            AND   lookup_type = 'XLA_ACCOUNTING_ENTRY_TYPE'
            AND   language = outl.language
            AND   lookup_code = xah.accounting_entry_type_code
    ) accounting_entry_type_desc,
    xah.je_category_name,
    (
        SELECT
            jct.description
        FROM
            gl_je_categories_tl jct
        WHERE
            xah.je_category_name = jct.je_category_name
            AND   jct.language = outl.language
    ) AS je_category_desc,
    xah.description,
    xah.balance_type_code,
    (
        SELECT
            meaning
        FROM
            fnd_lookup_values
        WHERE
            view_application_id = 602
            AND   lookup_type = 'XLA_BALANCE_TYPE'
            AND   language = outl.language
            AND   lookup_code = xah.balance_type_code
    ) balance_type_desc,
    xah.period_name gl_period_name,
    xal.ae_line_num,
    xal.accounting_date,
    xal.accounting_class_code,
    (
        SELECT
            meaning
        FROM
            fnd_lookup_values
        WHERE
            view_application_id = 602
            AND   lookup_type = 'XLA_ACCOUNTING_CLASS'
            AND   language = outl.language
            AND   lookup_code = xal.accounting_class_code
    ) accounting_class_code_desc,
    xal.business_class_code,
    (
        SELECT
            meaning
        FROM
            fnd_lookup_values
        WHERE
            view_application_id = 602
            AND   lookup_type = 'XLA_BUSINESS_FLOW_CLASS'
            AND   language = outl.language
            AND   lookup_code = xal.business_class_code
    ) business_class_code_desc,
    xal.code_combination_id xla_ccid,
    xal.entered_dr xla_entered_dr,
    xal.entered_cr xla_entered_cr,
    xal.accounted_dr xla_accounted_dr,
    xal.accounted_cr xla_accounted_cr,
    XAL.DISPLAYED_LINE_NUMBER,
    xal.description line_desc,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'VALUE') ) AS account_code,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'FULL_DESCRIPTION') ) AS account_description
FROM
    gl_period_statuses ps,
    ap_invoices_all ai,
    gl_ledgers gl,
    ap_invoice_payments_all ip,
    ap_checks_all c,
    ap_suppliers pav,
    ap_supplier_sites_all pos,
    hr_all_organization_units ou,
    hr_all_organization_units_tl outl,
    hz_parties hp,
    xla_events xe,
    xla_transaction_entities xte,
    xla_ae_headers xah,
    xla_ae_lines xal,
    gl_code_combinations cc
WHERE
    xe.application_id = 200
    AND   ps.adjustment_period_flag = 'N'
    AND   ps.set_of_books_id = ai.set_of_books_id
    AND   ai.gl_date BETWEEN ps.start_date AND ps.end_date
    AND   ps.closing_status = 'O'
    AND   ps.application_id = xe.application_id
    AND   ai.invoice_id = ip.invoice_id
    AND   ip.check_id = c.check_id
    AND   ai.set_of_books_id = gl.ledger_id
    AND   ou.organization_id = ai.org_id
    AND   ou.organization_id = outl.organization_id
    AND   ai.vendor_id = pav.vendor_id
    AND   ai.vendor_site_id = pos.vendor_site_id
    AND   hp.party_id = ai.party_id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AND   xah.gl_transfer_status_code &lt;&gt; 'Y'
    AND   xal.displayed_line_number &gt;= 0
    AND   xal.code_combination_id = cc.code_combination_id
    AND   gl.chart_of_accounts_id = cc.chart_of_accounts_id
    AND   cc.enabled_flag = 'Y' AND ( to_date(to_char(ip.last_update_date,'DD-MON-RR HH24:MI:SS'),'DD-MON-RR HH24:MI:SS')   &gt;=  to_date('26-APR-20','DD-MON-RR HH24:MI:SS')
       AND ip.last_update_date &lt; sysdate) )temp
    where temp.language in ('US'))
    PIVOT
    (max(OPERATING_UNIT) as OPERATING_UNIT,
    max(EVENT_STATUS_DESC) as EVENT_STATUS_DESC,
    max(PROCESS_STATUS_DESC) as PROCESS_STATUS_DESC,
    max(GL_TRANSFER_FLAG_DESC) as GL_TRANSFER_FLAG_DESC,
    max(ACCOUNTING_ENTRY_STATUS_DESC) as ACCOUNTING_ENTRY_STATUS_DESC,
    max(ACCOUNTING_ENTRY_TYPE_DESC) as ACCOUNTING_ENTRY_TYPE_DESC,
    max(BALANCE_TYPE_DESC) as BALANCE_TYPE_DESC, max(EVENT_TYPE_DESC) as EVENT_TYPE_DESC,
    max(JE_CATEGORY_DESC) as JE_CATEGORY_DESC,max(PAYMENT_TYPE_DESC) as PAYMENT_TYPE_DESC,
    max(ACCOUNTING_CLASS_CODE_DESC) as ACCOUNTING_CLASS_CODE_DESC,
    max(BUSINESS_CLASS_CODE_DESC) as BUSINESS_CLASS_CODE_DESC,
    max(SUPPLIER_NAME) as SUPPLIER_NAME
	For LANGUAGE in ('US' "US"))</t>
  </si>
  <si>
    <t>select * from (
SELECT
ECC_SPEC_ID,
RECORD_TYPE,
INVOICE_TYPE_LOOKUP_CODE,
ORG_ID,
TRANSACTION_CURRENCY,
VENDOR_ID,
SUPPLIER_NAME,
SUPPLIER_NUMBER,
SITE_CODE,
INVOICE_ID,
TRANSACTION_NUMBER,
TRANSACTION_DATE,
GL_DATE,
APPLICATION_ID,
EVENT_ID,
EVENT_STATUS_CODE,
EVENT_STATUS_DESC,
PROCESS_STATUS_CODE,
PROCESS_STATUS_DESC,
EVENT_TYPE_CODE,
EVENT_TYPE_DESC,
EVENT_NUMBER,
DISPLAYED_LINE_NUMBER,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LINE_DESC,
ACCOUNT_CODE,
ACCOUNT_DESCRIPTION,
LEDGER_ID,
LEDGER_NAME,
CURRENCY_CODE,
PERIOD_NAME,
PERIOD_YEAR,
CLOSING_STATUS,
OPERATING_UNIT,
LANGUAGE
FROM (
SELECT /*+ LEADING(ps) */
    aia.invoice_id
    || '-'
    || xe.event_id
    || '-'
    || xe.event_number
    || '-'
    || xah.ae_header_id
    || '-'
    || xal.ae_line_num ecc_spec_id,
    'INV' AS record_type,
    aia.invoice_type_lookup_code,
	aia.org_id,
	aia.invoice_currency_code as TRANSACTION_CURRENCY,
	aia.VENDOR_ID,
    ap.vendor_name            supplier_name,
    ap.segment1               supplier_number,
	pos.vendor_site_code   site_code,
    aia.invoice_id,
    aia.invoice_num TRANSACTION_NUMBER,
    aia.invoice_date TRANSACTION_DATE,
    aia.gl_date,
    xe.application_id,
    xe.event_id,
    Decode(xe.event_status_code,'Z','I',xe.event_status_code) as EVENT_STATUS_CODE,
    (
        SELECT
            meaning
        FROM
            fnd_lookup_values
        WHERE
            view_application_id = 602
                            AND lookup_type = 'XLA_EVENT_STATUS'
            AND language = outl.language
            AND lookup_code = Decode(xe.event_status_code,'Z','I',xe.event_status_code)
    ) event_status_desc,
	Decode(xe.process_status_code,'Z','I',xe.process_status_code) as 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Decode(xe.process_status_code,'Z','I',xe.process_status_code)
    ) process_status_desc,
    xe.event_type_code,
    (select ett.description from XLA_EVENT_TYPES_TL ett where xe.EVENT_TYPE_CODE = ett. EVENT_TYPE_CODE and xe.application_id = ett.application_id
	AND ett.language = outl.language) as EVENT_TYPE_DESC,
    xe.event_number,
    xal.displayed_line_number,
    xah.ae_header_id,
    xah.gl_transfer_status_code,
    (
        SELECT
            meaning
        FROM
            fnd_lookup_values
        WHERE
            view_application_id = 602
            AND lookup_type = 'GL_TRANSFER_FLAG'
            AND language = outl.language
            AND lookup_code = xah.gl_transfer_status_code
    ) gl_transfer_flag_desc,
    xah.accounting_entry_status_code,
                    (
        SELECT
            meaning
        FROM
            fnd_lookup_values
        WHERE
            view_application_id = 602
            AND lookup_type = 'XLA_ACCOUNTING_ENTRY_STATUS'
            AND language = outl.language
            AND lookup_code = xah.accounting_entry_status_code
    ) accounting_entry_status_desc,
    xah.accounting_entry_type_code,
    (
        SELECT
            meaning
        FROM
            fnd_lookup_values
        WHERE
            view_application_id = 602
            AND lookup_type = 'XLA_ACCOUNTING_ENTRY_TYPE'
            AND language = outl.language
            AND lookup_code = xah.accounting_entry_type_code
    ) accounting_entry_type_desc,
    xah.je_category_name,
	(select DESCRIPTION from GL_JE_CATEGORIES_TL jct Where xah.JE_CATEGORY_NAME = jct.JE_CATEGORY_NAME and language=outl.language)JE_CATEGORY_DESC,
    xah.description,
    xah.balance_type_code,
    (
        SELECT
            meaning
        FROM
            fnd_lookup_values
        WHERE
            view_application_id = 602
                            AND lookup_type = 'XLA_BALANCE_TYPE'
            AND language = outl.language
            AND lookup_code = xah.balance_type_code
    ) balance_type_desc,
    xah.period_name           gl_period_name,
                    xal.ae_line_num,
    xal.accounting_date,
                    xal.accounting_class_code,
    (
        SELECT
            meaning
        FROM
            fnd_lookup_values
        WHERE
            view_application_id = 602
            AND lookup_type = 'XLA_ACCOUNTING_CLASS'
            AND language = outl.language
            AND lookup_code = xal.accounting_class_code
    ) accounting_class_code_desc,
    xal.business_class_code,
    (
        SELECT
            meaning
        FROM
            fnd_lookup_values
        WHERE
            view_application_id = 602
            AND lookup_type = 'XLA_BUSINESS_FLOW_CLASS'
            AND language = outl.language
            AND lookup_code = xal.business_class_code
    ) business_class_code_desc,
    xal.code_combination_id   xla_ccid,
    xal.entered_dr            xla_entered_dr,
    xal.entered_cr            xla_entered_cr,
    xal.accounted_dr          xla_accounted_dr,
    xal.accounted_cr          xla_accounted_cr,
    xal.description           line_desc,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'VALUE')) AS account_code,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'FULL_DESCRIPTION')) AS account_description,
    lgr.ledger_id,
    lgr.name                  ledger_name,
    lgr.currency_code,
    ps.period_name,
    ps.period_year,
    ps.closing_status,
    outl.name                 operating_unit,
    outl.language
FROM
    ap_invoices_all                aia,
    ap_suppliers                   ap,
	ap_supplier_sites_all          pos,
    xla_events                     xe,
    XLA_TRANSACTION_ENTITIES XTE,
    xla_ae_headers                 xah,
    xla_ae_lines                   xal,
    gl_ledgers                     lgr,
    gl_period_statuses             ps,
    gl_code_combinations           cc,
    hr_all_organization_units      ou,
    hr_all_organization_units_tl   outl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    AND ou.organization_id = aia.org_id
    AND ou.organization_id = outl.organization_id
    AND lgr.ledger_id = aia.set_of_books_id
    AND ps.set_of_books_id = aia.set_of_books_id
    AND ps.application_id = xe.application_id
    AND aia.invoice_date BETWEEN ps.start_date AND ps.end_date
    AND ps.closing_status = 'O'
    AND xal.code_combination_id = cc.code_combination_id
    AND lgr.chart_of_accounts_id = cc.chart_of_accounts_id
    AND cc.enabled_flag = 'Y' AND ( to_date(to_char(aia.last_update_date,'DD-MON-RR HH24:MI:SS'),'DD-MON-RR HH24:MI:SS')   &gt;=  to_date('26-APR-20','DD-MON-RR HH24:MI:SS')
       AND aia.last_update_date &lt; sysdate)
    ) temp
    where temp.language in ('US'))
    PIVOT
    ( max(OPERATING_UNIT) as OPERATING_UNIT, max(EVENT_STATUS_DESC) as EVENT_STATUS_DESC, max(PROCESS_STATUS_DESC) as PROCESS_STATUS_DESC,
    max(GL_TRANSFER_FLAG_DESC) as GL_TRANSFER_FLAG_DESC, max(ACCOUNTING_ENTRY_STATUS_DESC) as ACCOUNTING_ENTRY_STATUS_DESC,
    max(ACCOUNTING_ENTRY_TYPE_DESC) as ACCOUNTING_ENTRY_TYPE_DESC, max(BALANCE_TYPE_DESC) as BALANCE_TYPE_DESC, MAX(EVENT_TYPE_DESC) as EVENT_TYPE_DESC,
     max(JE_CATEGORY_DESC) as JE_CATEGORY_DESC, max(ACCOUNTING_CLASS_CODE_DESC) as ACCOUNTING_CLASS_CODE_DESC, max(BUSINESS_CLASS_CODE_DESC) as BUSINESS_CLASS_CODE_DESC
    For LANGUAGE in ('US' "US"))</t>
  </si>
  <si>
    <t>SELECT /*+ LEADING(ps) */
    ip.invoice_payment_id
    || '-'
    || xe.event_id
    || '-'
    || xe.event_number ecc_spec_id ,
    'PAY' AS record_type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&lt;&gt; 'U'
    AND xe.process_status_code &lt;&gt; 'U'
	AND to_date(to_char(ip.last_update_date,'DD-MON-RR HH24:MI:SS'),'DD-MON-RR HH24:MI:SS')   &gt;=  to_date('26-APR-20','DD-MON-RR HH24:MI:SS')
	AND ip.last_update_date &lt; sysdate</t>
  </si>
  <si>
    <t>SELECT /*+ LEADING(ps) */
     aia.invoice_id
    || '-'
    ||aida.invoice_distribution_id
    || '-'
    || xe.event_id
    || '-'
    || xe.event_number ecc_spec_id,
    'INV' AS record_type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&lt;&gt; 'U'
	AND to_date(to_char(aia.last_update_date,'DD-MON-RR HH24:MI:SS'),'DD-MON-RR HH24:MI:SS')   &gt;=  to_date('26-APR-20','DD-MON-RR HH24:MI:SS')
    AND aia.last_update_date &lt; sysdate</t>
  </si>
  <si>
    <t>SELECT
 invoice_payment_id
    || '-'
    || xe.event_id
    || '-'
    || xe.event_number
	|| '-'
	||xal.AE_HEADER_ID
	|| '-'
	||xal.AE_LINE_NUM
	ecc_spec_id,
    'PAY' AS record_type
FROM
    ap_invoices_all ai,
    gl_ledgers gl,
    ap_invoice_payments_all ip,
    ap_checks_all c,
    ap_suppliers pav,
    ap_supplier_sites_all pos,
    xla_events xe,
    xla_transaction_entities xte,
    xla_ae_headers xah,
    xla_ae_lines xal
WHERE
    xe.application_id = 200
    AND   ai.invoice_id = ip.invoice_id
    AND   ip.check_id = c.check_id
    AND   ai.set_of_books_id = gl.ledger_id
    AND   ai.vendor_id = pav.vendor_id
    AND   ai.vendor_site_id = pos.vendor_site_id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--AND   xah.gl_transfer_status_code &lt;&gt; 'Y'
    AND   xal.displayed_line_number &gt;= 0
    AND to_date(to_char(ip.last_update_date,'DD-MON-RR HH24:MI:SS'),'DD-MON-RR HH24:MI:SS')   &gt;=  to_date('26-APR-20','DD-MON-RR HH24:MI:SS')
    AND ip.last_update_date &lt; sysdate</t>
  </si>
  <si>
    <t>SELECT DISTINCT
    'ECC_SPEC_ID' as ATTRIBUTE_NAME,
    aia.invoice_id as ATTRIBUTE_VALUE,
    'LIKE' AS OPERATOR
FROM
    ap_invoices_all                aia,
    ap_suppliers                   ap,
	ap_supplier_sites_all          pos,
    xla_events                     xe,
    XLA_TRANSACTION_ENTITIES XTE,
    xla_ae_headers                 xah,
    xla_ae_lines                   xal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	AND to_date(to_char(aia.last_update_date,'DD-MON-RR HH24:MI:SS'),'DD-MON-RR HH24:MI:SS')   &gt;=  to_date('26-APR-20','DD-MON-RR HH24:MI:SS')
    AND aia.last_update_date &lt; sysdate</t>
  </si>
  <si>
    <t>24m 49s</t>
  </si>
  <si>
    <t>select * from (SELECT ECC_SPEC_ID,
ATTRIBUTE_CATEGORY,
ATTRIBUTE1,
ATTRIBUTE2,
ATTRIBUTE3,
ATTRIBUTE4,
ATTRIBUTE5,
ATTRIBUTE6,
ATTRIBUTE7,
ATTRIBUTE8,
ATTRIBUTE9,
ATTRIBUTE10,
ATTRIBUTE11,
ATTRIBUTE12,
ATTRIBUTE13,
ATTRIBUTE14,
ATTRIBUTE15,
    record_type ,
        OPERATING_UNIT,
    ORG_ID ,
    invoice_id,
    invoice_type_lookup_code,
    invoice_type,
    invoice_number,
    legal_entity,
    invoice_amount ,
    inv_currency,
    inv_currency_code,
    invoice_date,
    VOUCHER_NUM,
    SOURCE,
     INSTALLMENT,
    AMOUNT,
    CHECK_NUMBER,
    CHECK_DATE,
    BANK_ACCOUNT_NAME,
    supplier_type,
    supplier_type_code,
    VENDOR_ID,
    Supplier_Name ,
    supplier_number ,
    site_code,
    Ledger,
    gl_currency,
    gl_currency_code,
    CREATION_DATE,
    LANGUAGE
from AP_ECC_PAID_HISTORY_V
Where CREATION_DATE &gt; trunc(sysdate)-7
And ( ( to_date(to_char(CREATION_DATE,'DD-MON-RR HH24:MI:SS'),'DD-MON-RR HH24:MI:SS')   &gt;=  to_date('26-APR-20','DD-MON-RR HH24:MI:SS')
       AND CREATION_DATE &lt; sysdate)) and language in ('US')) PIVOT ( max(SUPPLIER_TYPE) as SUPPLIER_TYPE,max(OPERATING_UNIT) as OPERATING_UNIT,max(INVOICE_TYPE) as INVOICE_TYPE, max (INV_CURRENCY) as INV_CURRENCY,
       max(GL_CURRENCY) as GL_CURRENCY
FOR LANGUAGE in ('US' "US"))</t>
  </si>
  <si>
    <t>SELECT hold.invoice_id || '_' || hold_id AS ECC_SPEC_ID
  FROM ap_holds_all hold
 WHERE HOLD.RELEASE_LOOKUP_CODE IS NOT NULL AND
to_date(to_char(HOLD.LAST_UPDATE_DATE,'DD-MON-RR HH24:MI:SS'),'DD-MON-RR HH24:MI:SS')   &gt;  to_date('26-APR-20','DD-MON-RR HH24:MI:SS')</t>
  </si>
  <si>
    <t>There are 113 documents processed successfully and 0 documents failed to be processed.</t>
  </si>
  <si>
    <t>113</t>
  </si>
  <si>
    <t>select * from (SELECT ECC_SPEC_ID,
ATTRIBUTE_CATEGORY,
ATTRIBUTE1,
ATTRIBUTE2,
ATTRIBUTE3,
ATTRIBUTE4,
ATTRIBUTE5,
ATTRIBUTE6,
ATTRIBUTE7,
ATTRIBUTE8,
ATTRIBUTE9,
ATTRIBUTE10,
ATTRIBUTE11,
ATTRIBUTE12,
ATTRIBUTE13,
ATTRIBUTE14,
ATTRIBUTE15,
  RECORD_TYPE,
  OPERATING_UNIT,
  ORG_ID,
  INVOICE_ID,
  INVOICE_TYPE_LOOKUP_CODE,
  INVOICE_TYPE,
  INVOICE_NUMBER,
  LEGAL_ENTITY,
  VALIDATION_STATUS,
  INVOICE_AMOUNT,
  INV_CURRENCY,
  INV_CURRENCY_CODE,
  INVOICE_DATE,
  PO_NUMBERS,
  VOUCHER_NUM,
  SOURCE,
  BASE_AMOUNT,
  PAYMENT_TERM,
  GL_DATE,
  EXCHANGE_RATE,
  DUE_DATE,
  PAYMENT_STATUS_FLAG,
  PAYMENT_STATUS,
  AMOUNT_REMAINING,
  AMOUNT_REMAINING_BASE,
  INSTALLMENT,
  SUPPLIER_TYPE,
  SUPPLIER_TYPE_CODE,
  VENDOR_ID,
  SUPPLIER_NAME,
  SUPPLIER_NUMBER,
  SITE_CODE,
  LEDGER_ID,
  LEDGER,
  GL_CURRENCY,
  GL_CURRENCY_CODE,
  LANGUAGE
FROM
  AP_ECC_PREPAYMENT_V pre
WHERE exists (	select 1 from AP_INVOICE_DISTRIBUTIONS_ALL aid where
   pre.INVOICE_ID = aid.invoice_id
     And  (( to_date(to_char(aid.last_update_date,'DD-MON-RR HH24:MI:SS'),'DD-MON-RR HH24:MI:SS')   &gt;=  to_date('26-APR-20','DD-MON-RR HH24:MI:SS')
       AND aid.last_update_date &lt; sysdate) OR
       ( to_date(to_char(ps_last_update_date,'DD-MON-RR HH24:MI:SS'),'DD-MON-RR HH24:MI:SS')   &gt;=  to_date('26-APR-20','DD-MON-RR HH24:MI:SS')
       AND ps_last_update_date &lt; sysdate) OR
       ( to_date(to_char(ai_last_update_date,'DD-MON-RR HH24:MI:SS'),'DD-MON-RR HH24:MI:SS')   &gt;=  to_date('26-APR-20','DD-MON-RR HH24:MI:SS')
       AND ai_last_update_date &lt; sysdate))) and language in ('US'))
PIVOT (max(OPERATING_UNIT) as OPERATING_UNIT , max(INVOICE_TYPE) as INVOICE_TYPE,max(PAYMENT_STATUS) as PAYMENT_STATUS,
 max(SUPPLIER_TYPE) as SUPPLIER_TYPE, max(PAYMENT_TERM) as PAYMENT_TERM,max (INV_CURRENCY) as INV_CURRENCY, max(GL_CURRENCY) as GL_CURRENCY
FOR LANGUAGE in ('US' "US"))</t>
  </si>
  <si>
    <t>There are 131 documents processed successfully and 0 documents failed to be processed.</t>
  </si>
  <si>
    <t>131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</si>
  <si>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to_date(to_char(to_timestamp('26-APR-20 10.57.06.000000 PM'),'DD-MON-YY HH.MI.SS'),'DD-MON-YY HH.MI.SS')) PIVOT ( Max(source_doc_type) AS source_doc_type,
          Max(source_name) AS source_name,
          Max(item_description) AS item_description for LANGUAGE in ( 'US' "US"))</t>
  </si>
  <si>
    <t>There are 1 documents processed successfully and 0 documents failed to be processed.</t>
  </si>
  <si>
    <t>1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</si>
  <si>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to_date(to_char(to_timestamp('26-APR-20 10.57.06.000000 PM'),'DD-MON-YY HH.MI.SS'),'DD-MON-YY HH.MI.SS') UNION ALL SELECT ECC_SPEC_ID from RCV_ECC_RECEIPTS_ASNLCM_V
WHERE SHIPMENT_LINE_STATUS_CODE in('FULLY RECEIVED', 'CANCELLED')
 AND last_update_date &gt;  to_date(to_char(to_timestamp('26-APR-20 10.57.06.000000 PM'),'DD-MON-YY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to_date(to_char(to_timestamp('26-APR-20 10.57.06.000000 PM'),'DD-MON-YY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to_date(to_char(to_timestamp('26-APR-20 10.57.06.000000 PM'),'DD-MON-YY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to_date(to_char(to_timestamp('26-APR-20 10.57.06.000000 PM'),'DD-MON-YY HH.MI.SS'),'DD-MON-YY HH.MI.SS')</t>
  </si>
  <si>
    <t>select * from (SELECT
			'Asset Transfer' AS RECORD_TYPE ,
			NVL(MT.CONCURRENT_REQUEST_ID, 0)
			||'-'
			||MT.MASS_TRANSFER_ID AS ECC_SPEC_ID ,
			(
			CASE
			WHEN MT.CONCURRENT_REQUEST_ID IS NULL
			THEN MT.DATE_EFFECTIVE
			ELSE RS.ACTUAL_COMPLETION_DATE
			END ) ECC_LAST_UPDATE_DATE ,
			MT.CONCURRENT_REQUEST_ID REQUEST_NUM ,
			MT.MASS_TRANSFER_ID TRANS_NUM ,
			NVL(BC.ORG_ID,-9999) AS ORG_ID ,
			BC.BOOK_TYPE_CODE BOOK_CODE ,
			BC.BOOK_TYPE_NAME BOOK_NAME ,
			MT.TRANSACTION_DATE_ENTERED TRANS_DATE,
			DECODE(FC.CATEGORY_ID,NULL,NULL,
       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MT.DESCRIPTION TRANS_DESCRIPTION,
			(
			CASE
			WHEN RS.USER_CONCURRENT_PROGRAM_NAME = 'Mass Transfers Preview Report'
			THEN
			(SELECT MEANING
			FROM FA_LOOKUPS_TL
			WHERE LOOKUP_TYPE='MASS_TRX_STATUS'
			AND LOOKUP_CODE  ='PREVIEWED'
      AND LANGUAGE = fl.LANGUAGE_CODE
			)
			WHEN RS.USER_CONCURRENT_PROGRAM_NAME ='Mass Transfer'
			THEN
			(SELECT MEANING
			FROM FA_LOOKUPS_TL
			WHERE LOOKUP_TYPE='MASS_TRX_STATUS'
			AND LOOKUP_CODE  ='COMPLETED'
      AND LANGUAGE = fl.LANGUAGE_CODE
			)
			WHEN MT.CONCURRENT_REQUEST_ID IS NULL
			THEN
			(SELECT MEANING
			FROM FA_LOOKUPS_TL
			WHERE LOOKUP_TYPE='MASS_TRX_STATUS'
			AND LOOKUP_CODE  ='NEW'
      AND LANGUAGE = fl.LANGUAGE_CODE
			)
			END) TRANS_STATUS ,
			(
			CASE
			WHEN RS.USER_CONCURRENT_PROGRAM_NAME = 'Mass Transfers Preview Report'
			THEN 'PREVIEWED'
			WHEN RS.USER_CONCURRENT_PROGRAM_NAME ='Mass Transfer'
			THEN 'COMPLETED'
			WHEN MT.CONCURRENT_REQUEST_ID IS NULL
			THEN 'NEW'
			END) TRANS_STATUS_CODE
			,
			(
			CASE
			WHEN MT.FROM_LOCATION_ID &lt;&gt; MT.TO_LOCATION_ID
			THEN
			(SELECT MEANING
			FROM FA_LOOKUPS_TL
			WHERE LOOKUP_TYPE='FA_ECC_MASS_TRANSFER_TYPE'
			AND LOOKUP_CODE  ='LOCATION_TRANSFER'
      AND LANGUAGE = fl.LANGUAGE_CODE
			)
			||'|'
			ELSE ''
			END)
			|| (
			CASE
			WHEN MT.FROM_GL_CCID&lt;&gt; MT.TO_GL_CCID
			THEN
			(SELECT MEANING
			FROM FA_LOOKUPS_TL
			WHERE LOOKUP_TYPE='FA_ECC_MASS_TRANSFER_TYPE'
			AND LOOKUP_CODE  ='DEPRECIATION_EXPENSE_TRANSFER'
      AND LANGUAGE = fl.LANGUAGE_CODE
			)
			||'|'
			ELSE ''
			END)
			|| (
			CASE
			WHEN MT.FROM_EMPLOYEE_ID &lt;&gt; MT.TO_EMPLOYEE_ID
			THEN
			(SELECT MEANING
			FROM FA_LOOKUPS_TL
			WHERE LOOKUP_TYPE='FA_ECC_MASS_TRANSFER_TYPE'
			AND LOOKUP_CODE  ='EMPLOYEE_TRANSFER'
      AND LANGUAGE = fl.LANGUAGE_CODE
			)
			ELSE
			(SELECT MEANING
			FROM FA_LOOKUPS_TL
			WHERE LOOKUP_TYPE='FA_ECC_MASS_TRANSFER_TYPE'
			AND LOOKUP_CODE  ='NO_TRANSFER_DET'
      AND LANGUAGE = fl.LANGUAGE_CODE
			)
			END) AS TRANSFER_TYPE
			/* UNION ATTRIBUTES*/
			,
			''            AS CHANGE_TYPE 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fl.LANGUAGE_CODE AS LANGUAGE
			FROM FA_MASS_TRANSFERS MT,
			FA_BOOK_CONTROLS BC,
			FA_CATEGORIES_B FC,
			FND_CONC_REQ_SUMMARY_V RS ,
			FA_SYSTEM_CONTROLS FSC,
      FND_LANGUAGES fl
			WHERE MT.BOOK_TYPE_CODE                         = BC.BOOK_TYPE_CODE
      AND fl.INSTALLED_FLAG in ('B','I')
			AND BC.BOOK_CLASS                               = 'CORPORATE'
			AND BC.DATE_INEFFECTIVE                        IS NULL
			AND MT.CATEGORY_ID                              = FC.CATEGORY_ID(+)
			AND MT.CONCURRENT_REQUEST_ID                    = RS.REQUEST_ID(+)
			AND NVL(RS.USER_CONCURRENT_PROGRAM_NAME, '$$') &lt;&gt; 'Mass Transfer'
			AND ((MT.CONCURRENT_REQUEST_ID                 IS NULL
			AND ( (to_date(MT.DATE_EFFECTIVE,'DD-MON-RR HH24:MI:SS') &gt;= to_date('26-APR-20','DD-MON-RR HH24:MI:SS')
			AND MT.DATE_EFFECTIVE                           &lt; SYSDATE )))
			OR ( ( to_date(RS.ACTUAL_COMPLETION_DATE,'DD-MON-RR HH24:MI:SS')  &gt;=  to_date('26-APR-20','DD-MON-RR HH24:MI:SS')
			AND RS.ACTUAL_COMPLETION_DATE                   &lt; SYSDATE )))
      UNION ALL
			SELECT 'Asset revaluation' AS RECORD_TYPE,
			NVL(MR.LAST_REQUEST_ID,0)
			||'-'
			||MR.MASS_REVAL_ID
			||'-'
			||MRR.ASSET_ID AS ECC_SPEC_ID,
			MR.LAST_UPDATE_DATE ECC_LAST_UPDATE_DATE,
			MR.LAST_REQUEST_ID REQUEST_NUM,
			MR.MASS_REVAL_ID TRANS_NUM,
			NVL(BC.ORG_ID,-9999) AS ORG_ID,
			BC.BOOK_TYPE_CODE BOOK_CODE,
			BC.BOOK_TYPE_NAME BOOK_NAME,
			MR.REVAL_DATE TRANS_DATE,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'BASED_CATEGORY',
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MR.DESCRIPTION TRANS_DESCRIPTION ,
			LO.MEANING AS TRANS_STATUS ,
			MR.STATUS  AS TRANS_STATUS_CODE ,
			''         AS TRANSFER_TYPE ,
			''         AS CHANGE_TYPE
			/* UNION ATTRIBUTES*/
			,
			AD.ASSET_NUMBER AS ASSET_NUMBER ,
			''              AS ASSET_DESCRIPTION ,
			''              AS ADDITION_ACCOUNTING_YEAR ,
			''              AS ADDITION_MONTH_YEAR ,
			TO_NUMBER('')   AS ADDITION_COST ,
			TO_NUMBER('')   AS ADDITION_UNITS ,
			''              AS ADDITION_SOURCE_NAME ,
			TO_NUMBER('')   AS ADDITION_BATCH_ID ,
			TO_DATE('')     AS ADDITION_BATCH_DATE ,
			''              AS ADDITION_PO_NUMBER ,
			TO_NUMBER('')   AS ADDITION_INV_ID ,
			''              AS ADDITION_INV_NUMBER ,
			TO_DATE('')     AS ADDITION_INV_DATE ,
			TO_NUMBER('')   AS ADDITION_INV_LINE_NUMBER ,
			''              AS ADDITION_INV_DESCRIPTION ,
			''              AS ADDITION_SUPPLIER_NUMBER ,
			''              AS ADDITION_SUPPLIER_NAME ,
			''              AS ADDITION_PROJ_NAME ,
			''              AS ADDITION_PROJ_TASK ,
			''              AS AMORTIZED,
      LO.LANGUAGE
			FROM FA_MASS_REVALUATIONS MR,
			FA_MASS_REVALUATION_RULES MRR,
			FA_BOOK_CONTROLS BC,
			FA_CATEGORIES_B FC ,
			FA_ADDITIONS_B AD,
			FA_SYSTEM_CONTROLS FSC,
      FA_LOOKUPS FL,
			FA_LOOKUPS_TL LO
			WHERE MR.MASS_REVAL_ID       = MRR.MASS_REVAL_ID(+)
			AND MR.BOOK_TYPE_CODE        = BC.BOOK_TYPE_CODE
			AND BC.BOOK_CLASS            = 'CORPORATE'
			AND BC.DATE_INEFFECTIVE     IS NULL
			AND MRR.CATEGORY_ID          = FC.CATEGORY_ID(+)
			AND MRR.ASSET_ID             = AD.ASSET_ID(+)
			AND MR.STATUS               &lt;&gt; ('COMPLETED')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 to_date('26-APR-20','DD-MON-RR HH24:MI:SS')
			AND MR.LAST_UPDATE_DATE      &lt; SYSDATE ))
      UNION ALL
			SELECT 'Asset Change' AS RECORD_TYPE,
			NVL(MC.CONCURRENT_REQUEST_ID,0)
			||'-'
			||MC.MASS_CHANGE_ID AS ECC_SPEC_ID,
			MC.LAST_UPDATE_DATE ECC_LAST_UPDATE_DATE,
			MC.CONCURRENT_REQUEST_ID REQUEST_NUM,
			MC.MASS_CHANGE_ID TRANS_NUM,
			NVL(BC.ORG_ID,-9999) AS ORG_ID,
			BC.BOOK_TYPE_CODE BOOK_CODE,
			BC.BOOK_TYPE_NAME BOOK_NAME,
			MC.TRANSACTION_DATE_ENTERED TRANS_DATE,
			''         AS ASSET_CATEGORY,
			''         AS MAJOR_CATEGORY,
			''         AS MINOR_CATEGORY,
			''         AS TRANS_DESCRIPTION ,
			LO.MEANING AS TRANS_STATUS ,
			MC.STATUS  AS TRANS_STATUS_CODE ,
			''         AS TRANSFER_TYPE ,
			(
			CASE
			WHEN MC.FROM_DATE_PLACED_IN_SERVICE &lt;&gt; MC.TO_DATE_PLACED_IN_SERVICE
			THEN
			(SELECT MEANING
			FROM FA_LOOKUPS_TL
			WHERE LOOKUP_TYPE='FA_ECC_MASS_CHANGE_TYPE'
			AND LOOKUP_CODE  ='DPIS_CHANGE'
      AND LANGUAGE = LO.LANGUAGE
			)
			||'|'
			ELSE ''
			END)
			|| (
			CASE
			WHEN MC.FROM_CONVENTION &lt;&gt; MC.TO_CONVENTION
			THEN
			(SELECT MEANING
			FROM FA_LOOKUPS_TL
			WHERE LOOKUP_TYPE='FA_ECC_MASS_CHANGE_TYPE'
			AND LOOKUP_CODE  ='PRORATE_CONVENTION_CHANGE'
      AND LANGUAGE = LO.LANGUAGE
			)
			||'|'
			ELSE ''
			END)
			|| (
			CASE
			WHEN MC.FROM_LIFE_IN_MONTHS &lt;&gt; MC.TO_LIFE_IN_MONTHS
			THEN
			(SELECT MEANING
			FROM FA_LOOKUPS_TL
			WHERE LOOKUP_TYPE='FA_ECC_MASS_CHANGE_TYPE'
			AND LOOKUP_CODE  ='ASSET_LIFE_CHANGE'
      AND LANGUAGE = LO.LANGUAGE
			)
			||'|'
			ELSE ''
			END)
			|| (
			CASE
			WHEN MC.FROM_METHOD_CODE &lt;&gt; MC.TO_METHOD_CODE
			THEN
			(SELECT MEANING
			FROM FA_LOOKUPS_TL
			WHERE LOOKUP_TYPE='FA_ECC_MASS_CHANGE_TYPE'
			AND LOOKUP_CODE  ='DEPRECIATION_METHOD_CHANGE'
      AND LANGUAGE = LO.LANGUAGE
			)
			||'|'
			ELSE ''
			END)
			|| (
			CASE
			WHEN MC.FROM_BASIC_RATE &lt;&gt; MC.FROM_ADJUSTED_RATE
			THEN
			(SELECT MEANING
			FROM FA_LOOKUPS_TL
			WHERE LOOKUP_TYPE='FA_ECC_MASS_CHANGE_TYPE'
			AND LOOKUP_CODE  ='DEPRECIATION_RATE_CHANGE'
      AND LANGUAGE = LO.LANGUAGE
			)
			||'|'
			ELSE ''
			END)
			|| (
			CASE
			WHEN MC.FROM_PRODUCTION_CAPACITY &lt;&gt; MC.TO_PRODUCTION_CAPACITY
			THEN
			(SELECT MEANING
			FROM FA_LOOKUPS_TL
			WHERE LOOKUP_TYPE='FA_ECC_MASS_CHANGE_TYPE'
			AND LOOKUP_CODE  ='PRODUCTION_CAPACITY_CHANGE'
      AND LANGUAGE = LO.LANGUAGE
			)
			||'|'
			ELSE ''
			END)
			|| (
			CASE
			WHEN MC.FROM_UOM &lt;&gt; MC.TO_UOM
			THEN
			(SELECT MEANING
			FROM FA_LOOKUPS_TL
			WHERE LOOKUP_TYPE='FA_ECC_MASS_CHANGE_TYPE'
			AND LOOKUP_CODE  ='UNIT_CHANGE'
      AND LANGUAGE = LO.LANGUAGE
			)
			||'|'
			ELSE ''
			END )
			|| (
			CASE
			WHEN MC.FROM_GROUP_ASSOCIATION &lt;&gt; MC.TO_GROUP_ASSOCIATION
			THEN
			(SELECT MEANING
			FROM FA_LOOKUPS_TL
			WHERE LOOKUP_TYPE='FA_ECC_MASS_CHANGE_TYPE'
			AND LOOKUP_CODE  ='GROUP_ASSOCIATION_CHANGE'
      AND LANGUAGE = LO.LANGUAGE
			)
			||'|'
			ELSE ''
			END)
			|| (
			CASE
			WHEN MC.FROM_SALVAGE_TYPE        &lt;&gt; MC.TO_SALVAGE_TYPE
			OR MC.FROM_PERCENT_SALVAGE_VALUE &lt;&gt; MC.TO_PERCENT_SALVAGE_VALUE
			OR MC.FROM_SALVAGE_VALUE         &lt;&gt; MC.FROM_SALVAGE_VALUE
			THEN
			(SELECT MEANING
			FROM FA_LOOKUPS_TL
			WHERE LOOKUP_TYPE='FA_ECC_MASS_CHANGE_TYPE'
			AND LOOKUP_CODE  ='SALVAGE_VALUE_CHANGE'
      AND LANGUAGE = LO.LANGUAGE
			)
			||'|'
			ELSE ''
			END)
			|| (
			CASE
			WHEN MC.FROM_DEPRN_LIMIT_TYPE &lt;&gt; MC.TO_DEPRN_LIMIT_TYPE
			OR MC.TO_DEPRN_LIMIT          &lt;&gt; MC.TO_DEPRN_LIMIT
			OR MC.FROM_DEPRN_LIMIT_AMOUNT &lt;&gt; MC.TO_DEPRN_LIMIT_AMOUNT
			THEN
			(SELECT MEANING
			FROM FA_LOOKUPS_TL
			WHERE LOOKUP_TYPE='FA_ECC_MASS_CHANGE_TYPE'
			AND LOOKUP_CODE  ='DEPRECIATION_LIMIT_CHANGE'
      AND LANGUAGE = LO.LANGUAGE
			)
			ELSE
			(SELECT MEANING
			FROM FA_LOOKUPS_TL
			WHERE LOOKUP_TYPE='FA_ECC_MASS_CHANGE_TYPE'
			AND LOOKUP_CODE  ='NO_CHANGE_DET'
      AND LANGUAGE = LO.LANGUAGE
			)
			END )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MC.AMORTIZE_FLAG AMORTIZED,
      LO.LANGUAGE
			FROM FA_MASS_CHANGES MC,
			FA_BOOK_CONTROLS BC,
      FA_LOOKUPS FL,
			FA_LOOKUPS_TL LO
			WHERE MC.BOOK_TYPE_CODE      = BC.BOOK_TYPE_CODE
			AND BC.BOOK_CLASS            = 'CORPORATE'
			AND BC.DATE_INEFFECTIVE     IS NULL
			AND MC.STATUS               &lt;&gt; 'COMPLETED'
			AND LO.LOOKUP_TYPE           ='MASS_TRX_STATUS'
			AND FL.LOOKUP_TYPE = lo.LOOKUP_TYPE
       AND FL.lookup_code = lo.lookup_code
			 and FL.enabled_flag='Y'
			AND MC.STATUS                = LO.LOOKUP_CODE
			AND ( ( to_date(to_char(MC.LAST_UPDATE_DATE,'DD-MON-RR HH24:MI:SS'),'DD-MON-RR HH24:MI:SS')&gt;=  to_date('26-APR-20','DD-MON-RR HH24:MI:SS')
			AND MC.LAST_UPDATE_DATE      &lt; SYSDATE ))
			UNION ALL
			SELECT 'Asset Reclass' AS RECORD_TYPE,
			  NVL(MR.CONCURRENT_REQUEST_ID, 0)
			  ||'-'
			  ||MR.MASS_RECLASS_ID AS ECC_SPEC_ID,
			  MR.LAST_UPDATE_DATE ECC_LAST_UPDATE_DATE,
			  MR.CONCURRENT_REQUEST_ID REQUEST_NUM,
			  MR.MASS_RECLASS_ID TRANS_NUM,
			  NVL(BC.ORG_ID,-9999) AS ORG_ID,
			  MR.BOOK_TYPE_CODE BOOK_CODE,
			  BC.BOOK_TYPE_NAME BOOK_NAME,
			  MR.TRANSACTION_DATE_ENTERED TRANS_DATE,
			  '' AS ASSET_CATEGORY,
			  '' AS MAJOR_CATEGORY,
			  '' AS MINOR_CATEGORY,
			  '' AS TRANS_DESCRIPTION ,
			  LO.MEANING TRANS_STATUS ,
			  MR.STATUS TRANS_STATUS_CODE ,
			  '' AS TRANSFER_TYPE ,
			  '' AS CHANGE_TYPE
			  /* UNION ATTRIBUTES*/
			  ,
			  ''            AS ASSET_NUMBER ,
			  ''            AS ASSET_DESCRIPTION ,
			  ''            AS ADDITION_ACCOUNTING_YEAR ,
			  ''            AS ADDITION_MONTH_YEAR ,
			  TO_NUMBER('') AS ADDITION_COST ,
			  TO_NUMBER('') AS ADDITION_UNITS ,
			  ''            AS ADDITION_SOURCE_NAME ,
			  TO_NUMBER('') AS ADDITION_BATCH_ID ,
			  TO_DATE('')   AS ADDITION_BATCH_DATE ,
			  ''            AS ADDITION_PO_NUMBER ,
			  TO_NUMBER('') AS ADDITION_INV_ID ,
			  ''            AS ADDITION_INV_NUMBER ,
			  TO_DATE('')   AS ADDITION_INV_DATE ,
			  TO_NUMBER('') AS ADDITION_INV_LINE_NUMBER ,
			  ''            AS ADDITION_INV_DESCRIPTION ,
			  ''            AS ADDITION_SUPPLIER_NUMBER ,
			  ''            AS ADDITION_SUPPLIER_NAME ,
			  ''            AS ADDITION_PROJ_NAME ,
			  ''            AS ADDITION_PROJ_TASK ,
			  MR.AMORTIZE_FLAG AMORTIZED,
        LO.LANGUAGE
			FROM FA_MASS_RECLASS MR,
			  FA_BOOK_CONTROLS BC,
        FA_LOOKUPS FL,
			  FA_LOOKUPS_TL LO
			WHERE MR.BOOK_TYPE_CODE      = BC.BOOK_TYPE_CODE
			AND BC.BOOK_CLASS            = 'CORPORATE'
			AND BC.DATE_INEFFECTIVE     IS NULL
			AND MR.STATUS               &lt;&gt; 'COMPLETED'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to_date('26-APR-20','DD-MON-RR HH24:MI:SS')
			AND MR.LAST_UPDATE_DATE      &lt; SYSDATE ))
			UNION ALL
			-- ASSET MASS RETIREMENTS
			SELECT 'Asset Retirement' AS RECORD_TYPE,
			NVL(MT.RETIRE_REQUEST_ID,0)
			||'-'
			||MT.MASS_RETIREMENT_ID AS ECC_SPEC_ID,
			MT.LAST_UPDATE_DATE ECC_LAST_UPDATE_DATE,
			MT.RETIRE_REQUEST_ID REQUEST_NUM,
			MT.MASS_RETIREMENT_ID TRANS_NUM,
			NVL(BC.ORG_ID,-9999) AS ORG_ID,
			MT.BOOK_TYPE_CODE BOOK_CODE,
			BC.BOOK_TYPE_NAME BOOK_NAME,
			MT.RETIREMENT_DATE TRANS_DATE,
			'' AS ASSET_CATEGORY,
			'' AS MAJOR_CATEGORY,
			'' AS MINOR_CATEGORY,
			'' AS TRANS_DESCRIPTION ,
			LO.MEANING TRANS_STATUS ,
			MT.STATUS TRANS_STATUS_CODE ,
			'' AS TRANSFER_TYPE ,
			''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LO.LANGUAGE
			FROM FA_MASS_RETIREMENTS MT,
			FA_BOOK_CONTROLS BC,
      FA_LOOKUPS FL,
			FA_LOOKUPS_TL LO
			WHERE MT.BOOK_TYPE_CODE      = BC.BOOK_TYPE_CODE
			AND BC.BOOK_CLASS            = 'CORPORATE'
			AND BC.DATE_INEFFECTIVE     IS NULL
			AND MT.STATUS               &lt;&gt; 'COMPLETED'
			AND LO.LOOKUP_TYPE           ='MASS_TRX_STATUS'
			AND FL.LOOKUP_TYPE = lo.LOOKUP_TYPE
       AND FL.lookup_code = lo.lookup_code
			 and FL.enabled_flag='Y'
			AND MT.STATUS                = LO.LOOKUP_CODE
			AND ( ( to_date(to_char(MT.LAST_UPDATE_DATE,'DD-MON-RR HH24:MI:SS'),'DD-MON-RR HH24:MI:SS') &gt;=  to_date('26-APR-20' ,'DD-MON-RR HH24:MI:SS')
			AND MT.LAST_UPDATE_DATE      &lt; SYSDATE ))
			UNION ALL
						SELECT 'Mass Additions' AS RECORD_TYPE,
			  MA.MASS_ADDITION_ID
			  || '' AS ECC_SPEC_ID,
			  NVL(MA.LAST_UPDATE_DATE,MA.CREATION_DATE) ECC_LAST_UPDATE_DATE,
			  TO_NUMBER('')         AS REQUEST_NUM,
			  TO_NUMBER('')         AS TRANS_NUM,
			  NVL(FBC.ORG_ID,-9999) AS ORG_ID,
			  MA.BOOK_TYPE_CODE     AS BOOK_CODE,
			  FBC.BOOK_TYPE_NAME BOOK_NAME,
			  MA.ACCOUNTING_DATE AS TRANS_DATE,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P_OUTPUT_TYPE=&gt;'DESCRIPTION') ) MAJOR_CATEGORY 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'MINOR_CATEGORY',
        P_SHOW_PARENT_SEGMENTS =&gt; 'N', P_OUTPUT_TYPE=&gt;'DESCRIPTION')) MINOR_CATEGORY,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'ALL', P_SHOW_PARENT_SEGMENTS =&gt; 'N',
        P_OUTPUT_TYPE=&gt;'DESCRIPTION')) ASSET_CATEGORY ,
			  '' AS TRANS_DESCRIPTION ,
			  LO.MEANING TRANS_STATUS ,
			  MA.QUEUE_NAME                         AS TRANS_STATUS_CODE ,
			  ''                                    AS TRANSFER_TYPE ,
			  ''                                    AS CHANGE_TYPE ,
			  MA.ASSET_NUMBER                       AS ASSET_NUMBER ,
			  MA.DESCRIPTION                        AS ASSET_DESCRIPTION ,
			  TO_CHAR(MA.ACCOUNTING_DATE,'YYYY')    AS ADDITION_ACCOUNTING_YEAR ,
			  TO_CHAR(MA.ACCOUNTING_DATE,'MM-YYYY') AS ADDITION_MONTH_YEAR ,
			  MA.FIXED_ASSETS_COST                  AS ADDITION_COST ,
			  MA.FIXED_ASSETS_UNITS                 AS ADDITION_UNITS ,
			  MA.FEEDER_SYSTEM_NAME                 AS ADDITION_SOURCE_NAME
			  ,
			  MA.CREATE_BATCH_ID     AS ADDITION_BATCH_ID ,
			  MA.CREATE_BATCH_DATE   AS ADDITION_BATCH_DATE ,
			  MA.PO_NUMBER           AS ADDITION_PO_NUMBER ,
			  MA.INVOICE_ID          AS ADDITION_INV_ID ,
			  MA.INVOICE_NUMBER      AS ADDITION_INV_NUMBER ,
			  MA.INVOICE_DATE        AS ADDITION_INV_DATE ,
			  MA.INVOICE_LINE_NUMBER AS ADDITION_INV_LINE_NUMBER ,
			  MA.DESCRIPTION         AS ADDITION_INV_DESCRIPTION ,
			  PO.SEGMENT1            AS ADDITION_SUPPLIER_NUMBER ,
			  PO.VENDOR_NAME         AS ADDITION_SUPPLIER_NAME
			  ,
			  PJ.NAME        AS ADDITION_PROJ_NAME ,
			  PT.TASK_NUMBER AS ADDITION_PROJ_TASK ,
			  MA.AMORTIZE_FLAG AMORTIZED,
        LO.LANGUAGE
			FROM AP_SUPPLIERS PO ,
			  FA_ADDITIONS_B AD ,
			  FA_MASS_ADDITIONS MA ,
			  FA_WARRANTIES WAR ,
			  FA_ADDITIONS_B GAD ,
			  PA_PROJECTS_ALL PJ ,
			  PA_TASKS PT ,
			  FA_CATEGORIES_B FC ,
			  FA_BOOK_CONTROLS FBC ,
			  FA_DEPRN_PERIODS FDP1 ,
			  FA_DEPRN_PERIODS FDP2 ,
			  GL_LEDGERS LGR ,
			  FA_SYSTEM_CONTROLS FSC ,
        FA_LOOKUPS FL,
			  FA_LOOKUPS_TL LO
			WHERE FBC.BOOK_TYPE_CODE        = FDP1.BOOK_TYPE_CODE
			AND FBC.BOOK_CLASS              = 'CORPORATE'
			AND FBC.DATE_INEFFECTIVE       IS NULL
			AND FBC.SET_OF_BOOKS_ID         = LGR.LEDGER_ID
			AND LGR.OBJECT_TYPE_CODE        = 'L'
			AND NVL(LGR.COMPLETE_FLAG, 'Y') = 'Y'
			AND FBC.LAST_PERIOD_COUNTER     = FDP1.PERIOD_COUNTER
			AND FBC.BOOK_TYPE_CODE          = FDP2.BOOK_TYPE_CODE
			AND FBC.LAST_PERIOD_COUNTER+1   = FDP2.PERIOD_COUNTER
			AND FBC.DATE_INEFFECTIVE       IS NULL
			AND MA.BOOK_TYPE_CODE           = FBC.BOOK_TYPE_CODE
			AND MA.ASSET_CATEGORY_ID        = FC.CATEGORY_ID (+)
			AND MA.PROJECT_ID               = PJ.PROJECT_ID ( + )
			AND MA.TASK_ID                  = PT.TASK_ID (    + )
			AND MA.PO_VENDOR_ID             = PO.VENDOR_ID (  + )
			AND MA.PARENT_ASSET_ID          = AD.ASSET_ID (   + )
			AND MA.WARRANTY_ID              = WAR.WARRANTY_ID (+)
			AND GAD.ASSET_ID (+)            = MA.GROUP_ASSET_ID
			AND NVL(MA.POSTING_STATUS, 'A')  not in   ('POSTED','SPLIT')
			 AND ma.queue_name = lo.lookup_code
			 AND lo.LOOKUP_TYPE   = 'QUEUE NAME'
       AND FL.LOOKUP_TYPE = lo.LOOKUP_TYPE
       AND FL.lookup_code = lo.lookup_code
			 and FL.enabled_flag='Y'
			AND MA.POST_BATCH_ID           IS NULL
			And ( (  to_date( to_char(Nvl(Ma.Last_Update_Date,Ma.Creation_Date),'DD-MON-RR HH24:MI:SS'),'DD-MON-RR HH24:MI:SS')    &gt;= to_date('26-APR-20','DD-MON-RR HH24:MI:SS')
			AND  NVL(MA.LAST_UPDATE_DATE,MA.CREATION_DATE)         &lt; SYSDATE )) and LO.language in ('US') )
      PIVOT (max(TRANS_STATUS) as TRANS_STATUS,
             max(TRANSFER_TYPE) as TRANSFER_TYPE,
             max(CHANGE_TYPE) as CHANGE_TYPE
            for LANGUAGE in ('US' "US"))</t>
  </si>
  <si>
    <t>SELECT mt.CONCURRENT_REQUEST_ID
						  ||'-'
						  ||mt.MASS_TRANSFER_ID AS ECC_SPEC_ID
						FROM FA_MASS_TRANSFERS mt,
						  FA_BOOK_CONTROLS bc,
						  FND_CONC_REQ_SUMMARY_V rs
						WHERE mt.book_type_code                         = bc.book_type_code
						AND bc.book_class                               = 'CORPORATE'
						AND bc.date_ineffective                        IS NULL
						AND mt.CONCURRENT_REQUEST_ID                    = rs.request_id
						AND NVL(rs.USER_CONCURRENT_PROGRAM_NAME, '$$') = 'Mass Transfer'
						And ( ( to_date(to_char(Rs.Actual_Completion_Date,'DD-MON-RR HH24:MI:SS'),'DD-MON-RR HH24:MI:SS')  &gt;=  to_date('26-APR-20','DD-MON-RR HH24:MI:SS')
						AND rs.ACTUAL_COMPLETION_DATE                   &lt; sysdate ))
						UNION ALL
						SELECT NVL(mr.last_request_id,0)
						  ||'-'
						  ||mr.mass_reval_id
						  ||'-'
						  ||mrr.ASSET_ID AS ECC_SPEC_ID
						  FROM fa_mass_revaluations mr,
						  FA_BOOK_CONTROLS bc,
						   FA_MASS_REVALUATION_RULES  mrr
						WHERE mr.book_type_code      = bc.book_type_code
						AND bc.book_class            = 'CORPORATE'
						AND bc.date_ineffective     IS NULL
						AND mr.status              = ('COMPLETED')
						and mr.mass_reval_id = mrr.mass_reval_id(+)
						And ( ( to_date(to_char(Mr.Last_Update_Date,'DD-MON-RR HH24:MI:SS'),'DD-MON-RR HH24:MI:SS') &gt;=  to_date('26-APR-20','DD-MON-RR HH24:MI:SS')
						AND mr.last_update_date      &lt; sysdate ))
						UNION ALL
						SELECT
						  NVL(mc.concurrent_request_id,0)
						  ||'-'
						  ||mc.mass_change_id AS ECC_SPEC_ID
						From Fa_Mass_Changes Mc,
						FA_BOOK_CONTROLS bc
						WHERE mc.book_type_code      = bc.book_type_code
						AND bc.book_class            = 'CORPORATE'
						AND bc.date_ineffective     IS NULL
						AND mc.status               = 'COMPLETED'
						And ( ( to_date(to_char(Mc.Last_Update_Date,'DD-MON-RR HH24:MI:SS'),'DD-MON-RR HH24:MI:SS') &gt;=  to_date('26-APR-20','DD-MON-RR HH24:MI:SS')
						AND mc.last_update_date     &lt; sysdate ))
						UNION ALL
						SELECT NVL(mr.concurrent_request_id, 0)
						  ||'-'
						  ||mr.MASS_RECLASS_ID AS ECC_SPEC_ID
						FROM FA_MASS_RECLASS mr,
						  FA_BOOK_CONTROLS bc
						WHERE mr.BOOK_TYPE_CODE      = bc.BOOK_TYPE_CODE
						AND bc.book_class            = 'CORPORATE'
						AND bc.date_ineffective     IS NULL
						AND mr.status              = 'COMPLETED'
						And ( ( to_date(to_char(Mr.Last_Update_Date,'DD-MON-RR HH24:MI:SS'),'DD-MON-RR HH24:MI:SS') &gt;=  to_date('26-APR-20','DD-MON-RR HH24:MI:SS')
						AND mr.last_update_date     &lt; sysdate))
						UNION ALL
						-- Asset Mass Retirements
						SELECT
						  NVL(mt.RETIRE_REQUEST_ID,0)
						  ||'-'
						  ||mt.MASS_RETIREMENT_ID AS ECC_SPEC_ID
						FROM FA_MASS_RETIREMENTS mt,
						  FA_BOOK_CONTROLS bc
						WHERE mt.BOOK_TYPE_CODE      = bc.BOOK_TYPE_CODE
						AND bc.book_class            = 'CORPORATE'
						AND bc.date_ineffective     IS NULL
						AND mt.status               = 'COMPLETED'
						And ( ( to_date(to_char(Mt.Last_Update_Date,'DD-MON-RR HH24:MI:SS'),'DD-MON-RR HH24:MI:SS') &gt;=  to_date('26-APR-20','DD-MON-RR HH24:MI:SS')
						AND mt.last_update_date      &lt; sysdate ))
						UNION ALL
						SELECT distinct ma.MASS_ADDITION_ID
						  || '' AS ECC_SPEC_ID
						FROM fa_mass_additions ma ,
						  FA_BOOK_CONTROLS fbc ,
						  FA_DEPRN_PERIODS fdp1 ,
						  FA_DEPRN_PERIODS fdp2 ,
						  GL_LEDGERS LGR
						WHERE ma.book_type_code         = fbc.book_type_code
						AND MA.POSTING_STATUS              IN  ('POSTED','SPLIT')
						AND fbc.book_class              = 'CORPORATE'
						AND fbc.date_ineffective       IS NULL
						AND fbc.set_of_books_id         = LGR.LEDGER_ID
						AND LGR.OBJECT_TYPE_CODE        = 'L'
						AND NVL(LGR.COMPLETE_FLAG, 'Y') = 'Y'
						AND fbc.last_period_counter     = fdp1.period_counter
						AND fbc.book_type_code          = fdp2.book_type_code
						AND fbc.last_period_counter+1   = fdp2.period_counter
						AND fbc.date_ineffective       IS NULL
            AND MA.post_batch_id           IS NULL
						And ( ( to_date(to_char(Ma.Last_Update_Date,'DD-MON-RR HH24:MI:SS'),'DD-MON-RR HH24:MI:SS')   &gt;=  to_date('26-APR-20','DD-MON-RR HH24:MI:SS')
						AND ma.last_update_date         &lt; sysdate ))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</si>
  <si>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to_date(to_char(to_timestamp('26-APR-20 06.48.04.000000 PM'),'DD-MON-YY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</si>
  <si>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to_date(to_char(to_timestamp('26-APR-20 06.48.04.000000 PM'),'DD-MON-YY HH24.MI.SS'),'DD-MON-YY HH24.MI.SS') </t>
  </si>
  <si>
    <t>select * from (SELECT   ECC_SPEC_ID,
 RECORD_TYPE,
 PERIOD_NAME,
 PERIOD_YEAR,
 CLOSING_STATUS,
 ledger_id,
 ledger_name,
 ledger_currency,
 operating_unit,
 org_id,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 gl_date,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AE_HEADER_ID,
 line_definition_code,
 line_definition_desc,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XLA_ACC_CODE ,
 XLA_ACC_DESCRIPTION,
 CURRENCY_CODE,
 ENTERED_DR,
 ENTERED_CR,
 ACCOUNTED_DR,
 ACCOUNTED_CR,
 LINES_DESCRIPTION,
 ecc_last_update_date,
 language
 FROM  (  select /*+ leading(ps) */
   acra.cash_receipt_id||'-'||acrha.CASH_RECEIPT_HISTORY_ID||'-'||xe.EVENT_ID||'-'||xe.event_number||'-'||XAH.AE_HEADER_ID||'-'||xal.AE_LINE_NUM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acra.RECEIPT_DATE transaction_date,
   acra.STATUS receipt_status,
      (select meaning from fnd_lookup_values where view_application_id =222 and lookup_type = 'PAYMENT_TYPE' and language=org.language and lookup_code = acra.STATUS)   receipt_status_desc,
   acra.TYPE transaction_type,
   acra.currency_code transaction_currency,
   acra.CONFIRMED_FLAG,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acrha.GL_DATE,
   xe.event_id,
    xe.EVENT_NUMBER,
    xe.EVENT_DATE,
   xe.EVENT_STATUS_CODE,
      (select meaning from fnd_lookup_values where view_application_id =602 and lookup_type = 'XLA_EVENT_STATUS' and language=org.language and lookup_code = xe.EVENT_STATUS_CODE)   EVENT_STATUS_DESC,
   DECODE(xe.PROCESS_STATUS_CODE,'Z','I',xe.PROCESS_STATUS_CODE) PROCESS_STATUS_CODE,
      (select meaning from fnd_lookup_values where view_application_id =602 and lookup_type = 'XLA_EVENT_PROCESS_STATUS' and language=org.language and lookup_code = DECODE(xe.PROCESS_STATUS_CODE,'Z','I',xe.PROCESS_STATUS_CODE) )
    	  PROCESS_STATUS_DESC ,
   xah.EVENT_TYPE_CODE,
      (select NAME from XLA_EVENT_TYPES_TL ett where application_id =222 and language=org.language AND xah.EVENT_TYPE_CODE = ett. EVENT_TYPE_CODE AND xte.ENTITY_CODE = ett.ENTITY_CODE)   EVENT_TYPE_DESC,
   xte.ENTITY_ID,
   xte.entity_code,
   xte.SOURCE_ID_INT_1,
     xdl.ACCOUNTING_LINE_CODE,
	  (select NAME from XLA_ACCT_LINE_TYPES_TL alt where application_id =222 and language=org.language AND xdl.ACCOUNTING_LINE_CODE = alt.ACCOUNTING_LINE_CODE)   ACCOUNTING_LINE_DESC,
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xah.AE_HEADER_ID,
   xah.GL_TRANSFER_STATUS_CODE,
       (select meaning from fnd_lookup_values where view_application_id =602 and lookup_type = 'GL_TRANSFER_FLAG' and language=org.language and lookup_code = xah.GL_TRANSFER_STATUS_CODE) GL_TRANSFER_STATUS_DESC,
   xah.ACCOUNTING_ENTRY_STATUS_CODE,
       (select meaning from fnd_lookup_values where view_application_id =602 and lookup_type = 'XLA_ACCOUNTING_ENTRY_STATUS' and language=org.language and lookup_code = xah.ACCOUNTING_ENTRY_STATUS_CODE) ACCOUNTING_ENTRY_STATUS_DESC,
   xah.ACCOUNTING_ENTRY_TYPE_CODE,
       (select meaning from fnd_lookup_values where view_application_id =602 and lookup_type = 'XLA_ACCOUNTING_ENTRY_TYPE' and language=org.language and lookup_code = xah.ACCOUNTING_ENTRY_TYPE_CODE) ACCOUNTING_ENTRY_TYPE_DESC,
   xah.JE_CATEGORY_NAME,
       (select DESCRIPTION from GL_JE_CATEGORIES_TL jct where language=org.language and xah.JE_CATEGORY_NAME = jct.JE_CATEGORY_NAME) JE_CATEGORY_NAME_DESC,
   xah.DESCRIPTION HEADER_DESCRIPTION,
   xah.BALANCE_TYPE_CODE,
       (select meaning from fnd_lookup_values where view_application_id =602 and lookup_type = 'XLA_BALANCE_TYPE' and language=org.language and lookup_code = xah.BALANCE_TYPE_CODE) BALANCE_TYPE_DESC,
   xah.PERIOD_NAME gl_period_name,
   xal.ACCOUNTING_DATE,
   xal.AE_LINE_NUM,
   xal.DISPLAYED_LINE_NUMBER,
   xal.ACCOUNTING_CLASS_CODE,
       (select meaning from fnd_lookup_values where view_application_id =602 and lookup_type = 'XLA_ACCOUNTING_CLASS'  and language=org.language and lookup_code = xal.ACCOUNTING_CLASS_CODE) ACCOUNTING_CLASS_DESC,
   xal.BUSINESS_CLASS_CODE,
       (select meaning from fnd_lookup_values where view_application_id =602 and lookup_type = 'XLA_BUSINESS_FLOW_CLASS'  and language=org.language and lookup_code = xal.BUSINESS_CLASS_CODE) BUSINESS_CLASS_DESC,
   xal.CODE_COMBINATION_ID,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cc,
   hr_all_organization_units_tl org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acra.org_id =org.Organization_Id
  AND xal.CODE_COMBINATION_ID = cc.CODE_COMBINATION_ID
  and led.CHART_OF_ACCOUNTS_ID = cc.CHART_OF_ACCOUNTS_ID
  and cc.ENABLED_FLAG = 'Y'  AND ( xe.last_update_date    &gt;= to_date('26-APR-20','DD-MON-RR HH24:MI:SS') )  ) acc_unappld_rcpt where acc_unappld_rcpt.language in ('US')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EVENT_TYPE_DESC,MAX ( accounting_line_desc ) AS accounting_line_desc,
   max(GL_TRANSFER_STATUS_DESC) as GL_TRANSFER_STATUS_DESC, max(ACCOUNTING_ENTRY_STATUS_DESC) as ACCOUNTING_ENTRY_STATUS_DESC, max(EVENT_CLASS_DESC) as EVENT_CLASS_DESC,MAX ( line_definition_desc ) AS line_definition_desc,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</si>
  <si>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ECC_SPEC_ID,
 RECORD_TYPE,
 PERIOD_NAME,
 PERIOD_YEAR,
 CLOSING_STATUS,
 ledger_id,
 ledger_name,
 ledger_currency,
 org_id,
 operating_unit,
 set_of_books_id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-- RECEIVABLE_APPLICATION_ID,
 GL_DATE,
 XLA_ACC_CODE ,
 XLA_ACC_DESCRIPTION,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LINE_DEFINITION_CODE,
 LINE_DEFINITION_DESC,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ecc_last_update_date,
 language
 FROM (  select  /*+ leading(ps) */
       acra.cash_receipt_id||'-'||acrha.CASH_RECEIPT_HISTORY_ID||'-'||xe.EVENT_ID||'-'||xe.EVENT_NUMBER||'-'||XAl.AE_HEADER_ID||'-'||XAL.AE_LINE_NUM  as ECC_SPEC_ID,
       'RCPT' RECORD_TYPE,
	   ps.PERIOD_NAME,
       ps.PERIOD_YEAR,
       ps.CLOSING_STATUS,
       led.ledger_id,
       led.name ledger_name,
       led.currency_code ledger_currency,
       acra.org_id,
       org.name operating_unit,
       acra.set_of_books_id,
       acra.CASH_RECEIPT_ID,
       acra.AMOUNT,
       acra.amount * Nvl(acra.exchange_rate, 1) accounted_amount,
       acra.RECEIPT_NUMBER transaction_number,
       acra.RECEIPT_DATE transaction_date,
       acra.STATUS receipt_status,
       (select meaning from fnd_lookup_values where view_application_id =222 and lookup_type = 'PAYMENT_TYPE'  and language=org.language and lookup_code = acra.STATUS)   receipt_status_desc,
       acra.TYPE transaction_type,
       acra.currency_code transaction_currency,
       acra.CONFIRMED_FLAG,
       acrha.CASH_RECEIPT_HISTORY_ID,
       acrha.STATUS rcpt_hstry_status,
	   (select meaning from fnd_lookup_values where view_application_id =222 and lookup_type = 'RECEIPT_CREATION_STATUS'  and language=org.language and lookup_code = acrha.STATUS)   rcpt_hstry_status_desc,
       acrha.CREATED_FROM,
       acrha.REVERSAL_CREATED_FROM,
--        arp.RECEIVABLE_APPLICATION_ID,
        acrha.GL_DATE,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xe.event_id,
      xe.EVENT_NUMBER,
      xe.EVENT_DATE,
     xte.ENTITY_ID,
     xte.ENTITY_CODE,
     xte.SOURCE_ID_INT_1,
      xe.EVENT_STATUS_CODE,
      (select meaning from fnd_lookup_values where view_application_id =602 and lookup_type = 'XLA_EVENT_STATUS'
               and language=org.language and lookup_code = xe.EVENT_STATUS_CODE)   EVENT_STATUS_DESC,
      DECODE(xe.PROCESS_STATUS_CODE,'Z','I',xe.PROCESS_STATUS_CODE) PROCESS_STATUS_CODE,
      (select meaning from fnd_lookup_values where view_application_id =602 and lookup_type = 'XLA_EVENT_PROCESS_STATUS'
               and language=org.language and lookup_code = DECODE(xe.PROCESS_STATUS_CODE,'Z','I',xe.PROCESS_STATUS_CODE) )   PROCESS_STATUS_DESC ,
    xah.EVENT_TYPE_CODE,
      (select NAME from XLA_EVENT_TYPES_TL ett where application_id =222 and language=org.language AND xah.EVENT_TYPE_CODE = ett. EVENT_TYPE_CODE AND xte.ENTITY_CODE = ett.ENTITY_CODE)   EVENT_TYPE_DESC,
 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(select meaning from fnd_lookup_values where view_application_id =602 and lookup_type = 'GL_TRANSFER_FLAG'  and language=org.language and lookup_code = xah.GL_TRANSFER_STATUS_CODE) GL_TRANSFER_STATUS_DESC,
    xah.ACCOUNTING_ENTRY_STATUS_CODE,
      (select meaning from fnd_lookup_values where view_application_id =602 and lookup_type = 'XLA_ACCOUNTING_ENTRY_STATUS'  and language=org.language and lookup_code = xah.ACCOUNTING_ENTRY_STATUS_CODE) ACCOUNTING_ENTRY_STATUS_DESC,
    xah.ACCOUNTING_ENTRY_TYPE_CODE,
      (select meaning from fnd_lookup_values where view_application_id =602 and lookup_type = 'XLA_ACCOUNTING_ENTRY_TYPE'  and language=org.language and lookup_code = xah.ACCOUNTING_ENTRY_TYPE_CODE) ACCOUNTING_ENTRY_TYPE_DESC,
    xah.JE_CATEGORY_NAME,
      (select DESCRIPTION from GL_JE_CATEGORIES_TL jct where language=org.language and xah.JE_CATEGORY_NAME = jct.JE_CATEGORY_NAME) JE_CATEGORY_NAME_DESC,
    xah.DESCRIPTION HEADER_DESCRIPTION,
    xah.BALANCE_TYPE_CODE,
      (select meaning from fnd_lookup_values where view_application_id =602 and lookup_type = 'XLA_BALANCE_TYPE' and language=org.language and lookup_code = xah.BALANCE_TYPE_CODE) BALANCE_TYPE_DESC,
    xah.PERIOD_NAME gl_period_name,
    xal.ACCOUNTING_DATE,
    xal.AE_LINE_NUM,
    xal.DISPLAYED_LINE_NUMBER,
    xal.ACCOUNTING_CLASS_CODE,
      (select meaning from fnd_lookup_values where view_application_id =602 and lookup_type = 'XLA_ACCOUNTING_CLASS'  and language=org.language and lookup_code = xal.ACCOUNTING_CLASS_CODE) ACCOUNTING_CLASS_DESC,
    xal.BUSINESS_CLASS_CODE,
      (select meaning from fnd_lookup_values where view_application_id =602 and lookup_type = 'XLA_BUSINESS_FLOW_CLASS' 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   GL_CODE_COMBINATIONS cc,
   -- XLA
   xla_distribution_links xdl,
   xla_transaction_entities xte,
   xla_events xe,
   xla_ae_headers xah,
   xla_ae_lines xal,
   gl_ledgers led,
   hr_all_organization_units_tl org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 -- new condition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   AND xah.GL_TRANSFER_STATUS_CODE &lt;&gt; 'Y'
   AND XAH.EVENT_ID = XE.EVENT_ID
   AND XAH.APPLICATION_ID = XE.APPLICATION_ID
   and xal.DISPLAYED_LINE_NUMBER &gt;=0 -- new concition
   AND Led.Ledger_Id  = acra.Set_Of_Books_Id
   and acra.org_id =ORG.Organization_Id
   AND xal.CODE_COMBINATION_ID = cc.CODE_COMBINATION_ID
   and led.CHART_OF_ACCOUNTS_ID = cc.CHART_OF_ACCOUNTS_ID
   and cc.ENABLED_FLAG = 'Y'  AND ( xe.last_update_date    &gt;= to_date('26-APR-20','DD-MON-RR HH24:MI:SS') )  ) acc_appld_rcpt where acc_appld_rcpt.language in ('US') 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
   max(ACCOUNTING_LINE_DESC) as ACCOUNTING_LINE_DESC, max(EVENT_CLASS_DESC) as EVENT_CLASS_DESC, max(LINE_DEFINITION_DESC) as LINE_DEFINITION_DESC,
  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</si>
  <si>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 ECC_SPEC_ID,
 RECORD_TYPE,
 PERIOD_NAME,
 PERIOD_YEAR,
 CLOSING_STATUS,
 ledger_id,
 ledger_name,
 ledger_currency,
 org_id,
 operating_unit,
 set_of_books_id,
 CASH_RECEIPT_ID,
 AMOUNT,
 accounted_amount,
 transaction_number,
 transaction_date,
 receipt_status,
 receipt_status_desc,
  transaction_type,
 transaction_currency,
 CONFIRMED_FLAG,
 GL_DATE,
 cash_receipt_history_id,
 rcpt_hstry_status,
 rcpt_hstry_status_desc,
 CREATED_FROM,
 REVERSAL_CREATED_FROM,
 event_id,
 EVENT_NUMBER,
 EVENT_DATE,
 EVENT_TYPE_CODE,
 EVENT_TYPE_DESC,
 EVENT_STATUS_CODE,
 EVENT_STATUS_DESC,
 PROCESS_STATUS_CODE ,
 PROCESS_STATUS_DESC,
 ENTITY_ID,
 ENTITY_CODE,
 source_id_int_1,
 ecc_last_update_date,
 language
 FROM  (  select  /*+ leading(ps)*/
   acra.cash_receipt_id||'-'||acrha.CASH_RECEIPT_HISTORY_ID||'-'||xe.EVENT_ID||'-'||xe.EVENT_NUMBER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acra.currency_code transaction_currency,
   acra.receipt_date transaction_date,
   acra.STATUS receipt_status,
       (select meaning from fnd_lookup_values where view_application_id =222 and lookup_type = 'PAYMENT_TYPE'  and language=org.language and lookup_code = acra.STATUS)   receipt_status_desc,
   acra.TYPE transaction_type,
   acra.CONFIRMED_FLAG,
   acrha.GL_DATE,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xe.event_id,
   xe.EVENT_NUMBER,
   xe.EVENT_DATE,
   xe.EVENT_TYPE_CODE,
   	   (select NAME from XLA_EVENT_TYPES_TL ett where application_id =222 and language=org.language AND xe.EVENT_TYPE_CODE = ett. EVENT_TYPE_CODE AND xte.ENTITY_CODE = ett.ENTITY_CODE)   EVENT_TYPE_DESC,
   xe.EVENT_STATUS_CODE,
      (select meaning from fnd_lookup_values where view_application_id =602 and lookup_type = 'XLA_EVENT_STATUS' and language=org.language and lookup_code = xe.EVENT_STATUS_CODE)   EVENT_STATUS_DESC,
   xe.PROCESS_STATUS_CODE,
      (select meaning from fnd_lookup_values where view_application_id =602 and lookup_type = 'XLA_EVENT_PROCESS_STATUS'  and language=org.language and lookup_code = xe.PROCESS_STATUS_CODE )   PROCESS_STATUS_DESC ,
   xte.ENTITY_ID,
   xte.ENTITY_CODE,
   xte.SOURCE_ID_INT_1,
 --  arp.RECEIVABLE_APPLICATION_ID
   xe.last_update_date ecc_last_update_date,
   org.language
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	AND xe.event_status_code = 'U'
    and xe.PROCESS_STATUS_CODE = 'U'
    AND xte.ENTITY_ID = xe.ENTITY_ID
    AND Led.Ledger_Id  = acra.Set_Of_Books_Id
    and acra.org_id =org.Organization_Id
	and xe.application_id  = xte.application_id  AND ( xe.last_update_date    &gt;= to_date('26-APR-20','DD-MON-RR HH24:MI:SS') )  )  unacc_rcpt where unacc_rcpt.language in ('US')  )
	 PIVOT(max(OPERATING_UNIT) as OPERATING_UNIT, max(EVENT_STATUS_DESC) as EVENT_STATUS_DESC, max(PROCESS_STATUS_DESC) as PROCESS_STATUS_DESC,max(EVENT_TYPE_DESC) as EVENT_TYPE_DESC,
  max(receipt_status_desc) as receipt_status_desc, max(rcpt_hstry_status_desc) as rcpt_hstry_status_desc
  for LANGUAGE in ('US' "US"))</t>
  </si>
  <si>
    <t>select * from (SELECT  ECC_SPEC_ID,
 RECORD_TYPE,
 PERIOD_NAME,
 PERIOD_YEAR,
 CLOSING_STATUS,
 ledger_id,
 ledger_name,
 ledger_currency,
 org_id,
operating_unit,
 set_of_books_id,
 customer_trx_id,
 amount,
 accounted_amount,
 transaction_number,
 transaction_date,
 transaction_currency,
 transaction_type,
 invoicing_rule_id,
 invoicing_rule,
 XLA_ACC_CODE ,
 XLA_ACC_DESCRIPTION,
 CUST_TRX_LINE_GL_DIST_ID,
 bill_to_customer_id,
 account_number,
 bill_to_customer,
 bill_to_location,
 payment_schedule_id,
 gl_date,
 event_id,
 event_number,
 event_date,
 EVENT_STATUS_CODE,
 EVENT_STATUS_DESC,
 PROCESS_STATUS_CODE,
 PROCESS_STATUS_DESC,
 ACCOUNTING_LINE_CODE,
 ACCOUNTING_LINE_DESC,
 SOURCE_DISTRIBUTION_TYPE,
 EVENT_CLASS_CODE,
 EVENT_CLASS_DESC,
 LINE_DEFINITION_CODE,
 LINE_DEFINITION_DESC,
 EVENT_TYPE_CODE,
 EVENT_TYPE_DESC,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ENTITY_ID,
 ENTITY_CODE,
 SOURCE_ID_INT_1,
 ecc_last_update_date,
 language
 FROM ( select  /*+ leading (ps)*/
       rct.customer_trx_id||'-'||ragd.CUST_TRX_LINE_GL_DIST_ID||'-'||xe.EVENT_ID||'-'||xe.EVENT_NUMBER||'-'||XAL.AE_HEADER_ID||'-'||XAL.AE_LINE_NUM as ECC_SPEC_ID,
       'TRX' RECORD_TYPE,
       ps.PERIOD_NAME,
       ps.PERIOD_YEAR,
       ps.CLOSING_STATUS,
       led.ledger_id,
       led.name ledger_name,
       led.currency_code ledger_currency,
       rct.org_id,
       org.name operating_unit,
       rct.set_of_books_id,
       rct.customer_trx_id,
       arp.AMOUNT_DUE_ORIGINAL amount,
       arp.amount_due_original*nvl(arp.exchange_rate,1) ACCOUNTED_AMOUNT,
       rct.TRX_NUMBER transaction_number,
       rct.TRX_DATE transaction_date,
       rctt.name transaction_type,
       rct.INVOICE_CURRENCY_CODE transaction_currency,
       rct.INVOICING_RULE_ID,
	   rr.NAME invoicing_rule,
      rct.bill_to_customer_id,
      b_bill.account_number account_number,
      b_bill_party.party_name bill_to_customer,
      u_bill.location bill_to_location,
      arp.PAYMENT_SCHEDULE_ID,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ragd.CUST_TRX_LINE_GL_DIST_ID,
      arp.gl_date,
      xe.event_id,
    xe.EVENT_NUMBER,
    xe.EVENT_DATE,
    xe.EVENT_STATUS_CODE,
      (select meaning from fnd_lookup_values where view_application_id =602 and lookup_type = 'XLA_EVENT_STATUS'  and language=org.language and lookup_code = xe.EVENT_STATUS_CODE)   EVENT_STATUS_DESC,
    DECODE(xe.PROCESS_STATUS_CODE,'Z','I',xe.PROCESS_STATUS_CODE) PROCESS_STATUS_CODE,
      (select meaning from fnd_lookup_values where view_application_id =602 and lookup_type = 'XLA_EVENT_PROCESS_STATUS'  and language=org.language and lookup_code = DECODE(xe.PROCESS_STATUS_CODE,'Z','I',xe.PROCESS_STATUS_CODE))
    	  PROCESS_STATUS_DESC ,
    xah.EVENT_TYPE_CODE,
      (select NAME from XLA_EVENT_TYPES_TL ett where application_id =222 and language=org.language AND xah.EVENT_TYPE_CODE = ett. EVENT_TYPE_CODE AND xte.ENTITY_CODE = ett.ENTITY_CODE)   EVENT_TYPE_DESC,
    xte.ENTITY_ID,
    xte.ENTITY_CODE,
    xte.SOURCE_ID_INT_1,
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 (select meaning from fnd_lookup_values where view_application_id =602 and lookup_type = 'GL_TRANSFER_FLAG' and language=org.language and lookup_code = xah.GL_TRANSFER_STATUS_CODE) GL_TRANSFER_STATUS_DESC,
    xah.ACCOUNTING_ENTRY_STATUS_CODE,
       (select meaning from fnd_lookup_values where view_application_id =602 and lookup_type = 'XLA_ACCOUNTING_ENTRY_STATUS' and language=org.language and lookup_code = xah.ACCOUNTING_ENTRY_STATUS_CODE) ACCOUNTING_ENTRY_STATUS_DESC,
    xah.ACCOUNTING_ENTRY_TYPE_CODE,
       (select meaning from fnd_lookup_values where view_application_id =602 and lookup_type = 'XLA_ACCOUNTING_ENTRY_TYPE' and language=org.language and lookup_code = xah.ACCOUNTING_ENTRY_TYPE_CODE) ACCOUNTING_ENTRY_TYPE_DESC,
    xah.JE_CATEGORY_NAME,
       (select DESCRIPTION from GL_JE_CATEGORIES_TL jct where language=org.language and xah.JE_CATEGORY_NAME = jct.JE_CATEGORY_NAME) JE_CATEGORY_NAME_DESC,
    xah.DESCRIPTION HEADER_DESCRIPTION,
    xah.BALANCE_TYPE_CODE,
       (select meaning from fnd_lookup_values where view_application_id =602 and lookup_type = 'XLA_BALANCE_TYPE'   and language=org.language and lookup_code = xah.BALANCE_TYPE_CODE) BALANCE_TYPE_DESC,
    xah.PERIOD_NAME gl_period_name,
    xal.ACCOUNTING_DATE,
    xal.AE_LINE_NUM,
    xal.DISPLAYED_LINE_NUMBER,
    xal.ACCOUNTING_CLASS_CODE,
        (select meaning from fnd_lookup_values where view_application_id =602 and lookup_type = 'XLA_ACCOUNTING_CLASS'  and language=org.language and lookup_code = xal.ACCOUNTING_CLASS_CODE) ACCOUNTING_CLASS_DESC,
    xal.BUSINESS_CLASS_CODE,
        (select meaning from fnd_lookup_values where view_application_id =602 and lookup_type = 'XLA_BUSINESS_FLOW_CLASS'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 gl_period_statuses ps,
    -- Receivables Tables
    ra_customer_trx_all rct,
    ra_cust_trx_line_gl_dist_all ragd,
	ra_cust_trx_types_all rctt,
    AR_PAYMENT_SCHEDULES_ALL arp,
    -- XLA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hr_all_organization_units_tl org,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   AND xah.GL_TRANSFER_STATUS_CODE &lt;&gt; 'Y'
	and xah.ACCOUNTING_ENTRY_STATUS_CODE &lt;&gt; 'N'
    and xal.DISPLAYED_LINE_NUMBER &gt;=0
    AND XE.EVENT_ID = XAH.EVENT_ID
    AND XAH.APPLICATION_ID = XE.APPLICATION_ID
    AND Led.Ledger_Id  = rct.Set_Of_Books_Id
    and rct.org_id =org.Organization_Id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to_date('26-APR-20','DD-MON-RR HH24:MI:SS') )  )  acc_trx where acc_trx.language in ('US')  )
    PIVOT(max(OPERATING_UNIT) as OPERATING_UNIT, max(EVENT_STATUS_DESC) as EVENT_STATUS_DESC, max(PROCESS_STATUS_DESC) as PROCESS_STATUS_DESC,
   max(ACCOUNTING_LINE_DESC) as ACCOUNTING_LINE_DESC, max(EVENT_CLASS_DESC) as EVENT_CLASS_DESC, max(LINE_DEFINITION_DESC) as LINE_DEFINITION_DESC,
   max(EVENT_TYPE_DESC) as EVENT_TYPE_DESC,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</si>
  <si>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 xml:space="preserve">select * from (SELECT ECC_SPEC_ID,
RECORD_TYPE,
PERIOD_NAME,
PERIOD_YEAR,
CLOSING_STATUS,
LEDGER_ID,
LEDGER_NAME,
LEDGER_CURRENCY,
ORG_ID,
OPERATING_UNIT,
set_of_books_id,
BILL_TO_CUSTOMER_ID,
ACCOUNT_NUMBER,
BILL_TO_CUSTOMER,
BILL_TO_LOCATION,
CUSTOMER_TRX_ID,
PAYMENT_SCHEDULE_ID,
TRANSACTION_TYPE,
transaction_number,
transaction_date,
transaction_currency,
INVOICING_RULE_ID,
INVOICING_RULE,
AMOUNT,
ACCOUNTED_AMOUNT,
GL_DATE,
EVENT_ID,
EVENT_NUMBER,
EVENT_DATE,
EVENT_TYPE_CODE,
EVENT_TYPE_DESC,
EVENT_STATUS_DESC,
EVENT_STATUS_CODE,
PROCESS_STATUS_CODE,
PROCESS_STATUS_DESC,
ENTITY_ID,
ENTITY_CODE,
SOURCE_ID_INT_1,
ECC_LAST_UPDATE_DATE,
LANGUAGE
FROM (  select -- /*+ leading (ps)*/
    rct.customer_trx_id||'-'||arp.PAYMENT_SCHEDULE_ID||'-'||xe.event_id||'-'||xe.EVENT_NUMBER as ECC_SPEC_ID,
	'TRX' RECORD_TYPE,
    ps.PERIOD_NAME,
    ps.PERIOD_YEAR,
    ps.CLOSING_STATUS,
    led.ledger_id,
    led.name ledger_name,
    led.currency_code ledger_currency,
    rct.org_id,
    ORG.name operating_unit,
    rct.bill_to_customer_id,
    b_bill.account_number,
    b_bill_party.party_name bill_to_customer,
    u_bill.location bill_to_location,
    rct.customer_trx_id,
    arp.PAYMENT_SCHEDULE_ID,
    rctt.name transaction_type,
    rct.set_of_books_id,
    rct.TRX_NUMBER transaction_number,
    rct.TRX_DATE transaction_date,
    rct.INVOICE_CURRENCY_CODE transaction_currency,
    rct.INVOICING_RULE_ID,
    rr.NAME invoicing_rule,
    arp.AMOUNT_DUE_ORIGINAL amount,
    arp.amount_due_original*nvl(arp.exchange_rate,1) ACCOUNTED_AMOUNT,
    arp.gl_date,
    xe.event_id,
    xe.EVENT_NUMBER,
    xe.EVENT_DATE,
    xe.EVENT_TYPE_CODE,
	   (select NAME from XLA_EVENT_TYPES_TL ett where application_id =222 and language=org.language AND xe.EVENT_TYPE_CODE = ett. EVENT_TYPE_CODE AND xte.ENTITY_CODE = ett.ENTITY_CODE)   EVENT_TYPE_DESC,
	xe.EVENT_STATUS_CODE,
    EVENT_STATUS.meaning EVENT_STATUS_DESC,
	xe.PROCESS_STATUS_CODE,
    PROCESS_STATUS.meaning PROCESS_STATUS_DESC,
    xte.ENTITY_ID,
    xte.ENTITY_CODE,
    xte.SOURCE_ID_INT_1,
    xe.last_update_date ecc_last_update_date,
    ORG.LANGUAGE
from
    gl_period_statuses ps,
    ra_customer_trx_all rct,
    ra_cust_trx_types_all rctt,
    AR_PAYMENT_SCHEDULES_ALL arp,
    xla_transaction_entities xte,
    xla_events xe,
    gl_ledgers led,
    hr_all_organization_units_tl org,
    hz_cust_accounts b_bill,
    hz_parties b_bill_party,
    HZ_CUST_SITE_USES_ALL u_bill,
    RA_RULES rr  ,
    FND_LOOKUP_VALUES    EVENT_STATUS,
    FND_LOOKUP_VALUES    PROCESS_STATUS
where
    ps.application_id=222
    AND ps.SET_OF_BOOKS_ID = rct.SET_OF_BOOKS_ID
    AND xe.EVENT_DATE between ps.START_DATE and ps.END_DATE
    AND ps.CLOSING_STATUS = 'O'
    and rct.complete_flag = 'Y'
    and rct.CUSTOMER_TRX_ID = arp.CUSTOMER_TRX_ID
    AND rct.cust_trx_type_id = rctt.cust_trx_type_id
    and rr.RULE_ID (+)= rct.INVOICING_RULE_ID
    AND rct.org_id = rctt.org_id
    and xe.application_id = 222
    AND xte.ENTITY_ID = xe.ENTITY_ID
    and xe.application_id = xte.application_id
    AND xe.EVENT_STATUS_CODE  = 'U'
    AND xe.PROCESS_STATUS_CODE = 'U'
    and xte.source_application_id = 222
    AND rct.CUSTOMER_TRX_ID = xte.SOURCE_ID_INT_1
    AND Led.Ledger_Id  = rct.Set_Of_Books_Id
    and rct.org_id = ORG.Organization_Id
    AND rct.bill_to_customer_id = b_bill.cust_account_id
    AND b_bill.party_id = b_bill_party.party_id
    AND rct.bill_to_site_use_id = u_bill.site_use_id
    AND rct.org_id = u_bill.org_id
    AND EVENT_STATUS.lookup_code = XE.EVENT_STATUS_CODE
    and EVENT_STATUS.language = ORG.language
    and EVENT_STATUS.VIEW_APPLICATION_ID  = 602
    and EVENT_STATUS.lookup_type = 'XLA_EVENT_STATUS'
    and process_status.lookup_code = xe.PROCESS_STATUS_CODE
    and PROCESS_STATUS.language = ORG.language
    and PROCESS_STATUS.VIEW_APPLICATION_ID  = 602
    and process_status.lookup_type = 'XLA_EVENT_PROCESS_STATUS'  AND ( xe.last_update_date    &gt;= to_date('26-APR-20','DD-MON-RR HH24:MI:SS') )  ) unacc_trx where unacc_trx.language in ('US')  )
    	PIVOT(max(OPERATING_UNIT) as OPERATING_UNIT, max(EVENT_STATUS_DESC) as EVENT_STATUS_DESC, max(PROCESS_STATUS_DESC) as PROCESS_STATUS_DESC
        , max(EVENT_TYPE_DESC) as EVENT_TYPE_DESC
  for LANGUAGE in ('US' "US"))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</si>
  <si>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--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xal.CODE_COMBINATION_ID = cc.CODE_COMBINATION_ID
  and led.CHART_OF_ACCOUNTS_ID = cc.CHART_OF_ACCOUNTS_ID
  and cc.ENABLED_FLAG = 'Y' AND ( xe.last_update_date    &gt;= to_date('26-APR-20','DD-MON-RR HH24:MI:SS') 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</si>
  <si>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   GL_CODE_COMBINATIONS cc,
   xla_distribution_links xdl,
   xla_transaction_entities xte,
   xla_events xe,
   xla_ae_headers xah,
   xla_ae_lines xal,
   gl_ledgers led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--   AND xah.GL_TRANSFER_STATUS_CODE &lt;&gt; 'Y'
   AND XAH.EVENT_ID = XE.EVENT_ID
   AND XAH.APPLICATION_ID = XE.APPLICATION_ID
   and xal.DISPLAYED_LINE_NUMBER &gt;=0
   AND Led.Ledger_Id  = acra.Set_Of_Books_Id
   AND xal.CODE_COMBINATION_ID = cc.CODE_COMBINATION_ID
   and led.CHART_OF_ACCOUNTS_ID = cc.CHART_OF_ACCOUNTS_ID
   and cc.ENABLED_FLAG = 'Y'  AND ( xe.last_update_date    &gt;= to_date('26-APR-20','DD-MON-RR HH24:MI:SS') ) </t>
  </si>
  <si>
    <t xml:space="preserve"> SELECT acra.cash_receipt_id||'-'||acrha.CASH_RECEIPT_HISTORY_ID||'-'||xe.EVENT_ID||'-'||xe.EVENT_NUMBER as ECC_SPEC_ID
    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--	AND xe.event_status_code = 'U'
    AND xe.process_status_code &lt;&gt; 'U'
    AND xte.ENTITY_ID = xe.ENTITY_ID
    AND Led.Ledger_Id  = acra.Set_Of_Books_Id
    and acra.org_id =org.Organization_Id
	and xe.application_id  = xte.application_id  AND ( xe.last_update_date    &gt;= to_date('26-APR-20','DD-MON-RR HH24:MI:SS') ) </t>
  </si>
  <si>
    <t xml:space="preserve">SELECT /*+ LEADING(ps) */
                                 'ECC_SPEC_ID' as ATTRIBUTE_NAME,
                                   rct.customer_trx_id as ATTRIBUTE_VALUE,
                                  'LIKE' AS OPERATOR  from
    gl_period_statuses ps,
    ra_customer_trx_all rct,
    ra_cust_trx_line_gl_dist_all ragd,
	ra_cust_trx_types_all rctt,
    AR_PAYMENT_SCHEDULES_ALL arp,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--   AND xah.GL_TRANSFER_STATUS_CODE &lt;&gt; 'Y'
	and xah.ACCOUNTING_ENTRY_STATUS_CODE &lt;&gt; 'N'
    and xal.DISPLAYED_LINE_NUMBER &gt;=0
    AND XE.EVENT_ID = XAH.EVENT_ID
    AND XAH.APPLICATION_ID = XE.APPLICATION_ID
    AND Led.Ledger_Id  = rct.Set_Of_Books_Id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to_date('26-APR-20','DD-MON-RR HH24:MI:SS') ) </t>
  </si>
  <si>
    <t xml:space="preserve">SELECT
                      rct.customer_trx_id||'-'||arp.PAYMENT_SCHEDULE_ID||'-'||xe.event_id||'-'||xe.EVENT_NUMBER as ECC_SPEC_ID
                    FROM
                    gl_period_statuses             ps,
                    ra_customer_trx_all            rct,
                    ra_cust_trx_types_all          rctt,
                    ar_payment_schedules_all       arp,
                    xla_transaction_entities   xte,
                    xla_events                 xe,
                    gl_ledgers                     led,
                    hz_cust_accounts               b_bill,
                    hz_parties                     b_bill_party,
                    hz_cust_site_uses_all          u_bill,
                    ra_rules                       rr
                WHERE
                    ps.application_id = 222
                    AND ps.set_of_books_id = rct.set_of_books_id
                    AND xe.event_date BETWEEN ps.start_date AND ps.end_date
                    AND ps.closing_status = 'O'
                    AND rct.complete_flag = 'Y'
                    AND rct.customer_trx_id = arp.customer_trx_id
                    AND rct.cust_trx_type_id = rctt.cust_trx_type_id
                    AND rr.rule_id (+) = rct.invoicing_rule_id
                    AND rct.org_id = rctt.org_id
                    AND xe.application_id = 222
                    AND xte.entity_id = xe.entity_id
                    AND xe.application_id = xte.application_id
                 --   AND xe.event_status_code = 'U'
                    AND xe.process_status_code &lt;&gt; 'U'
                    AND xte.source_application_id = 222
                    AND rct.customer_trx_id = xte.source_id_int_1
                    AND led.ledger_id = rct.set_of_books_id
                    AND rct.bill_to_customer_id = b_bill.cust_account_id
                    AND b_bill.party_id = b_bill_party.party_id
                    AND rct.bill_to_site_use_id = u_bill.site_use_id
                    AND rct.org_id = u_bill.org_id  AND ( xe.last_update_date    &gt;= to_date('26-APR-20','DD-MON-RR HH24:MI:SS') ) </t>
  </si>
  <si>
    <t>select * from (SELECT  /*+ leading(cmreq_v.temp.process_t) full(cmreq_v.temp.process_t) */ DISPUTE_NUMBER
, DISPUTE_REASON
, DISPUTE_REASON_CODE
, DISPUTE_STATUS
, DISPUTE_REQUESTOR
, CURRENCY
, CURRENCY_CODE
, TRANSACTION_NUMBER
, SALESPERSON
, SALES_ORDER
, OPERATING_UNIT
, ACCOUNT_NUMBER
, BILL_TO_CUSTOMER
, BILL_TO_LOCATION
, COLLECTOR
, PROFILE_CLASS
, DISPUTE_DATE
, TRANSACTION_DATE
, DUE_DATE
, ECC_SPEC_ID
, DISPUTE_STATUS_CODE
, DISPUTE_AMOUNT
, TRANSACTION_CLASS
, TRANSACTION_CLASS_CODE
, TRANSACTION_ID
, ECC_LAST_UPDATE_DATE
, ORG_ID
, STATUS
, BILL_TO_CUSTOMER_ID
, BILL_TO_SITE_USE_ID
, TRANSACTION_AMOUNT
, BILL_TO_CONTACT
, SHIP_TO_CUSTOMER
, SHIP_TO_LOCATION
, PURCHASE_ORDER_NUMBER
, DUE_AMOUNT
, PURCHASE_ORDER_DATE
, RECORD_TYPE
, LANGUAGE
  FROM ari_ecc_cmreq_v
  WHERE ( ( to_date(to_char(ECC_LAST_UPDATE_date,'DD-MON-RR HH24:MI:SS'),'DD-MON-RR HH24:MI:SS')   &gt;=  to_date('26-APR-20','DD-MON-RR HH24:MI:SS')
       AND ECC_LAST_UPDATE_DATE &lt; sysdate)) and language in ('US'))
PIVOT(max(SALESPERSON) as SALESPERSON, max(OPERATING_UNIT) as OPERATING_UNIT, max(CURRENCY) as CURRENCY, max(DISPUTE_REASON) as DISPUTE_REASON,
   max(DISPUTE_STATUS) as DISPUTE_STATUS,max(TRANSACTION_CLASS) as TRANSACTION_CLASS
   for LANGUAGE in ('US' "US"))</t>
  </si>
  <si>
    <t>select * from (SELECT ERROR_COUNT
, TYPE
, MESSAGE
, ORG_ID
, OPERATING_UNIT
, LEDGER_CURRENCY
, LEDGER
, ECC_SPEC_ID
, RECORD_TYPE
, LANGUAGE
  FROM ar_ecc_interface_error_v
 WHERE EXISTS
 (SELECT 1
          FROM fnd_concurrent_requests
         WHERE concurrent_program_id = 33048
           AND program_application_id = 222
And ( ( to_date(to_char(actual_completion_date,'DD-MON-RR HH24:MI:SS'),'DD-MON-RR HH24:MI:SS')   &gt;=  to_date('26-APR-20','DD-MON-RR HH24:MI:SS')
       AND actual_completion_date &lt; sysdate))
) and language in ('US')) PIVOT(max(OPERATING_UNIT) as OPERATING_UNIT, max(LEDGER_CURRENCY) as LEDGER_CURRENCY
   for LANGUAGE in ('US' "US"))</t>
  </si>
  <si>
    <t xml:space="preserve">There is SQLException while applying load rule for dataset okl-cash for job 63,321.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</si>
  <si>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 *
FROM    ( SELECT  DISTINCT
                to_char (a.id)
                || to_char (a.ocr_id)
                || to_char (a.error_seq_number) ecc_spec_id
               ,a.error_seq_number
               ,a.error_type
               ,a.error_code
               ,CASE
                WHEN    b.trx_status_code = 'DISCARDED'
                        THEN    NULL
                ELSE    a.error_current_yn END error_current_yn
               ,a.message_text
               ,(SELECT  batch_name
                FROM    okl_ctr_reading_batches_all
                WHERE   id = b.ocb_id) batch_name
               ,(SELECT  source_type_code
                FROM    okl_ctr_reading_batches_all
                WHERE   id = b.ocb_id) channel
               ,b.contract_number
               ,cct.name counter_name
               ,to_char (nvl (okl_meter_util_pvt.get_usage_end_period_date (b.counter_id
                                                                           ,b.khr_id
                                                                           ,b.kle_id
                                                                           ,b.value_timestamp)
                             ,b.value_timestamp)
                        ,'yyyy-mm') reading_period
               ,(SELECT  vendor_name
                FROM    po_vendors
                WHERE   vendor_id = oeu.vendor_id) vendor_name
               ,mit.description usage_item_name
               ,mit.language language_code
               ,mit.organization_id org_id
               ,(
                SELECT  fa.manufacturer_name manufacturer_name
                FROM    fa_categories_b cat
                       ,fa_book_controls fbc
                       ,fa_books fb
                       ,fa_additions_b fa
                       ,fa_methods fm
                       ,okc_k_lines_b cle
                       ,okc_k_items item
                WHERE   item.cle_id = cle.id
                AND     fa.asset_id = to_number (item.object1_id1)
                AND     cat.category_id = fa.asset_category_id
                AND     fbc.book_type_code = fb.book_type_code
                AND     nvl (trunc (fbc.date_ineffective)
                            ,trunc (sysdate) + 1) &gt; trunc (sysdate)
                AND     fb.asset_id = fa.asset_id
                AND     fb.transaction_header_id_out IS NULL
                AND     fb.date_ineffective IS NULL
                AND     fb.deprn_method_code = fm.method_code
                AND     fb.life_in_months = fm.life_in_months
                AND     book_class = 'CORPORATE'
                AND     cle.cle_id = b.kle_id
                ) manufacturer_name
        FROM    okl_ctr_reading_errors a
               ,okl_counter_readings b
               ,okl_ecc_usage_vendor_v oeu
               ,csi_counters_tl cct
               ,mtl_system_items_tl mit
        WHERE   a.ocr_id = b.id
        AND     b.khr_id = oeu.contract_id (+)
        AND     nvl(b.value_timestamp,sysdate)&gt;(sysdate -365*nvl(fnd_profile.value ('OKL_ECC_MM_HIST_YEARS'),1))
        AND     cct.counter_id = b.counter_id
        AND     mit.inventory_item_id = b.usage_item_id
        AND     mit.language = cct.language
	AND     mit.language in ('US')
        AND     (((oeu.asset_line_id IS NULL) OR (b.kle_id = oeu.asset_line_id)) AND
                ((oeu.usage_item_id IS NULL) OR (b.usage_item_id = oeu.usage_item_id)))
        AND     a.ocr_id IN (
                SELECT  oce.ocr_id
                FROM    okl_ctr_reading_errors oce
                       ,okl_counter_readings ocr
                WHERE   oce.ocr_id = ocr.id
		AND   (to_Date(oce.last_update_Date,'dd-mon-yyyy') &gt;=  to_Date('26-APR-20','dd-mon-yyyy') or to_Date(ocr.last_update_Date,'dd-mon-yyyy') &gt;=  to_Date('26-APR-20','dd-mon-yyyy') or (SELECT max(to_date(last_update_date,'dd-mon-yyyy')) FROM csi_counter_readings WHERE counter_id = ocr.counter_id) &gt;=to_Date('26-APR-20','dd-mon-yyyy')
         ))
        ORDER BY ecc_spec_id ASC
                ,error_seq_number ASC
        ) pivot (max(usage_item_name) as usage_item_name, max(counter_name) as counter_name for language_code in('US' "US"))</t>
  </si>
  <si>
    <t>select * from (
				SELECT  'OKL - '|| to_char (ccr.khr_id)|| to_char (crb.id) ecc_spec_id
				       ,'OKL' record_type
				       ,ccr.contract_number
				       ,ccr.khr_id
				       ,crb.id batch_id
				       ,crb.batch_name
				       ,crb.batch_reference_external
				       ,crb.batch_date
				       ,flv.meaning batch_status_code
                		       ,decode (crb.batch_reference_external,NULL,flv2.lookup_code ,crb.batch_reference_external) reading_source_code
				       ,crb.batch_status_code batch_status
				       ,decode(crb.batch_reference_external,null,flv2.meaning,crb.batch_reference_external) source_type_code
				       ,pov.vendor_name
				       ,oeu.vendor_id vendor_id
				       ,pov.segment1 vendor_number
				       ,(SELECT count(1) FROM okl_counter_readings ccr WHERE ccr.ocb_id = crb.id) total_reads
				       ,(SELECT count(1) FROM okl_counter_readings ccr WHERE ccr.ocb_id = crb.id AND ccr.trx_status_code = 'PROCESSED') total_passed
				       ,(SELECT count(1) FROM okl_counter_readings ccr WHERE ccr.ocb_id = crb.id AND ccr.trx_status_code = 'ERROR') total_error
				       ,(SELECT count(1) FROM okl_counter_readings ccr WHERE ccr.ocb_id = crb.id AND ccr.trx_status_code IN ('PASSED','PENDING')) total_pending
				       ,(SELECT count(1) FROM okl_counter_readings ccr WHERE ccr.ocb_id = crb.id AND ccr.trx_status_code = ('DISCARDED')) total_discarded
				       ,(SELECT count(1) FROM okl_counter_readings ccr WHERE ccr.ocb_id = crb.id AND ccr.trx_status_code = ('WARNING')) total_warning
				       ,flv1.description update_reads
				       ,(SELECT  inv_organization_id FROM    okc_k_headers_all_b  WHERE   id = ccr.khr_id) org_id
				        ,flv.language language_code
				FROM    okl_ctr_reading_batches_all crb
				       ,okl_counter_readings ccr
				       ,okl_ecc_usage_vendor_v oeu
				       ,po_vendors pov
				       ,fnd_lookup_values flv
				       ,fnd_lookup_values flv1
				       ,fnd_lookup_values flv2
				WHERE   crb.id (+) = ccr.ocb_id
				AND     oeu.contract_id (+) = ccr.khr_id
				AND     oeu.asset_line_id (+) = ccr.kle_id
				AND     pov.vendor_id (+) = oeu.vendor_id
				AND     flv.LOOKUP_TYPE ='OKL_METER_READS_STATUS_TYPE'
				AND     flv.LOOKUP_CODE = crb.batch_status_code
				and     nvl(flv.END_DATE_ACTIVE,sysdate+1) &gt;= sysdate
				AND     flv1.LOOKUP_TYPE ='OKL_ECC_ACTION_EVENTS'
				AND     flv1.LOOKUP_CODE = 'UPDATE'
				and     nvl(flv1.END_DATE_ACTIVE,sysdate+1) &gt;= sysdate
				AND     flv2.LOOKUP_TYPE = 'OKL_ECC_MM_SRC_MAPING'
				AND     flv2.LOOKUP_CODE = crb.source_type_code
				and     nvl(flv2.END_DATE_ACTIVE,sysdate+1) &gt;= sysdate
				AND     flv2.language = flv1.language
				AND     flv.language = flv1.language(+)
				AND     flv.language in ('US')
                                AND     nvl (ccr.value_timestamp,batch_date)&gt; (sysdate -365*nvl(fnd_profile.value ('OKL_ECC_MM_HIST_YEARS'),1))
				AND (to_date(CRB.last_update_Date,'dd-mon-yyyy') &gt;=  to_Date('26-APR-20','dd-mon-yyyy') or to_date(CCR.last_update_Date,'dd-mon-yyyy') &gt; to_date('26-APR-20','dd-mon-yyyy') or (select max(to_Date(last_update_Date,'dd-mon-yyyy')) from csi_counter_Readings where counter_id = ccr.counter_id) &gt;=  to_date('26-APR-20','dd-mon-yyyy') or (select max( to_Date(last_update_Date,'dd-mon-yyyy')) from okl_ctr_reading_errors where ocr_id = ccr.id)&gt;=  to_date('26-APR-20','dd-mon-yyyy'))
				GROUP BY ccr.contract_number
				        ,ccr.khr_id
				        ,crb.id
				        ,crb.batch_name
				        ,crb.batch_reference_external
				        ,crb.batch_date
				        ,flv.meaning
				        ,crb.source_type_code
				        ,pov.vendor_name
				        ,oeu.vendor_id
				       ,flv1.description
				       ,flv2.meaning
				       ,crb.batch_status_code
				       ,flv2.lookup_code
				       ,pov.segment1,flv.language)
					pivot
					(max(batch_status_code) as batch_status_code,
					max(source_type_code) as source_type_code ,
					max(update_reads) as update_reads for language_code in('US' "US"))</t>
  </si>
  <si>
    <t xml:space="preserve">select * from
	(SELECT
        'PSI_PROJ_TASK_DS_SETUP' record_type,
        'PSI_PROJ_TASK_'
        || TO_CHAR(accum.org_id)
        || '-'
        || TO_CHAR(accum.project_id)
        || '-'
        || TO_CHAR(accum.task_id) ecc_spec_id,
        accum.project_id,
        accum.segment1 project_number,
        accum.name project_name,
        accum.org_id,
        accum.operating_unit,
        (
            SELECT
                name
            FROM
                hr_all_organization_units_tl o2
            WHERE
                o2.language = accum.language
                AND o2.organization_id = accum.proj_carry_out_org_id
        ) project_organization,
        accum.projfunc_currency_code currency,
        accum.project_status_name project_status,
        pa_utils.get_lookup_values('PROJECT_SYSTEM_STATUS',accum.project_system_status_code,accum.language) project_status_code,
        accum.project_type project_type,
        pa_utils.get_lookup_values('PROJECT TYPE CLASS',accum.project_type_class_code,accum.language) project_type_class,
        accum.project_type_class_code project_type_class_code,
        pa_project_parties_utils.get_project_manager_name(accum.project_id) project_manager,
        accum.start_date project_start_date,
        accum.completion_date project_completion_date,
        DECODE(accum.task_id,0,NULL,accum.task_id) task_id,
        accum.task_number,
        accum.task_name,
        accum.top_task_id,
        (
            SELECT
                task_name
            FROM
                pa_tasks pt1
            WHERE
                pt1.task_id = accum.top_task_id
        ) top_task_name,
        (
            SELECT
                task_number
            FROM
                pa_tasks pt1
            WHERE
                pt1.task_id = accum.top_task_id
        ) top_task_number,
        accum.parent_task_id,
        (
            SELECT
                task_number
            FROM
                pa_tasks pt2
            WHERE
                pt2.task_id = accum.parent_task_id
        ) parent_task_number,
        (
            SELECT
                task_name
            FROM
                pa_tasks pt2
            WHERE
                pt2.task_id = accum.parent_task_id
        ) parent_task_name,
        accum.wbs_level,
        DECODE(accum.task_id,0,NULL,DECODE(pa_task_utils.check_child_exists(accum.task_id),1,'Y',0,'N')) check_child_exists,
        accum.task_start_date,
        accum.task_completion_date,
        (
            SELECT
                per.full_name
            FROM
                per_all_people_f per
            WHERE
                per.person_id (+) = accum.task_manager_person_id
                AND trunc(SYSDATE) BETWEEN per.effective_start_date (+) AND per.effective_end_date (+)
        ) task_manager,
        (
            SELECT
                name
            FROM
                hr_all_organization_units_tl o3
            WHERE
                o3.language = accum.language
                AND o3.organization_id = accum.task_carry_out_org_id
        ) task_organization,
        accum.billable_flag billable_flag,
        (
            SELECT
                ind_rate_sch_name
            FROM
                pa_ind_rate_schedules
            WHERE
                ind_rate_sch_id = accum.cost_ind_rate_sch_id
        ) burden_schedule,
        DECODE(accum.project_type_class_code,'CONTRACT',pa_utils.get_lookup_values('YES_NO',accum.billable_flag,accum.language) ) is_task_billable,
        DECODE(accum.project_type_class_code,'CAPITAL',pa_utils.get_lookup_values('YES_NO',accum.billable_flag,accum.language) ) is_task_capitalizable,
        nvl(accum.expenditure_budget_tot,0) expenditure_budget_tot,
        nvl(accum.expenditure_budget_itd,0) expenditure_budget_itd,
        nvl(accum.raw_cost,0) raw_cost,
        nvl(accum.burdened_cost,0) burdened_cost,
        accum.labor_hrs labor_hours,
        DECODE(accum.project_type_class_code,'CAPITAL',DECODE(accum.capital_cost_type_code,'R',nvl(accum.billable_raw_cost,0),nvl(accum.billable_brdn_cost,0)) ) capitalizable_cost,
        nvl(accum.revenue_budget_tot,0) revenue_budget_tot,
        nvl(accum.revenue_budget_itd,0) revenue_budget_itd,
		nvl(accum.commitment_amount,0) commitment_amount,
        nvl(accum.billable_raw_cost,0) billable_raw_cost,
        nvl(accum.billable_brdn_cost,0) billable_burden_cost,
        DECODE(accum.capital_cost_type_code,'R',nvl(accum.billable_raw_cost,0),nvl(accum.billable_brdn_cost,0)) billable_cost,
        accum.fin_perc_cmplt,
        accum.est_to_cmplt,
        accum.budget_cost_variance,
        accum.summarization_exception,
		accum.last_update_date,
        accum.language
      FROM
     (
 SELECT
            p.org_id,
            p.project_id,
            p.project_type,
            p.name,
            p.segment1,
            p.pji_source_flag,
            p.project_status_code,
            p.carrying_out_organization_id proj_carry_out_org_id,
            p.start_date,
            p.completion_date,
            p.projfunc_currency_code,
            pah.task_id,
            NULL task_number,
            NULL task_name,
            NULL top_task_id,
            NULL parent_task_id,
            0 wbs_level,
            NULL task_start_date,
            NULL task_completion_date,
            NULL task_manager_person_id,
            NULL task_carry_out_org_id,
            NULL billable_flag,
            NULL 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            AND p.project_id = pah.project_id
            AND pah.resource_list_id = 0
			AND pah.task_id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(greatest(pah.last_update_date, nvl(paa.last_update_date,pah.last_update_date), nvl(m.last_update_date,pah.last_update_date),
			         nvl(pabc.last_update_date,pah.last_update_date), nvl(pabr.last_update_date,pah.last_update_date)) &gt;= '26-APR-20'
				OR exists (select 1 from pa_expenditure_items_all ei where ei.project_id = p.project_id and ei.last_update_date &gt;= '26-APR-20'))
        UNION
 SELECT
            p.org_id,
            p.project_id,
            p.project_type,
            p.name,
            p.segment1,
            p.pji_source_flag,
            p.project_status_code,
            p.carrying_out_organization_id,
            p.start_date,
            p.completion_date,
            p.projfunc_currency_code,
            t.task_id,
            t.task_number,
            t.task_name,
            t.top_task_id,
            t.parent_task_id,
            t.wbs_level,
            t.start_date task_start_date,
            t.completion_date task_completion_date,
            t.task_manager_person_id,
            t.carrying_out_organization_id task_carry_out_org_id,
            t.billable_flag billable_flag,
            t.cost_ind_rate_sch_id,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			pa_tasks t,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			AND p.project_id = t.project_id
            AND t.project_id = pah.project_id (+)
            AND t.task_id = pah.task_id (+)
            AND pah.resource_list_id (+)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(exists ( SELECT 1
						  FROM
						      pa_project_accum_headers pah1,
						      pa_project_accum_budgets pab1,
						      pa_project_accum_actuals paa1,
						      pa_project_accum_commitments m1
						  WHERE
						      pah1.project_id = p.project_id
						      AND pah1.resource_list_id = 0
						      AND pah1.task_id = 0
						      AND pah1.project_accum_id = pab1.project_accum_id (+)
						      AND pah1.project_accum_id = paa1.project_accum_id (+)
						      AND pah1.project_accum_id = m1.project_accum_id (+)
						      AND pab1.budget_type_code (+) in ('AC','AR')
						      AND greatest(pah1.last_update_date, nvl(paa1.last_update_date,pah1.last_update_date), nvl(m1.last_update_date,pah1.last_update_date),
						  	         nvl(pab1.last_update_date,pah1.last_update_date)) &gt;= '26-APR-20')
				OR exists (select 1 from pa_expenditure_items_all ei where ei.project_id = p.project_id and ei.last_update_date &gt;= '26-APR-20'))
			) accum
) PIVOT (
max(OPERATING_UNIT) as OPERATING_UNIT,
max(PROJECT_ORGANIZATION) as PROJECT_ORGANIZATION,
max(PROJECT_STATUS_CODE) as PROJECT_STATUS_CODE,
max(PROJECT_TYPE_CLASS) as PROJECT_TYPE_CLASS,
max(TASK_ORGANIZATION) as TASK_ORGANIZATION,
max(IS_TASK_BILLABLE) as IS_TASK_BILLABLE,
max(IS_TASK_CAPITALIZABLE) as IS_TASK_CAPITALIZABLE
for LANGUAGE in ('US' "US")) 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</si>
  <si>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to_timestamp('26-APR-20 03.57.16.000000 PM')
     OR ppa.last_update_date &gt;= to_timestamp('26-APR-20 03.57.16.000000 PM')
     OR ppal.last_update_date &gt;= to_timestamp('26-APR-20 03.57.16.000000 PM')
	 OR EXISTS (select 1 from pa_expenditure_items_all peial
	            where peial.project_id = pp.project_id
				and peial.last_update_date &gt; to_timestamp('26-APR-20 03.57.16.000000 PM'))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to_timestamp('26-APR-20 03.57.16.000000 PM')
    OR EXISTS (select 1 from pa_expenditure_items_all peial
	           where peial.project_id = pp.project_id
			   and peial.last_update_date &gt; to_timestamp('26-APR-20 03.57.16.000000 PM'))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</si>
  <si>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26s</t>
  </si>
  <si>
    <t>SELECT
                            AH.AUCTION_HEADER_ID||'-'||NEG_TEAM.USER_ID||'-'||PITMDS.LINE_NUMBER||'-'
                            ||pbh.bid_number||'-'||pbip.LINE_NUMBER AS ecc_spec_id
                            FROM
                              pon_auction_headers_all AH,
                              pon_auction_item_prices_all PITMDS,
                              pon_neg_team_members NEG_TEAM,
                              pon_bid_headers pbh,
                              pon_bid_item_prices pbip
                            WHERE
                            PITMDS.auction_header_id(+)= AH.auction_header_id
                            AND NEG_TEAM.auction_header_id(+)= AH.auction_header_id
                            AND pbh.auction_header_id(+)= AH.auction_header_id
                            AND pbip.bid_number(+)=pbh.bid_number
                            AND pbh.bid_status &lt;&gt; 'ACTIVE'
                            AND greatest(AH.last_update_date,PITMDS.last_update_date,NEG_TEAM.last_update_date,pbh.last_update_date) &gt;
                            to_date(to_char(to_timestamp('26-APR-20'),'DD-MON-YY HH24.MI.SS'),'DD-MON-YY HH24.MI.SS')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</si>
  <si>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to_date(to_char(to_timestamp('26-APR-20'),'DD-MON-YY HH24.MI.SS'),'DD-MON-YY HH24.MI.SS'))
          or (AH.CLOSE_BIDDING_DATE between to_date(to_char(to_timestamp('26-APR-20'),'DD-MON-YY HH24.MI.SS'),'DD-MON-YY HH24.MI.SS')
                                      and to_date(to_char(to_timestamp('27-APR-20'),'DD-MON-YY HH24.MI.SS'),'DD-MON-YY HH24.MI.SS'))
         or (AH.OPEN_BIDDING_DATE between to_date(to_char(to_timestamp('26-APR-20'),'DD-MON-YY HH24.MI.SS'),'DD-MON-YY HH24.MI.SS')
                                      and to_date(to_char(to_timestamp('27-APR-20'),'DD-MON-YY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</si>
  <si>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to_date(to_char(to_timestamp('26-APR-20'),'DD-MON-YY HH24.MI.SS'),'DD-MON-YY HH24.MI.SS'))
          or (AH.CLOSE_BIDDING_DATE between to_date(to_char(to_timestamp('26-APR-20'),'DD-MON-YY HH24.MI.SS'),'DD-MON-YY HH24.MI.SS')
                                      and to_date(to_char(to_timestamp('27-APR-20'),'DD-MON-YY HH24.MI.SS'),'DD-MON-YY HH24.MI.SS'))
         or (AH.OPEN_BIDDING_DATE between to_date(to_char(to_timestamp('26-APR-20'),'DD-MON-YY HH24.MI.SS'),'DD-MON-YY HH24.MI.SS')
                                      and to_date(to_char(to_timestamp('27-APR-20'),'DD-MON-YY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</si>
  <si>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
select * from (
SELECT
auction_header_id||'-'||duration_code  ECC_SPEC_ID,
auction_header_id,
document_number,
auction_status_code,
duration_type,
duration,
org_id,
SECURITY_LEVEL_CODE as SECURITY_LEVEL_CODE_CODE,
CURRENCY_CODE,
PON_PCC_NEGOTIATIONS_UTIL_PVT.GET_NEG_TOTAL_AMOUNT(auction_header_id) NEGOTIATION_AMOUNT,
PON_PCC_NEGOTIATIONS_UTIL_PVT.get_authorized_userids(auction_header_id) AS AUTHORIZED_USER_IDS,
language
FROM (
SELECT
ah.auction_header_id,
ah.document_number,
ah.auction_status auction_status_code,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pon_pcc_negotiations_util_pvt.get_fnd_message('PON_PCC_DRAFT_TIME','396',HROU.language) as draft_type,
'DRAFT_TIME' as draft_type_code,
pon_pcc_negotiations_util_pvt.get_fnd_message('PON_PCC_BID_TIME','396',HROU.language) as bid_Type,
'BID_TIME' as bid_Type_code,
pon_pcc_negotiations_util_pvt.get_fnd_message('PON_PCC_ANALYZE_TIME','396',HROU.language) as analyze_type,
'ANALYZE_TIME' as analyze_type_code,
pon_pcc_negotiations_util_pvt.get_fnd_message('PON_PCC_AWARD_TIME','396',HROU.language) as award_type,
'AWARD_TIME' as award_type_code,
ah.org_id,
ah.SECURITY_LEVEL_CODE,
ah.currency_code,
hrou.language
FROM
pon_auction_headers_all ah,
PON_AUC_DOCTYPES DOC,
HR_ALL_ORGANIZATION_UNITS_TL HROU
where
hrou.organization_id (+) = ah.org_id
AND HROU.LANGUAGE IN ('US')
AND AH.DOCTYPE_ID = DOC.DOCTYPE_ID
AND DOC.INTERNAL_NAME &lt;&gt; 'SOLICITATION'
AND Decode(Nvl(AH.SUPP_REG_QUAL_FLAG, 'N'), 'Y', 'Y','N',
Nvl(AH.SUPP_EVAL_FLAG, 'N'), 'Y', 'Y','N') ='N'
AND AH.CREATION_DATE &gt;= nvl(fnd_date.Canonical_to_date(fnd_profile.Value('PO_PSC_ITEM_SUPP_LOAD_CUT_OFF')),AH.CREATION_DATE)
  AND  AH.LAST_UPDATE_DATE &gt; to_date(to_char(to_timestamp('26-APR-20'),'DD-MON-YY HH24.MI.SS'),'DD-MON-YY HH24.MI.SS')
) ah
unpivot ((duration_type,duration,duration_code) FOR  sol_duration IN ((draft_type,TOTAL_DRAFT_TIME,draft_type_code)AS '1',
                                                           (bid_Type,TOTAL_BID_TIME,bid_Type_code) AS '2',
                                                           (analyze_type,TOTAL_ANALYSE_TIME,analyze_type_code) AS '3' ,
                                                            (award_type,TOTAL_AWARD_TIME,award_type_code ) AS '4'
                                                            ) ) )pivot(Max(duration_type) AS duration_type FOR LANGUAGE IN ('US' "US"))</t>
  </si>
  <si>
    <t>52s</t>
  </si>
  <si>
    <t>select * from (
SELECT
ecc_spec_id||'-'||duration_type as ecc_spec_id,
grh_po_header_id,
grh_po_num,
grh_buyer_name,
language,
DOC_AUTHORIZED_USER_IDS,
SECURITY_LEVEL_CODE,
ORG_ID,
duration_type,
duration
FROM (
select poh.po_header_id                       AS ecc_spec_id,
poh.po_header_id                                                    AS grh_po_header_id,
poh.segment1    grh_po_num,
(SELECT emp.full_name
 FROM   per_all_people_f emp
 WHERE  emp.person_id = poh.agent_id
 AND ( ( emp.effective_end_date IS NULL )
       OR ( emp.effective_end_date =(SELECT Max(c.effective_end_date)
                                     FROM   per_all_people_f c
                                     WHERE  emp.person_id = c.person_id)
			    )
		  )) 	                                                          AS grh_buyer_name,
houtl.language                                                      AS language,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ORG_ID,
po_pcc_orders_util_pvt.GET_TIME_IN_POOL(poh.po_header_id)           AS time_in_pool,
po_pcc_orders_util_pvt.GET_TIME_IN_SOURCING(poh.po_header_id)       AS time_in_sourcing,
po_pcc_orders_util_pvt.GET_TIME_IN_ORDER_DRAFTING(poh.po_header_id) AS time_in_ord_drafting,
po_pcc_orders_util_pvt.GET_TIME_IN_ORDER_APPROVAL(poh.po_header_id) AS time_in_ord_approval,
po_pcc_orders_util_pvt.get_fnd_message('PO_PCC_ORD_TIME_IN_POOL','201',houtl.language) AS time_in_pool_msg,
po_pcc_orders_util_pvt.get_fnd_message('PO_PCC_ORD_TIME_IN_NEG','201',houtl.language) AS time_in_sourcing_msg,
po_pcc_orders_util_pvt.get_fnd_message('PO_PCC_ORD_TIME_IN_ORD_DRAFT','201',houtl.language) AS time_in_ord_drafting_msg,
po_pcc_orders_util_pvt.get_fnd_message('PO_PCC_ORD_TIME_IN_ORD_APP','201',houtl.language) AS time_in_ord_approval_msg
FROM po_headers_all poh,po_doc_style_headers doc_style, PO_DOCUMENT_TYPES_ALL pdt,
hr_all_organization_units_tl houtl
WHERE poh.type_lookup_code IN ('STANDARD')
AND doc_style.style_id = poh.style_id
AND nvl(doc_style.clm_flag,'N') = 'N'
AND pdt.org_id = poh.org_id
AND pdt.DOCUMENT_TYPE_CODE = 'PO'
AND pdt.DOCUMENT_SUBTYPE = poh.TYPE_LOOKUP_CODE
and houtl.LANGUAGE IN ('US')
AND houtl.organization_id (+) = poh.org_id  and poh.last_update_date &gt; to_date(to_char(to_timestamp('26-APR-20'),'DD-MON-YY HH24.MI.SS'),'DD-MON-YY HH24.MI.SS') ) grp_poh unpivot ((duration_type,duration) FOR  req_duration IN ((time_in_pool_msg,time_in_pool)AS '1',
                                                           (time_in_sourcing_msg,time_in_sourcing) AS '2',
                                                           (time_in_ord_drafting_msg,time_in_ord_drafting) AS '3' ,
                                                            (time_in_ord_approval_msg,time_in_ord_approval ) AS '4'
                                                            ))) pivot(Max(duration_type) AS duration_type FOR LANGUAGE IN ('US' "US"))</t>
  </si>
  <si>
    <t>There are 8 documents processed successfully and 0 documents failed to be processed.</t>
  </si>
  <si>
    <t>8</t>
  </si>
  <si>
    <t>22s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</si>
  <si>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gt.KEY=3139153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</si>
  <si>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gt.KEY=3139153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</si>
  <si>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gt.KEY=3139153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</si>
  <si>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gt.KEY=3139153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</si>
  <si>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gt.KEY=3139153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</si>
  <si>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'SUGGESTIONS'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review.review_id suggestion_id,
    review.reviewer_id suggester_id,
    (select full_name from per_all_people_f
      where person_id = review.reviewer_id
        and trunc(sysdate) BETWEEN effective_start_date
                               and effective_end_date) suggester_name,
    review.creation_date suggestion_date,
    review.review_title suggestion_title,
    REPLACE(review.review_comments,'|',',') suggestion_comments,
    nvl(review.status,'O') suggestion_status,
    (select meaning from fnd_lookup_values
      where lookup_type = 'ICX_REVIEW_STATUS_TYPE' and lookup_code = nvl(review.status,'O') AND language= houtl.language) suggestion_status_code,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suggestion_responses,
	(select count(action_id) from po_buyer_actions where entity_type = 'SUGGESTION' and entity_id = review.review_id and status &lt;&gt; 'CLOSED') open_suggestion_action_count,
    (select count(response_id) from icx_rvw_responses where review_id = review.review_id) suggestion_response_count,
	review.purchased_from suggestion_item_purchased_from,
    'No'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'No' has_review_responses,
    decode(
    (select count(action_id) from po_buyer_actions where entity_type = 'SUGGESTION' and entity_id = review.review_id and status &lt;&gt; 'CLOSED'),
    0, 'No', 'Yes') has_suggestion_action_flag,
    decode(
    (select count(response_id) from icx_rvw_responses where review_id = review.review_id),
    0, 'No', 'Yes') has_suggestion_responses,
    --iExpense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fnd_lookup_values_vl
      where lookup_type = 'PO_BUYER_ACTION_STATUS' and lookup_code = pba.status)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PO_PCC_IND_PROC_UTIL_PVT.get_cost_center_for_employee(review.reviewer_id) cost_center,
    review.org_id,
    --(select name from hr_all_organization_units_tl where organization_id = review.org_id and language = userenv('LANG')) org_name,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review.item_id inventory_item_id,
    (select concatenated_segments
       from mtl_system_items_kfv
      where review.item_id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review.vendor_id supplier_id,
    (select VENDOR_NAME from ap_suppliers aps where aps.VENDOR_ID = review.vendor_id) supplier,
    'N'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'NULL' DOC_AUTHORIZED_USER_IDS,
       'Manage Feedback' MANAGE_FEEDBACK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	   po_doc_style_headers doc_style
 where review.review_entity                                         = 'SG'
   and review.org_id                                                = fsp.org_id(+)
   and review.org_id                                                = ctxh.owning_org_id(+)
   --and ctxh.language                                                = houtl.LANGUAGE
   and review.po_line_id                                            = ctxh.po_line_id(+)
   and review.req_template_name                                     = ctxh.req_template_name(+)
   and review.req_template_line_num                                 = ctxh.req_template_line_num(+)
   and review.item_id                                               = ctxh.inventory_item_id(+)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pba.entity_type(+)                                           = 'SUGGESTION'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houtl.organization_id (+) = review.org_id
   AND doc_style.style_id(+) = apoh.style_id
   AND nvl(doc_style.clm_flag,'N') = 'N'
and houtl.language IN ('US')
--Load CutOff Condition
   and review.last_update_date &gt;= nvl(fnd_date.Canonical_to_date(fnd_profile.Value('PO_PSC_ITEM_SUPP_LOAD_CUT_OFF')),review.last_update_date)  AND (pba.last_update_date &gt; '26-APR-20'
                            OR ctxh.last_update_date &gt; '26-APR-20'
                            OR av.last_update_date &gt; '26-APR-20'
                            OR avtlp.last_update_date &gt;  '26-APR-20'
                            OR review.last_update_date &gt;  '26-APR-20'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 ,
        max(suggestion_status_code) AS suggestion_status_code,
        max(CAT_IP_CATEGORY_NAME) AS   CAT_IP_CATEGORY_NAME
        for LANGUAGE in ('US' "US"))</t>
  </si>
  <si>
    <t>select * from (select NULL
    || '-'
    || NULL
    || '-'
    || NULL
    || '-'
    || NULL
    || '-'
    || NULL
    || '-'
    || NULL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replace(PO_PCC_IND_PROC_UTIL_PVT.remove_stop_words(pla.item_description), ' ', UNISTR('|')) std_po_line_desc_for_tag,
    pla.from_header_id std_po_from_header_id,
    pla.from_line_id std_po_from_line_id,
    decode(nvl(pla.from_header_id, pla.contract_id), null, 'Yes', 'No') std_po_line_off_contract,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pla.unit_price std_po_loc_unit_price,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std_po_loc_amount,
    decode(nvl(pla.from_header_id, pla.contract_id), null,
       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    (select min(need_by_date) from po_line_locations_all where po_line_id = pla.po_line_id)  std_po_loc_need_by_date,
    pha.approved_date std_po_loc_approved_date,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spend_amount,
    decode(nvl(pla.from_header_id, pla.contract_id), null, 'Off-Contract', 'Contract') spend_type,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PO_PCC_IND_PROC_UTIL_PVT.get_cost_center_for_po(pla.po_line_id)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PO_PCC_IND_PROC_UTIL_PVT.get_doc_authorized_userIds('POPA', pha.TYPE_LOOKUP_CODE, pha.AUTHORIZATION_STATUS,
	pha.org_id, pha.AGENT_ID, pha.PO_HEADER_ID)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extract(YEAR from pha.approved_date) spend_year
  from po_buyer_actions pba,
       po_lines_all pla,
       po_headers_all pha,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
 where (
             ( pba.entity_type                                      = 'PO_HEADER'
           and pba.entity_id                                        = pla.po_header_id
             )
    or       ( pba.entity_type                                      = 'PO_LINE'
           and pba.entity_id                                        = pla.po_line_id
             )
       )
   and pha.po_header_id                                             = pla.po_header_id
   and pha.type_lookup_code                                         = 'STANDARD'
   and pla.org_id                                                   = fsp.org_id(+)
   and pla.from_header_id                                           = ctxh.po_header_id(+)
   and pla.from_line_id                                             = ctxh.po_line_id(+)
   and pla.org_id                                                   = ctxh.org_id(+)
   and ctxh.req_template_name(+)                                    = '-2'
   and ctxh.req_template_line_num(+)                                = -2
   and ctxh.language                                            = houtl.LANGUAGE(+)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pla.from_header_id                                           = apol.po_header_id(+)
   and pla.from_line_id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 houtl.organization_id (+) = ctxh.owning_org_id
   AND doc_style.style_id(+) = pha.style_id
   AND nvl(doc_style.clm_flag,'N') = 'N'
   and houtl.language IN ('US')
--Load CutOff Condition
   and pha.last_update_date &gt;= nvl(fnd_date.Canonical_to_date(fnd_profile.Value('PO_PSC_ITEM_SUPP_LOAD_CUT_OFF')),pha.last_update_date)  AND (pba.last_update_date &gt; '26-APR-20'
                            OR ctxh.last_update_date &gt; '26-APR-20'
                            OR av.last_update_date &gt; '26-APR-20'
                            OR avtlp.last_update_date &gt;  '26-APR-20'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</si>
  <si>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||'...',ctxh.req_template_name),'INTERNAL_TEMPLATE',DECODE(least(LENGTH(ctxh.req_template_name) , 20),20,SUBSTR(ctxh.req_template_name,1,17)
        ||'...',ctxh.req_template_name),'QUOTATION',ICX_CAT_UTIL_PVT.get_message('ICX_CAT_QUOTATION_SOURCE','NUMBER',ctxh.document_number) ,
        'BLANKET',ICX_CAT_UTIL_PVT.get_message('ICX_CAT_BLANKET_SOURCE','NUMBER',ctxh.document_number),'GLOBAL_BLANKET',
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Least(pha.end_date, pla.expiration_date),
         Nvl(pha.end_date, pla.expiration_date)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pha.amount_limit agreement_amount_limit,
    NVL(pha.blanket_total_amount,0) agreed_agreement_amount,
    NVL(pla.committed_amount,0)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ctxh.org_id,
    --(select name from hr_all_organization_units_tl where organization_id = ctxh.org_id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 houtl.language) line_type,
    pha.currency_code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  PO_PCC_IND_PROC_UTIL_PVT.get_doc_authorized_userIds('POPA', pha.TYPE_LOOKUP_CODE, pha.AUTHORIZATION_STATUS,
	pha.org_id, pha.AGENT_ID, pha.PO_HEADER_ID) DOC_AUTHORIZED_USER_IDS,
    NULL project_ids,
    'N' is_proj_ref_on_po,
	(SELECT lkp.meaning
          FROM   fnd_lookup_values lkp
          WHERE  lkp.lookup_type = 'PO_DOCUMENT_CREATION_METHOD'
                 AND lkp.LANGUAGE =  houtl.language
                 AND lkp.lookup_code = pha.document_creation_method) document_creation_method,
    (CASE
	 WHEN NVL(pha.authorization_status,'INCOMPLETE') IN ('INCOMPLETE','IN PROCESS','PRE-APPROVED')
		OR EXISTS (SELECT 1
				  FROM po_change_requests
				  WHERE document_header_id = pha.po_header_id
				  and request_status = 'PENDING')
		OR 	SYSDATE  &gt;= pha.end_date - 30
		OR PO_CORE_S.get_total(Decode(pha.type_lookup_code,'BLANKET','GA','GC'), pha.po_header_id) &gt;=
		   (pha.amount_limit * 0.9)
		OR pha.end_date &lt;= SYSDATE
		OR  PO_CORE_S.get_total(Decode(pha.type_lookup_code,'BLANKET','GA','GC'), pha.po_header_id) =
		    pha.amount_limit
		OR exists (select 1 from po_buyer_actions
	             WHERE Trunc(Nvl(completion_date,SYSDATE )) - Trunc(TARGET_DATE)   &gt; 0
                 and status  &lt;&gt; 'CLOSED'  and entity_type = 'PA_HEADER' and entity_id =pha.po_header_id)
     THEN  'Y'
	 ELSE 'N'
 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null performance_date,
	   null ontime_delivery_rating,
       null quality_rating,
       null price_comp_rating ,
    houtl.language
  from po_buyer_actions pba,
       icx_cat_items_ctx_hdrs_tlp ctxh,
       icx_cat_attribute_values av,
       icx_cat_attribute_values_tlp avtlp,
       po_lines_all pla,
       po_headers_all pha,
       financials_system_params_all fsp,
       hr_all_organization_units_tl houtl,
	   po_doc_style_headers doc_style
 where (
             ( pba.entity_type                                      = 'PA_HEADER'
           and pba.entity_id                                        = pla.po_header_id
             )
    or       ( pba.entity_type                                      = 'PA_LINE'
           and pba.entity_id                                        = pla.po_line_id
             )
       )
   and 'Y'                                                          = pha.global_agreement_flag
   and pha.po_header_id                                             = pla.po_header_id
   and pla.org_id                                                   = fsp.org_id(+)
   and ctxh.po_line_id(+)                                           = pla.po_line_id
   and ctxh.po_header_id(+)                                         = pla.po_header_id
   and ctxh.org_id(+)                                               = pla.org_id
   and ctxh.language                                                = houtl.LANGUAGE(+)
   and ctxh.req_template_name(+)                                    = '-2'
   and ctxh.req_template_line_num(+)                                = -2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AND houtl.organization_id (+) = ctxh.owning_org_id
   AND doc_style.style_id(+) = pha.style_id
   AND nvl(doc_style.clm_flag,'N') = 'N'
   and houtl.language IN ('US')
 --Load CutOff Condition
   and pha.last_update_date &gt;= nvl(fnd_date.Canonical_to_date(fnd_profile.Value('PO_PSC_ITEM_SUPP_LOAD_CUT_OFF')),pha.last_update_date)  AND (pba.last_update_date &gt; '26-APR-20'
                              OR ctxh.last_update_date &gt; '26-APR-20'
                              OR av.last_update_date &gt; '26-APR-20'
                              OR avtlp.last_update_date &gt;  '26-APR-20'
                              OR pla.last_update_date &gt; '26-APR-20'
                              OR pha.last_update_date &gt; '26-APR-20'
              ))
     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    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</si>
  <si>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plla.line_location_id
    || '-'
    || NULL
    || '-'
    || NULL
    || '-'
    || NULL
    || '-'
    || NULL
    || '-'
    || NULL
    || '-'
    || NULL
    || '-'
    || 'STANDARD_PO'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VENDOR_NAME from ap_suppliers aps where aps.VENDOR_ID = pha.VENDOR_ID)  review_supplier,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replace(psgt.char1, ' ', UNISTR('|')) std_po_line_desc_for_tag,
    pla.from_header_id std_po_from_header_id,
    pla.from_line_id std_po_from_line_id,
    decode(nvl(pla.from_header_id, pla.contract_id), null, 'Yes', 'No') std_po_line_off_contract,
    plla.line_location_id std_po_line_location_id,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plla.quantity_cancelled std_po_loc_quantity_cancelled,
    plla.unit_meas_lookup_code std_po_loc_uom,
    (select uom_code from mtl_units_of_measure_tl WHERE unit_of_measure = plla.unit_meas_lookup_code and language =  houtl.language) std_po_loc_uom_code,
    pla.unit_price std_po_loc_unit_price,
    psgt.num1 std_po_loc_amount,
    decode(nvl(pla.from_header_id, pla.contract_id), null,
           psgt.num1,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	(select min(need_by_date) from po_line_locations_all where po_line_id = pla.po_line_id)  std_po_loc_need_by_date,
    plla.ship_to_location_id std_po_ship_location_id,
    (select loc_tl.location_code
       from hr_locations_all_tl loc_tl
      where plla.ship_to_location_id = loc_tl.location_id
        and loc_tl.language =  houtl.language
    ) std_po_ship_location,
	plla.quantity_received  std_po_loc_received_quantity,
	plla.quantity_rejected  std_po_loc_rejected_quantity,
    pha.approved_date std_po_loc_approved_date,
     psgt.num1 spend_amount,
    decode(nvl(pla.from_header_id, pla.contract_id), null, 'Off-Contract', 'Contract') spend_type,
    --action items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psgt.char2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psgt.char3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 houtl.language
                 AND lkp.lookup_code = pha.document_creation_method 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 THEN  'Y'
	 ELSE 'N'
    END )   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 houtl.language,
        extract(YEAR from pha.approved_date) spend_year
  from po_lines_all pla,
       po_headers_all pha,
       po_line_locations_all plla,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 ,
     po_session_gt psgt
 where pha.po_header_id                                             = pla.po_header_id
   and pla.po_line_id                                               = plla.po_line_id(+)
   and pha.type_lookup_code                                         = 'STANDARD'
   and pla.from_header_id                                           = ctxh.po_header_id(+)
   and pla.from_line_id                                             = ctxh.po_line_id(+)
   and pla.org_id                                                   = fsp.org_id(+)
   and pla.org_id                                                   = ctxh.org_id(+)
   and ctxh.req_template_name(+)                                    = '-2'
   and ctxh.req_template_line_num(+)                                = -2
   and Nvl(ctxh.LANGUAGE,houtl.LANGUAGE)                            = houtl.LANGUAGE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pla.from_header_id                                           = apol.po_header_id(+)
   and pla.from_line_id                                             = apol.po_line_id(+)
   and apol.po_header_id                                            = apoh.po_header_id(+)
and houtl.language IN ('US')
and (ctxh.po_header_id is null
         or 'Y' = (SELECT global_agreement_flag FROM po_headers_all WHERE po_header_id = ctxh.po_header_id))
   AND houtl.organization_id (+) = pha.org_id
   AND doc_style.style_id(+) = pha.style_id
   AND nvl(doc_style.clm_flag,'N') = 'N'
   AND psgt.index_char1(+) = 'IND_PROC_PO_' || pla.po_header_id ||'_'||  pla.po_line_id
   --Load CutOff Condition
   and pha.last_update_date &gt;= nvl(fnd_date.Canonical_to_date(fnd_profile.Value('PO_PSC_ITEM_SUPP_LOAD_CUT_OFF')),pha.last_update_date)  AND ( ctxh.last_update_date &gt; '26-APR-20'
                        OR av.last_update_date &gt; '26-APR-20'
                        OR avtlp.last_update_date &gt;  '26-APR-20'
                        OR plla.last_update_date &gt; '26-APR-20'
                        OR pla.last_update_date &gt;  '26-APR-20'
                        OR pha.last_update_date &gt;  '26-APR-20'
         ) )
   PIVOT (max(org_name) as Org_name,
        max(cat_source_type_code) as cat_source_type_code,
        max(cat_uom_code) as cat_uom_code,
        max(line_type) as line_type,
        max(cat_manufacturer) AS cat_manufacturer ,
        max(cat_item_description) AS cat_item_description,
        max(cat_long_description) AS cat_long_description,
        max(std_po_loc_uom_code) AS std_po_loc_uom_code,
        max(document_creation_method) AS document_creation_method,
        max(CAT_IP_CATEGORY_NAME) AS   CAT_IP_CATEGORY_NAME,
        max(STD_PO_SHIP_LOCATION) AS   STD_PO_SHIP_LOCATION
        for LANGUAGE in ('US' "US"))</t>
  </si>
  <si>
    <t>select * from (select NULL
       || '-'
       || NULL
       || '-'
       || NULL
       || '-'
       || NULL
       || '-'
       || NULL
       || '-'
       || NULL
       || '-'
       || NULL
       || '-'
       || ai.invoice_id
       || '-'
       || ail.line_number
       || '-'
       || ai.source
       || '-'
       || NULL
       || '-'
       || NULL
       || '-'
       || NULL
       || '-'
       || pba.action_id
       || '-'
       || pba.entity_id
       || '-'
       || pba.entity_type
       || '-'
       || NULL
       || '-'
       || NULL
       || '-'
       || NULL
       || '-'
       || 'iEXPENSE' ecc_spec_id,
       --catalog items
       --iExpense
       ai.invoice_id,
       ai.invoice_num invoice_number,
       ai.invoice_amount,
       ail.line_number invoice_line_number,
       ai.source invoice_source,
       ail.description invoice_description,
       ail.justification invoice_justification,
	     replace(PO_PCC_IND_PROC_UTIL_PVT.remove_stop_words(ail.justification) ,' ',UNISTR('|')) inv_just_split_words_tag,
       nvl(ail.base_amount, ail.amount) invoice_line_amount,
       ail.creation_date invoice_date,
       ail.merchant_name invoice_merchant_name,
       --standard po
       nvl(ail.base_amount, ail.amount) AS spend_amount,
       'iExpense' AS spend_type,
       --action items
       pba.action_id,
       pba.entity_id action_entity_id,
       pba.entity_type action_entity_type,
	   (select meaning from fnd_lookup_values
        where lookup_type = 'PO_BUYER_ACTION_ENTITY_TYPE' and lookup_code = pba.entity_type AND language= houtl.language) action_entity_type_code,
       pba.action_type,
       (select meaning
          from fnd_lookup_values_vl
         where lookup_type = decode(pba.entity_type, 'REVIEW',     'PO_BUYER_REVIEW_ACTIONS',
		                                             'SUGGESTION', 'PO_BUYER_SUGGESTION_ACTIONS',
                                                     'REQ_LINE',   'PO_BUYER_REQ_LINE_ACTIONS',
                                                     'PO_HEADER',  'PO_BUYER_PO_HEADER_ACTIONS',
                                                     'PO_LINE',    'PO_BUYER_PO_LINE_ACTIONS',
                                                     'PA_HEADER',  'PO_BUYER_PA_HEADER_ACTIONS',
                                                     'PA_LINE',    'PO_BUYER_PA_LINE_ACTIONS',   null)
           and lookup_code = pba.action_type
       ) action_type_code,
       pba.description action_description,
       pba.assignee_per_id,
       (select full_name from per_all_people_f
         where person_id = pba.assignee_per_id
           and trunc(sysdate) BETWEEN effective_start_date
                                  and effective_end_date) action_assignee,
       pba.target_date action_due_date,
       pba.status action_status,
       (select meaning from fnd_lookup_values
         where lookup_type = 'PO_BUYER_ACTION_STATUS' and lookup_code = pba.status AND language= houtl.language) action_status_code,
       pba.comments action_comments,
	   (case
		   when Trunc(Nvl(pba.COMPLETION_DATE,SYSDATE )) - Trunc(pba.TARGET_DATE)   &gt; 0
				 and pba.STATUS  &lt;&gt; 'CLOSED'
		   then
			 Trunc(Nvl(pba.COMPLETION_DATE,SYSDATE )) - Trunc(pba.TARGET_DATE)
		   else null
	   end ) action_days_remaining,
       --common
       ail.creation_date spend_date,
       (
       select REPLACE (ppg.group_name,'|',',')
         from per_all_assignments_f paf, pay_people_groups ppg
        where paf.people_group_id = ppg.people_group_id
          and paf.primary_flag = 'Y'
          and trunc(sysdate) between trunc(effective_start_date)
                                 and trunc(effective_end_date)
          and person_id = decode(ai.invoice_type_lookup_code, 'EXPENSE REPORT', (select employee_id from ap_suppliers where vendor_id = ai.vendor_id),
                                                              'PAYMENT REQUEST', ai.paid_on_behalf_employee_id, null)
          and rownum = 1
       ) employee_group,
       PO_PCC_IND_PROC_UTIL_PVT.get_cost_center_for_expense(ail.invoice_id, ail.line_number) cost_center,
       ail.org_id,
       --(select name from hr_all_organization_units_tl where organization_id = ail.org_id and language = userenv('LANG')) org_name,
       houtl.name org_name,
       (select currency_code from gl_sets_of_books where ail.set_of_books_id = set_of_books_id) functional_currency,
       ai.exchange_rate rate,
       ai.exchange_rate_type rate_type,
       ai.exchange_date rate_date,
       ai.invoice_currency_code transaction_currency,
       'N' is_proj_ref_on_po,
    houtl.language,
    extract(YEAR from ail.creation_date) spend_year,
    'NULL' DOC_AUTHORIZED_USER_IDS
  from ap_invoices_all ai,
       ap_invoice_lines_all ail,
       po_buyer_actions pba ,
       hr_all_organization_units_tl houtl
 where ai.source IN ('SelfService', 'XpenseXpress')
   and ai.invoice_id                                                = ail.invoice_id
   and pba.entity_type(+)                                           = 'EXPENSE'
   and pba.entity_id(+)                                             = ai.invoice_id
   AND houtl.organization_id (+) = ail.org_id
   and houtl.language IN ('US')
   --Load CutOff Condition
   and ail.last_update_date &gt;= nvl(fnd_date.Canonical_to_date(fnd_profile.Value('PO_PSC_ITEM_SUPP_LOAD_CUT_OFF')),ail.last_update_date) AND (pba.last_update_date &gt; '26-APR-20'
                            OR ai.last_update_date &gt; '26-APR-20'
                            OR ail.last_update_date &gt; '26-APR-20'
            ) )
   PIVOT (max(org_name) as Org_name,
        max(action_entity_type_code) as action_entity_type_code,
        max(action_type_code) as action_type_code,
        max(action_status_code) as action_status_code
 for LANGUAGE in ('US' "US"))</t>
  </si>
  <si>
    <t xml:space="preserve">select * from (select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'CATALOG_ITEMS'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review.review_id,
    review.reviewer_id,
    (select full_name from per_all_people_f
      where person_id = review.reviewer_id
        and trunc(sysdate) BETWEEN effective_start_date
                               and effective_end_date) reviewer_name,
    review.creation_date review_date,
    review.review_title,
    REPLACE(review.review_comments,'|',',') review_comments,
    review.rating review_rating,
    decode(review.review_entity, 'I', rating, null) review_item_rating,
    decode(review.review_entity, 'S', rating, null) review_supplier_rating,
    review.review_entity,
    (select meaning from fnd_lookup_values
      where lookup_type = 'ICX_REVIEW_ENTITY_TYPE' and lookup_code = review.review_entity AND language= houtl.language) review_for,
    (select VENDOR_NAME from ap_suppliers aps where aps.VENDOR_ID = review.vendor_id) review_supplier,
	review.vendor_id review_supplier_id,
    nvl(review.status,'O') review_status,
    (select meaning from fnd_lookup_values
      where lookup_type = 'ICX_REVIEW_STATUS_TYPE' and lookup_code = nvl(review.status,'O')
        AND language= houtl.language AND view_application_id = 3) review_status_code,
    review.purchased_from review_item_purchased_from,
	(select meaning from fnd_lookup_values
      where lookup_type = 'PO_REVIEW_PURCHASED_FROM_TYPES' and lookup_code = review.purchased_from AND language= houtl.language) review_purchased_from_code,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review_responses,
	(select count(usefull_flag) from icx_review_usefull_dtls where review_id = review.review_id and usefull_flag = 'Y') review_useful_count,
	REPLACE (psgt.char1,' ',UNISTR('|')) review_keywords,
	NVL(
        (SELECT 'Yes'
		   FROM icx_rvw_reviews
		  WHERE review_id    = review.review_id
			AND review_entity IN ('I', 'S')
			AND rating         &lt; 3
        ), 'No') open_poor_rating,
    (select count(action_id) from po_buyer_actions where entity_type = 'REVIEW' and entity_id = review.review_id and status &lt;&gt; 'CLOSED') open_review_action_count,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(select count(response_id) from icx_rvw_responses where review_id = review.review_id) review_response_count,
    (select count(usefull_flag) from icx_review_usefull_dtls where review_id = review.review_id and usefull_flag = 'Y')
    || '/'
    ||
    (select count(usefull_flag) from icx_review_usefull_dtls where review_id = review.review_id and usefull_flag = 'N') usefull_useless,
    apoh.amount_limit agreement_amount_limit,
    NVL(apoh.blanket_total_amount,0) agreed_agreement_amount,
    NVL(apol.committed_amount,0) agreed_line_amount,
    extract(YEAR from review.creation_date) review_year,
    --suggestions
    decode(
    (select count(action_id) from po_buyer_actions where entity_type = 'REVIEW' and entity_id = review.review_id and status &lt;&gt; 'CLOSED'),
    0, 'No', 'Yes')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decode(
    (select count(response_id) from icx_rvw_responses where review_id = review.review_id),
    0, 'No', 'Yes') has_review_responses,
    --iExpense
    --standard po
    --action items
    pba.action_id,
    pba.entity_id action_entity_id,
    pba.entity_type action_entity_type,
	(select meaning from fnd_lookup_values
      where lookup_type = 'PO_BUYER_ACTION_ENTITY_TYPE' and lookup_code = pba.entity_type AND language= houtl.language) action_entity_type_code,
    pba.action_type,
    (select meaning
       from fnd_lookup_values_vl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psgt.char2 cost_center,
    ctxh.org_id,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'N' is_proj_ref_on_po,
  (SELECT lkp.meaning
          FROM   fnd_lookup_values lkp
          WHERE  lkp.lookup_type = 'PO_DOCUMENT_CREATION_METHOD'
                 AND lkp.LANGUAGE = houtl.language
                 AND lkp.lookup_code = apoh.document_creation_method) document_creation_method,
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(SELECT MAX(poh.approved_date)
     FROM   po_headers_all poh,
            po_lines_all pol
     WHERE ctxh.po_line_id = pol.from_line_id
     AND poh.po_header_id    = pol.po_header_id
     and poh.type_lookup_code  = 'STANDARD'
    ) cat_last_used_on,
   psgt.date1 performance_date,
   psgt.num2 ontime_delivery_rating,
   psgt.num3 quality_rating,
   psgt.num4 price_comp_rating,
   houtl.LANGUAGE ,
    psgt.char3 DOC_AUTHORIZED_USER_IDS,
    psgt.num5 purchased_agreement_amount,
    psgt.num6 purchased_line_amount,
    'Update Catalog Item' UPDATE_CATALOG_ITEM,
    'Renegotiate Agreement' RENEGOTIATE_AGREEMENT,
    'Manage Review' MANAGE_REVIEW,
    'View Agreement' VIEW_AGREEMENT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    po_session_gt psgt
 where ctxh.owning_org_id                                           = fsp.org_id
   and ctxh.language                                                = houtl.LANGUAGE(+)
   and ctxh.owning_org_id                                           = review.org_id(+)
   and ctxh.po_line_id                                              = review.po_line_id(+)
   and ctxh.req_template_name                                       = review.req_template_name(+)
   and ctxh.req_template_line_num                                   = review.req_template_line_num(+)
   and ctxh.inventory_item_id                                       = review.item_id(+)
   and review.review_entity(+) &lt;&gt; 'Q'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pba.entity_type(+)                                           = 'REVIEW'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houtl.language IN ('US')
and (ctxh.po_header_id is null
         or 'Y' = (SELECT global_agreement_flag FROM po_headers_all WHERE po_header_id = ctxh.po_header_id))
	AND houtl.organization_id (+) = ctxh.org_id
  AND psgt.index_char1(+) = 'IND_PROC_ITEMS_' || ctxh.po_header_id ||'_'||  ctxh.po_line_id
  AND (psgt.num7 = review.review_id OR psgt.num7 IS NULL)
   --Load CutOff Condition
   and ctxh.last_update_date &gt;= nvl(fnd_date.Canonical_to_date(fnd_profile.Value('PO_PSC_ITEM_SUPP_LOAD_CUT_OFF')),ctxh.last_update_date)  AND (pba.last_update_date &gt; '26-APR-20'
                        OR ctxh.last_update_date &gt; '26-APR-20'
                        OR av.last_update_date &gt; '26-APR-20'
                        OR avtlp.last_update_date &gt;  '26-APR-20'
                        OR review.last_update_date &gt; '26-APR-20'
         ))
   PIVOT (max(org_name) as Org_name,
        max(cat_source_type_code) as cat_source_type_code,
        max(cat_uom_code) as cat_uom_code,
        max(review_for) as review_for,
        max(review_status_code) as review_status_code,
        max(review_purchased_from_code) as review_purchased_from_code,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for LANGUAGE in ('US' "US")) </t>
  </si>
  <si>
    <t>SELECT
          req_header.requisition_header_id || '-' || req_line.requisition_line_id || '-' || req_dist.distribution_Id AS ecc_spec_id
          FROM
          po_requisition_headers_all req_header,
          po_requisition_lines_all req_line,
          po_req_distributions_all req_dist
          WHERE
          req_header.requisition_header_id = req_line.requisition_header_id
          and (nvl(req_header.closed_code,'NO') = 'FINALLY CLOSED'
          or NVL(req_header.cancel_flag, 'N') = 'Y'
          or nvl(req_line.cancel_flag,'N') = 'Y'
          or Nvl(req_line.modified_by_agent_flag,'N') = 'Y'
          or Nvl(req_line.closed_code,'NO') IN ('CLOSED','FINALLY CLOSED')
          or  (nvl(req_header.AUTHORIZATION_STATUS,'NO') = 'RETURNED'
                  AND req_line.line_location_id IS NULL AND
                  nvl(req_line.reqs_in_pool_flag,'N')='N')
	  )
          AND req_line.requisition_line_id = req_dist.requisition_line_id(+)
          and req_header.last_update_date &gt; to_date(to_char(to_timestamp('26-APR-20'),'DD-MON-YY HH24.MI.SS'),'DD-MON-YY HH24.MI.SS')</t>
  </si>
  <si>
    <t xml:space="preserve">select * from (
SELECT
req_header.requisition_header_id || '-' || req_line.requisition_line_id || '-' || req_dist.distribution_Id  AS ecc_spec_id,
DFV_H.*, DFV_L.*, DFV_D.*,
req_header.requisition_header_id requisition_header_id,
req_header.segment1 requisition,
req_header.description description,
CASE
  WHEN req_header.closed_code = 'CLOSED'
  THEN fnd_message.Get_string('PO', 'PO_STATUS_CLOSED')
  WHEN req_header.closed_code = 'FINALLY CLOSED'
  THEN fnd_message.Get_string('PO', 'PO_STATUS_FINALLY_CLOSED')
  WHEN NVL(req_header.cancel_flag, 'N') = 'Y'
  THEN fnd_message.Get_string('PO', 'PO_STATUS_CANCELED')
  ELSE status_lkup.meaning
END  status,
status_lkup.lookup_code requisition_status_code,
status_lkup.LANGUAGE status_language,
nvl((SELECT emp.full_name FROM per_all_people_f emp WHERE emp.person_id = req_line.suggested_buyer_id
AND ( ( emp.effective_end_date IS NULL )
OR ( emp.effective_end_date =
  (SELECT Max(c.effective_end_date)
  FROM   per_all_people_f c
  WHERE  emp.person_id = c.person_id
) ) )),po_pcc_agreements_util_pvt.get_fnd_message ('PO_PCC_BUYER_UNASSIGNED', '201',status_lkup.language)) buyer_name,
req_header.preparer_id,
( SELECT emp.full_name
  FROM   per_all_people_f emp
  WHERE  emp.person_id = req_header.preparer_id
  AND ( ( emp.effective_end_date IS NULL )
  OR ( emp.effective_end_date =
    (SELECT Max(c.effective_end_date)
    FROM   per_all_people_f c
    WHERE  emp.person_id = c.person_id
  ) ) )
  ) 	preparer	,
por_view_reqs_pkg.get_req_total(req_header.requisition_header_id) amount	,
(SELECT sob.currency_code
FROM gl_sets_of_books sob,financials_system_params_all fsp
WHERE sob.set_of_books_id = fsp.set_of_books_id
AND fsp.org_id = req_header.org_id)
AS currency , -- functional currency
(SELECT description
  FROM   fnd_lookup_values
  WHERE  lookup_type = 'REQUISITION TYPE'
  AND lookup_code = req_header.type_lookup_code
  AND LANGUAGE = status_lkup.LANGUAGE
) 	requisition_type	,
req_header.creation_date 	creation_date	,
req_header.approved_date 	approved_date	,
EXTRACT( YEAR FROM approved_date ) approved_date_year,
To_Char(approved_date,'Month') approved_date_month,
To_Char(NULL) approved_date_range,
(SELECT houtl.name
  FROM   hr_all_organization_units_tl houtl
  WHERE  houtl.organization_id (+) = req_header.org_id
  AND houtl.LANGUAGE = status_lkup.LANGUAGE
) 	operating_unit	,
  req_header.org_id org_id,
  req_line.requisition_line_id requisition_line_id,
req_line.item_id,
req_line.line_num 	line_number,
  mtl_sys_item.concatenated_segments item,
req_line.item_description item_description,
req_line.category_id,
req_mtl_cat.concatenated_segments category,
req_line.quantity quantity,
req_line.quantity - req_line.quantity_cancelled requested_quantity,
req_line.need_by_date need_by_date,
(req_line.need_by_date -
         nvl(((SELECT nvl(lead_time,0)
          FROM icx_cat_attribute_values
          WHERE po_line_id = (SELECT po_line_id
                              FROM po_lines_all
                              WHERE po_header_id = req_line.BLANKET_PO_HEADER_ID
                              AND line_num = req_line.BLANKET_PO_LINE_NUM
                              AND ROWNUM =1) )), 0)) order_by_date,
EXTRACT( YEAR FROM need_by_date ) need_by_date_year,
To_Char(need_by_date,'Month') need_by_date_month,
NVL(req_line.REQS_IN_POOL_FLAG,'N') reqs_in_pool_flag,
req_line.unit_meas_lookup_code uom_code,
req_line.unit_meas_lookup_code uom,
req_line.unit_price unit_price,
req_line.line_type_id,
(SELECT line_type
FROM po_line_types_tl
WHERE line_type_id = req_line.line_type_id
AND LANGUAGE = status_lkup.language)	line_type	,
req_line.matching_basis,
req_line.item_revision  item_revision	,
  DECODE(req_line.matching_basis,
        'AMOUNT', req_line.amount,
		(req_line.quantity-NVL(req_line.quantity_cancelled,0)) * req_line.unit_price
  ) 	line_amount	,
    Nvl2(req_line.currency_code,req_line.currency_code,
    (SELECT sob.currency_code
    FROM gl_sets_of_books sob,financials_system_params_all fsp
    WHERE sob.set_of_books_id = fsp.set_of_books_id
    AND fsp.org_id = req_header.org_id)) line_currency,
(SELECT gsb.currency_code
  FROM   financials_system_params_all fsp,
        gl_sets_of_books gsb
  WHERE  fsp.set_of_books_id = gsb.set_of_books_id
  AND fsp.org_id = req_line.org_id
) 	line_functional_currency	,
(CASE WHEN req_line.MODIFIED_BY_AGENT_FLAG = 'Y' THEN 0
    WHEN req_line.currency_code IS NOT NULL AND req_line.matching_basis = 'AMOUNT'  THEN Nvl(req_line.currency_amount, req_line.amount)
    WHEN req_line.currency_code IS NOT NULL AND req_line.matching_basis &lt;&gt; 'AMOUNT'
     THEN (Nvl(req_line.currency_unit_price,req_line.unit_price) * (req_line.quantity - nvl(req_line.quantity_cancelled,0)))
    WHEN req_line.matching_basis = 'AMOUNT' THEN req_line.amount
    ELSE
          req_line.unit_price *(req_line.quantity - nvl(req_line.quantity_cancelled,0))
  END) 	line_currency_amount	,
  req_header.cancel_flag,
req_line.cancel_flag line_cancel_flag,
  req_header.closed_code,
req_line.closed_code line_closed_code,
req_line.modified_by_agent_flag,
( CASE
  WHEN req_line.cancel_flag='Y'
    THEN po_pcc_agreements_util_pvt.get_fnd_message ('PO_PCC_REQ_CANCELLED', '201',status_lkup.language)
  WHEN req_line.urgent_flag = 'Y' AND req_line.REQS_IN_POOL_FLAG='Y'
    THEN po_pcc_agreements_util_pvt.get_fnd_message ('PO_PCC_REQLINE_URGENT', '201',status_lkup.language)
  WHEN  req_line.REQS_IN_POOL_FLAG='Y' AND Trunc(req_line.need_by_date) &lt;
            Trunc(SYSDATE + (SELECT nvl(lead_time,0)
                            FROM icx_cat_attribute_values
                            WHERE po_line_id = (SELECT po_line_id
                                                FROM po_lines_all
                                                WHERE po_header_id = req_line.BLANKET_PO_HEADER_ID
                                                AND line_num = req_line.BLANKET_PO_LINE_NUM
                                                AND ROWNUM =1) ) )
    THEN po_pcc_agreements_util_pvt.get_fnd_message ('PO_PCC_REQLINE_LATE2', '201',status_lkup.language)
  WHEN req_line.REQS_IN_POOL_FLAG='Y' AND req_line.need_by_date &lt;= SYSDATE
    THEN po_pcc_agreements_util_pvt.get_fnd_message ('PO_PCC_REQLINE_LATE', '201',status_lkup.language)
  WHEN req_line.reqs_in_pool_flag = 'Y'
    THEN po_pcc_agreements_util_pvt.get_fnd_message ('PO_PCC_REQLINE_POOL', '201',status_lkup.language)
  WHEN req_line.at_sourcing_flag = 'Y'
    THEN po_pcc_agreements_util_pvt.get_fnd_message ('PO_PCC_REQLINE_NEG', '201',status_lkup.language)
    WHEN (SELECT Count(1)
      FROM
      po_distributions_all pod
      WHERE pod.REQ_DISTRIBUTION_ID IN (SELECT distribution_Id FROM po_req_distributions_all WHERE requisition_line_id = req_line.requisition_line_id)
      AND ROWNUM &lt; 2) &gt; 0
    THEN po_pcc_agreements_util_pvt.get_fnd_message ('PO_PCC_REQLINE_ORDER', '201',status_lkup.language)
  ELSE
    (SELECT meaning
    FROM   fnd_lookup_values
    WHERE  lookup_type = 'AUTHORIZATION STATUS'
    AND lookup_code = req_header.authorization_status
    AND LANGUAGE = status_lkup.language)
  END
)  line_status	,
req_line.to_person_id requester_id,
( SELECT emp.full_name
	FROM   per_all_people_f emp
	WHERE  emp.person_id = req_line.to_person_id
	AND ( ( emp.effective_end_date IS NULL )
	OR ( emp.effective_end_date =
		(SELECT Max(c.effective_end_date)
		FROM   per_all_people_f c
		WHERE  emp.person_id = c.person_id))
)) requester,
(SELECT SUM(Nvl(prd1.recoverable_tax,0))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	recoverable_tax	,
(SELECT SUM(Nvl(prd1.nonrecoverable_tax,0))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 	non_recoverable_tax	,
req_line.suggested_buyer_id,
( SELECT emp.full_name
  FROM   per_all_people_f emp
  WHERE  emp.person_id =req_line.suggested_buyer_id
  AND ( ( emp.effective_end_date IS NULL )
        OR ( emp.effective_end_date =
                  (SELECT Max(c.effective_end_date)
                  FROM   per_all_people_f c
                  WHERE  emp.person_id = c.person_id  )
			)
	)
) 	suggested_buyer	,
req_line.note_to_agent note_to_buyer,
req_line.suggested_vendor_name suggested_supplier	,
(SELECT description
  FROM   hr_locations_all_tl
  WHERE  location_id = req_line.deliver_to_location_id
        AND LANGUAGE = status_lkup.language
) 	deliver_to_location	,
req_line.deliver_to_location_id,
(SELECT LOCATION_CODE FROM HR_LOCATIONS_ALL_TL WHERE location_id = req_line.deliver_to_location_id
and language = status_lkup.language)  ship_to_location,
req_line.destination_type_code,
(SELECT meaning
  FROM   fnd_lookup_values
  WHERE  lookup_type = 'DESTINATION TYPE'
  AND lookup_code = req_line.destination_type_code
  AND LANGUAGE = status_lkup.language
)  destination_type	,
req_line.urgent_flag urgent_flag,
req_line.last_update_date req_last_upd_date,
Decode(req_header.type_lookup_code,
                  'INTERNAL',TO_CHAR(OE_ORDER_IMPORT_INTEROP_PUB.Get_Order_Number(PSP.order_source_id,req_line.requisition_header_id,req_line.requisition_line_id)),
                    po_v.segment1) AS purchase_order,
po_v.po_header_id,
req_line.blanket_po_header_id,
(SELECT segment1 FROM po_headers_all WHERE po_header_id = req_line.blanket_po_header_id) AS agreement,
(SELECT document_number FROM pon_auction_Headers_all WHERE auction_header_id = req_line.auction_header_id) AS negotiation,
To_Char(NULL) next_action_owner,
To_Char(NULL) next_action_type,
  DECODE (po_pcc_requisitions_util_pvt.is_fully_reserved('REQUISITION','LINE',req_line.requisition_line_id),'Y',
	           (SELECT meaning
               FROM fnd_lookup_values POLC
               WHERE POLC.lookup_type = 'DOCUMENT STATE'
               AND POLC.lookup_code = 'RESERVED'
               AND LANGUAGE = status_lkup.language),
			   (SELECT meaning
               FROM fnd_lookup_values POLC
               WHERE POLC.lookup_type = 'DOCUMENT STATE'
               AND POLC.lookup_code = 'NOT RESERVED'
               AND LANGUAGE = status_lkup.language)) AS reservation_status,
req_dist.distribution_id distribution_id,
req_header.segment1 || ', ' || req_line.line_Num requisition_line,
req_dist.distribution_num distribution_number,
req_dist.req_line_quantity distribution_quantity,
req_dist.code_combination_id,
(SELECT  concatenated_segments
  FROM gl_code_combinations_kfv  gl_code_kfv
  WHERE code_combination_id = req_dist.code_combination_id
)   	charge_account	,
req_dist.expenditure_type expenditure_type,
(SELECT name
FROM hr_all_organization_units_tl
WHERE organization_id=req_dist.expenditure_organization_id
AND LANGUAGE = status_lkup.language) expenditure_org,
req_dist.expenditure_item_date expenditure_item_date,
pa_project.name project ,
pa_project.project_id,
pa_project.project_currency_code project_currency_code,
pa_project.segment1 project_number,
pa_task.task_number task_number,
pa_task.task_id,
To_Char(NULL) project_status,
DECODE(req_line.requisition_line_id,NULL,NULL,pa_task.task_name ) task_name
FROM
po_requisition_headers_all req_header,
po_requisition_lines_all req_line,
po_req_distributions_all req_dist,
pa_projects_all pa_project,
pa_tasks  pa_task,
mtl_system_items_b_kfv mtl_sys_item,
ap_suppliers ap_supplier,
mtl_categories_kfv req_mtl_cat,
fnd_lookup_values status_lkup,
(SELECT poh.segment1,poh.po_header_id, pod.REQ_DISTRIBUTION_ID
FROM
po_distributions_all pod,
po_headers_all poh
WHERE pod.po_header_id = poh.po_header_id
AND poh.type_lookup_code = 'STANDARD'
) po_v,
ORG_ORGANIZATION_DEFINITIONS OOD,
PO_SYSTEM_PARAMETERS_ALL PSP,
 (select 'PO_REQ_H_ROW_ID','PO_REQ_H_CONTEXT','PO_REQ_H_CONCATENATED_SEGMENTS' from dual where 1=2  union select ROWIDTOCHAR(ROW_ID),CONTEXT,CONCATENATED_SEGMENTS from PO_REQUISITION_HEADERS_ALL_DFV) DFV_H, (select 'PO_REQ_L_ROW_ID','PO_REQ_L_CONTEXT','PO_REQ_L_CONCATENATED_SEGMENTS' from dual where 1=2  union select ROWIDTOCHAR(ROW_ID),CONTEXT,CONCATENATED_SEGMENTS from PO_REQUISITION_LINES_ALL3_DFV) DFV_L, (select 'PO_REQ_D_ROW_ID','PO_REQ_D_CONTEXT_VALUE','PO_REQ_D_CONCATENATED_SEGMENTS' from dual where 1=2  union select ROWIDTOCHAR(ROW_ID),CONTEXT_VALUE,CONCATENATED_SEGMENTS from PO_REQ_DISTRIBUTIONS_ALL1_DFV) DFV_D
WHERE
req_header.authorization_status = 'APPROVED'
and nvl(req_header.closed_code,'NO') &lt;&gt; 'FINALLY CLOSED'
and NVL(req_header.cancel_flag, 'N') &lt;&gt; 'Y'
and nvl(req_header.federal_flag,'N') = 'N'
AND req_header.requisition_header_id = req_line.requisition_header_id
and nvl(req_line.cancel_flag,'N') &lt;&gt; 'Y'
AND Nvl(req_line.modified_by_agent_flag,'N') &lt;&gt; 'Y'
AND Nvl(req_line.closed_code,'NO') NOT IN ('CLOSED','FINALLY CLOSED')
AND req_line.requisition_line_id = req_dist.requisition_line_id(+)
and req_dist.task_id  = pa_task.task_id (+)
and req_dist.project_id = 	pa_task.project_id (+)
and pa_task.project_id = pa_project.project_id(+)
AND NVL(req_header.authorization_status,'INCOMPLETE') = status_lkup.lookup_code
AND status_lkup.lookup_type = 'AUTHORIZATION STATUS'
AND status_lkup.LANGUAGE IN ('US')
and req_line.vendor_id = ap_supplier.vendor_id(+)
and req_line.category_id = req_mtl_cat.category_id(+) --req line category to req mtl category
and req_line.item_id = mtl_sys_item.inventory_item_id(+) --req line item to mtl system inv item
and req_line.destination_organization_id = mtl_sys_item.organization_id(+)
AND po_v.REQ_DISTRIBUTION_ID(+) = req_dist.distribution_id
AND      OOD.ORGANIZATION_ID(+) = req_line.SOURCE_ORGANIZATION_ID
AND      PSP.ORG_ID(+) = OOD.OPERATING_UNIT
AND (nvl(req_header.CONTRACTOR_REQUISITION_FLAG,'N')='N'
or (req_header.AUTHORIZATION_STATUS='APPROVED'  and
req_header.CONTRACTOR_STATUS='ASSIGNED'))
AND req_header.rowid = dfv_h."'PO_REQ_H_ROW_ID'" (+)
AND req_line.rowid = dfv_l."'PO_REQ_L_ROW_ID'" (+)
AND req_dist.rowid = dfv_d."'PO_REQ_D_ROW_ID'" (+) and Greatest(req_header.last_update_date, req_line.last_update_date) &gt; to_date(to_char(to_timestamp('26-APR-20'),'DD-MON-YY HH24.MI.SS'),'DD-MON-YY HH24.MI.SS')
               ) pivot(Max(status) AS status,
                                     Max(operating_unit) AS operating_unit,
                                     Max(buyer_name) AS buyer_name,
                                     Max(line_type) AS line_type,
                                     Max(line_status) AS line_status,
                                     Max(requisition_type) AS requisition_type,
                                     Max(deliver_to_location) AS deliver_to_location,
                                     Max(ship_to_location) AS ship_to_location,
                                     Max(destination_type) AS destination_type,
                                     Max(expenditure_org) AS expenditure_org,
                                     Max(reservation_status) AS reservation_status
                                     FOR status_language IN ('US' "US")) </t>
  </si>
  <si>
    <t>select aha.INVOICE_ID  ||'-'|| aha.LINE_LOCATION_ID ||'-'||REPLACE(aha.HOLD_LOOKUP_CODE,' ','_') ECC_SPEC_ID,
aha.invoice_id, aha.line_location_id, aha.HOLD_ID, aha.release_lookup_code, nvl(aha.release_lookup_code,'Yes') as on_hold_flag,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
  from ap_holds_all aha,po_line_locations_all po_lineloc,po_headers_all poh,PO_DOCUMENT_TYPES_ALL pdt,
  po_doc_style_headers doc_style
  where aha.line_location_id = po_lineloc.line_location_id
  AND aha.hold_lookup_code in
       (select hold_lookup_code
        from ap_hold_codes
        where hold_type = 'MATCHING HOLD REASON'
        and NVL(inactive_date, trunc(sysdate) + 1) &gt;= trunc(sysdate))
  AND pdt.org_id = poh.org_id
  AND pdt.DOCUMENT_TYPE_CODE = 'PO'
  AND pdt.DOCUMENT_SUBTYPE = poh.TYPE_LOOKUP_CODE
  AND po_lineloc.po_header_id = poh.po_header_id
  and poh.type_lookup_code IN ('STANDARD')
  AND doc_style.style_id = poh.style_id
  AND nvl(doc_style.clm_flag,'N') = 'N' and aha.last_update_date &gt; to_date(to_char(to_timestamp('26-APR-20'),'DD-MON-YY HH24.MI.SS'),'DD-MON-YY HH24.MI.SS')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</si>
  <si>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gt.KEY=3139148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</si>
  <si>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gt.KEY=3139148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</si>
  <si>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gt.KEY=3139148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</si>
  <si>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 xml:space="preserve">There is SQLException while applying load rule for dataset po-clm-solicitations for job 63,099.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</si>
  <si>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3139147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</si>
  <si>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63,099.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</si>
  <si>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3139145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</si>
  <si>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3139145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</si>
  <si>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3139145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</si>
  <si>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3139145 )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</si>
  <si>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3139145 )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</si>
  <si>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3139145 )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</si>
  <si>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3139144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</si>
  <si>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3139144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</si>
  <si>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3139144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</si>
  <si>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3139144 )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</si>
  <si>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3139144 )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</si>
  <si>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3139144 )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</si>
  <si>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3139143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</si>
  <si>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63,099.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</si>
  <si>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select * from (select
          orc.contract_id||'-'||ord.deliverable_id as ecc_spec_id,
          orc.contract_id acquisition_plan_summary,
          orc.contract_number acquisition_plan_number,
          orc.contract_name name,
          lkup1.meaning status,
          lkup1.language doc_language,
          orc.contract_status_code,
          orc.latest_signed_ver_number,
          orc.contract_version_num version,
          orc.version_comments,
          orc.contract_desc as description,
          orc.org_id,
          ou.name   operating_unit,
          orc.contract_type contract_type_code,
          docs.name contract_type,
          orc.owner_id,
          (select nvl(pf.full_name, fu.user_name)
          from   per_all_people_f   pf,
                  fnd_user    fu
          where  fu.user_id = orc.owner_id
          and    pf.person_id (+) = fu.employee_id
          and   (fu.employee_id is null or pf.effective_start_date = (select max(effective_start_date)
                                                                      from   per_all_people_f
                                                                      where  person_id = fu.employee_id)))  administrator,
          orc.currency_code currency,
          orc.amount,
          orc.contract_effective_date as effective_date,
          orc.contract_expiration_date as expiration_date,
          orc.reference_document_type source_doc_type,
          orc.reference_document_number source_doc_reference,
          orc.reference_document_id source_doc_id,
          (select nvl(pf.full_name, fu.user_name)
                  from   per_all_people_f   pf,
                        fnd_user    fu
                  where  fu.user_id = orc.contract_last_updated_by
                  and    pf.person_id (+) = fu.employee_id
                  and   (fu.employee_id is null or pf.effective_start_date = (select max(effective_start_date)
                                                                              from   per_all_people_f
                                                                              where  person_id = fu.employee_id))) last_updated_by,
          trunc(orc.contract_last_update_date) as last_updated_date,
          PO_ACQUISITION_ECC_UTIL_PVT.get_next_approver(orc.contract_id) AS next_approver_id,
          orc.authoring_party_code,
          orc.overall_risk_code,
          orc.cancellation_comments,
          orc.cancellation_date,
          orc.termination_comments,
          orc.termination_date,
          orc.keywords,
          orc.object_version_number,
          Trunc(orc.contract_expiration_date) - Trunc(orc.contract_effective_date) planned_duration,
          CASE
            when orc.contract_status_code &lt;&gt; 'APPROVED'
              THEN null
            when trunc(orc.contract_effective_date) &lt; trunc(sysdate)
              THEN Decode(
                  (SELECT 'INCOMPLETE' FROM okc_deliverables WHERE business_document_id=orc.contract_id AND deliverable_status&lt;&gt;'COMPLETED'
                    AND ROWNUM &lt;2),
                  'INCOMPLETE', (Trunc(SYSDATE) - Trunc(contract_effective_date)),
                  --NULL )
                  (SELECT Max(Trunc(completion_date)) FROM okc_deliverables WHERE orc.contract_id = business_document_id AND deliverable_status='COMPLETED'
                    --AND (business_document_version(+) = Decode(t1.contract_status_code,'APPROVED',t1.contract_version_num,-99))
                    ) - Trunc(orc.contract_effective_date))
            ELSE null
          end elapsed_duration,
          (SELECT
                LISTAGG(replace(wfn.TO_USER,',',''),'|') WITHIN GROUP  (ORDER BY orc.contract_id) AS approval_pending_with
                  FROM
                  wf_notifications wfn,
                  wf_item_activity_statuses wfa
                WHERE
                          wfn.notification_id = wfa.notification_id
                         AND wfa.item_type         = 'OKCREPMA'
                         AND SUBSTR(wfa.item_key, 0, INSTR(wfa.item_key, '_')-1) =  orc.WF_ITEM_KEY
                         AND wfn.status            = 'OPEN'
                  GROUP BY orc.contract_id) current_approvers,
          ord.deliverable_id milestone,
          ord.deliverable_type,
          ord.deliverable_name milestone_name,
          ord.description milestone_description,
          ord.fixed_due_date_yn,
          ord.actual_due_date due_date,
          ord.internal_party_contact_id,
          (select buyer_contact.full_name
            from   per_all_people_f buyer_contact
            where  buyer_contact.person_id = ord.internal_party_contact_id
            and  buyer_contact.effective_start_date &lt;= sysdate
            and (buyer_contact.effective_end_date is null or buyer_contact.effective_end_date&gt; sysdate)
          ) milestone_owner,
          ord.schedule_type,
          ord.fixed_start_date,
          ord.fixed_end_date,
          ord.internal_party_id,
          ord.deliverable_status milestone_status_code,
          CASE
            WHEN orc.contract_status_code='REJECTED' THEN lkup1.meaning
            WHEN ord.DELIVERABLE_STATUS='INACTIVE' THEN fnd_message.get_string('PO','PO_ECC_ACQUISITION_DRAFT')
            WHEN ord.DELIVERABLE_STATUS='COMPLETED' THEN PO_PON_ECC_UTIL_PVT.get_lookup_meaning(ord.deliverable_status,'OKC_DELIVERABLE_STATUS',0,lkup1.language)
            WHEN ord.DELIVERABLE_STATUS='FAILED_TO_PERFORM' THEN  PO_PON_ECC_UTIL_PVT.get_lookup_meaning(ord.deliverable_status,'OKC_DELIVERABLE_STATUS',0,lkup1.language)
            WHEN trunc(ord.actual_due_date) &gt;= SYSDATE and trunc(ord.actual_due_date) &lt; Trunc(NEXT_DAY(sysdate, 'SUNDAY')) AND ord.deliverable_status='OPEN'
            THEN  fnd_message.get_string('PO','PO_ECC_ACQUISITION_DUE')
            WHEN trunc(ord.actual_due_date) &lt; SYSDATE AND ord.deliverable_status='OPEN' THEN
            fnd_message.get_string('PO','PO_ECC_ACQUISITION_OVERDUE')
            ELSE fnd_message.get_string('PO','PO_ECC_ACQUISITION_OPEN')
          END milestone_status_derived,
          PO_PON_ECC_UTIL_PVT.get_lookup_meaning(ord.deliverable_status,'OKC_DELIVERABLE_STATUS',0,lkup1.language) milestone_status,
          ord.business_document_version,
          ord.start_event_date,
          ord.end_event_date,
          ord.del_category_code,
          ord.external_party_id,
          ord.external_party_contact_id,
          ord.external_party_role,
          ord.comments milestone_comments,
          ord.completion_date,
          Trunc(ord.actual_due_date) - Trunc(orc.contract_effective_date) milestone_planned_duration,
          CASE
          WHEN ord.deliverable_status='COMPLETED' THEN Trunc(ord.completion_date) -Trunc(orc.contract_effective_date)
          WHEN trunc(orc.contract_effective_date) &gt; trunc(sysdate) THEN null
          WHEN Trunc(orc.contract_effective_date) &lt; Trunc(SYSDATE) AND ord.actual_due_date IS NOT null THEN
               Trunc(SYSDATE) - Trunc(orc.contract_effective_date)
          end milestone_elapsed_duration
          FROM OKC_REP_CONTRACTS_ALL orc,
          okc_deliverables ord,
          FND_LOOKUP_VALUES  lkup1,
          HR_ALL_ORGANIZATION_UNITS_tl ou,
          okc_bus_doc_types_tl docs
          WHERE
          CONTRACT_TYPE='REP_ACQ'
          AND orc.creatioN_date &gt;= nvl(fnd_date.Canonical_to_date(fnd_profile.Value('PO_CLM_DASHBOARD_CUT_OFF')),orc.creation_date)
          AND orc.contract_id = ord.business_document_id(+)
          AND lkup1.lookup_type = 'OKC_REP_CONTRACT_STATUSES'
          AND   lkup1.lookup_code = orc.contract_status_code
          AND lkup1.language in ('US')
          and ou.organization_id = orc.org_id
          and ou.language = lkup1.language
          and docs.document_type = orc.contract_type
          and docs.language = lkup1.language
          AND ord.business_document_version(+) = Decode(orc.contract_status_code,'APPROVED',orc.contract_version_num,-99)
          AND orc.creatioN_date &gt;= nvl(fnd_date.Canonical_to_date(fnd_profile.Value('PO_CLM_DASHBOARD_CUT_OFF')),orc.creation_date)
          AND (Greatest(orc.last_update_date,Nvl(ord.last_update_date,orc.last_update_date)) &gt; to_date(to_char(to_timestamp('26-APR-20'),'DD-MON-YY HH24.MI.SS'),'DD-MON-YY HH24.MI.SS')
               OR
               orc.contract_effective_date &lt;= sysdate )
          ) pivot(Max(status) AS status,
                                     Max(milestone_status) AS milestone_status,
                                     Max(operating_unit) AS operating_unit,
                                     Max(contract_type) AS contract_type,
                                     Max(milestone_status_derived) AS milestone_status_derived
                                     FOR doc_language IN ('US' "US")) </t>
  </si>
  <si>
    <t>SELECT * from (select pah.auction_header_id||'-'|| prt.protest_id ECC_SPEC_ID,
        pah.auction_header_id,
        pah.document_number SOLICITATION_NUMBER,
        po_pon_ecc_util_pvt.get_auction_status(pah.auction_header_id, hrou.language) document_status,
        pon_locale_pkg.get_party_display_name(pah.trading_partner_contact_id,12,hrou.language) buyer,
        prt.protest_id
      ,prt.protest_number
      ,prt.description protest_description
      ,prt.protest_category protest_category_code
      ,PO_PON_ECC_UTIL_PVT.get_lookup_meaning(prt.protest_category,'PO_PROTEST_CATEGORY',201,HROU.LANGUAGE) protest_category
      ,prt.protest_status protest_status_code
      ,PO_PON_ECC_UTIL_PVT.get_lookup_meaning(prt.protest_status,'PO_PROTEST_STATUS',201,HROU.LANGUAGE) protest_status
      ,DECODE(prt.protest_status, 'CLOSED', 'No', 'Yes') pending_solicitation_protests
      ,prt.document_id protest_document_id
      ,prt.document_type protest_document_type_code
      ,prt.created_by protest_created_by_id
      ,pon_locale_pkg.get_party_display_name(users.person_party_id) protest_created_by
      ,PO_PON_ECC_UTIL_PVT.get_lookup_meaning(prt.document_type,'DOCUMENT TYPE',201,HROU.LANGUAGE) protest_Document_Type
      ,prt.protest_case_number
      ,prt.filing_date protest_filing_date
      ,prt.resolution_date protest_resolution_date
      ,decode(nvl(prt.protestor_in_system,'N'),'Y',PO_PON_ECC_UTIL_PVT.get_fnd_message ('PO_YES', '201',hrou.language),PO_PON_ECC_UTIL_PVT.get_fnd_message ('PO_NO', '201',hrou.language)) protestor_in_system
       ,prt.supplier_id protest_supplier_id,
        prt.supplier_contact_name protest_Supplier_User,
        prt.supplier_name protest_Supplier_Organization,
        prt.supplier_contact_id protest_supp_contact_id,
        prt.address protest_address,
        prt.phone protest_telephone_number,
        prt.email protest_email,
        prt.fax protest_fax,
        prt.cage_code protest_CAGE_NCAGE_Code,
        prt.duns protest_duns_number,
        HROU.LANGUAGE LANGUAGE,
        pah.org_id,
     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    po_protests prt,
        fnd_user users,
        pon_auction_headers_all pah,
        HR_ALL_ORGANIZATION_UNITS_TL HROU
WHERE   prt.document_type = 'SOLICITATION'
        AND pah.auction_status NOT IN ('APPLIED','DELETED')
        AND users.user_id=    prt.created_by
        AND pah.auction_header_id= prt.document_id
        AND HROU.ORGANIZATION_ID = pah.ORG_ID
        and HROU.language in ( 'US')
         AND prt.last_update_date &gt; to_date(to_char(to_timestamp('26-APR-20'),'DD-MON-YY HH24.MI.SS'),'DD-MON-YY HH24.MI.SS')) PIVOT (max(protest_category) as protest_category,
                         max(protest_status) as protest_status,
                         max(protest_Document_Type) as protest_Document_Type,
                         max(buyer) as buyer,
                         max(document_status) as document_status,
                         max(protestor_in_system) as  protestor_in_system
                         FOR LANGUAGE in ('US' "US"))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</si>
  <si>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3139142 )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</si>
  <si>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3139142 )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</si>
  <si>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3139142 )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</si>
  <si>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3139142 )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</si>
  <si>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3139142 ) PIVOT ( max(protest_document_type) as protest_document_type
                                             FOR language in ( 'US' "US"))</t>
  </si>
  <si>
    <t xml:space="preserve">There is SQLException while applying load rule for dataset po-clm-idv for job 63,099.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</si>
  <si>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 select pah.auction_header_id||'-'||deliverable.deliverable_id as ECC_SPEC_ID,
       deliverable.deliverable_id,
       pah.auction_header_id,
       pah.document_number solicitation_number,
       deliverable.business_document_id,
       deliverable.BUSINESS_DOCUMENT_NUMBER,
       deliverable.business_document_version,
       'Y' AS deliverables_record,
       deliverable.deliverable_name,
       deliverable.deliverable_status deliverable_status_code,
       PO_PON_ECC_UTIL_PVT.get_lookup_meaning(deliverable.deliverable_status,'OKC_DELIVERABLE_STATUS',0,deliverabletypes_tl.language) deliverable_status,
       deliverable.del_category_code,
       PO_PON_ECC_UTIL_PVT.get_lookup_meaning(deliverable.del_category_code,'OKC_DEL_CATEGORIES',0,deliverabletypes_tl.language) deliverable_category,
       deliverable.deliverable_type deliverable_type_code,
       deliverabletypes_tl.name deliverable_type,
       resp_party_tl.name responsible_party,
              (CASE deliverable.responsible_party WHEN 'INTERNAL_ORG' THEN
                org.name
               ELSE
                okc_deliverable_process_pvt.get_party_name(deliverable.external_party_id,deliverable.responsible_party)
               END) party_name,
               deliverable.description,
               (SELECT Name
              FROM   HR_ALL_ORGANIZATION_UNITS_TL  hrou
              WHERE  deliverable.internal_party_id = hrou.organization_id
                      and hrou.language = deliverabletypes_tl.language) Internal_Organization,
               (SELECT distinct buyer_contact.full_name
              FROM   per_all_people_f buyer_contact
              WHERE  buyer_contact.person_id = deliverable.internal_party_contact_id
               AND  buyer_contact.effective_start_date &lt;= SYSDATE
      AND (buyer_contact.effective_end_date is NULL OR buyer_contact.effective_end_date&gt; sysdate)
       )  Internal_Contact,
       (SELECT party_name
              FROM   hz_parties
              WHERE  party_id = deliverable.external_party_contact_id)  supplier_contact,
       (SELECT distinct requester_contact.full_name
              FROM   per_all_people_f requester_contact
              WHERE  deliverable.requester_id = requester_contact.person_id
              AND requester_contact.effective_start_date &lt;= SYSDATE
             AND (requester_contact.effective_end_date is NULL OR requester_contact.effective_end_date&gt; sysdate)
      ) requestor_name ,
      busdoc_tl.name Document_Type,
      deliverable.completion_date actual_date_of_completion,
      deliverable.actual_due_date due_date,
      deliverable.comments notes,
      deliverable.description deliverable_description,
   DECODE(deliverable.deliverable_status, 'OPEN', 'Yes', 'SUBMITTED', 'Yes', 'No') deliverable_due_flag,
   CASE
	 WHEN
	   deliverable.actual_due_date &lt; sysdate and deliverable.deliverable_status = 'OPEN'
	 THEN 'OA_MEDIA/warningind_status.gif'
   else
   null
   end deliverable_alert,
case
   when deliverable.completion_date is not null and deliverable.deliverable_status = 'COMPLETED' then
     case
       when deliverable.completion_date &lt;= deliverable.actual_due_date  then
        PO_PON_ECC_UTIL_PVT.get_fnd_message ('PO_YES', '201',deliverabletypes_tl.language)
       else
        PO_PON_ECC_UTIL_PVT.get_fnd_message ('PO_NO', '201',deliverabletypes_tl.language)
       end
     else
      null
     end as on_time_completion,
   deliverabletypes_tl.language language ,
   pah.org_id,
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  okc_deliverables deliverable,
  okc_deliverable_types_tl deliverabletypes_tl,
  hr_all_organization_units org,
  okc_resp_parties_tl resp_party_tl,
  okc_bus_doc_types_b busdoc,
  okc_bus_doc_types_tl busdoc_tl,
  pon_bid_headers pbh,
  pon_auction_headers_all pah
WHERE
  pah.auction_status NOT IN ('APPLIED','DELETED')
  AND pbh.auction_header_id=pah.auction_header_id
  AND deliverable.business_document_type='SOLICITATION_RESPONSE'
  AND deliverable.deliverable_status &lt;&gt; 'INACTIVE'
  AND deliverable.business_document_id=pbh.bid_number
  AND deliverable.deliverable_type = deliverabletypes_tl.deliverable_type_code
  AND deliverabletypes_tl.language = deliverabletypes_tl.language
  and deliverable.internal_party_id = org.organization_id (+)
  and deliverable.responsible_party = resp_party_tl.resp_party_code
  and busdoc.document_type_class = resp_party_tl.document_type_class
  and busdoc.intent = resp_party_tl.intent
  and resp_party_tl.language = deliverabletypes_tl.language
  and deliverable.business_document_type = busdoc.document_type
  and busdoc.intent = resp_party_tl.intent
  and busdoc.document_type = busdoc_tl.document_type
  AND busdoc_tl.language = deliverabletypes_tl.language
  and deliverabletypes_tl.language in ( 'US')
  AND (deliverable.last_update_date &gt; to_date(to_char(to_timestamp('26-APR-20'),'DD-MON-YY HH24.MI.SS'),'DD-MON-YY HH24.MI.SS')
                OR (trunc(deliverable.creation_date) &gt;= trunc(to_date(to_char(to_timestamp(nvl(fnd_date.Canonical_to_date(fnd_profile.Value('PO_CLM_DASHBOARD_CUT_OFF')),deliverable.creation_date)),'DD-MON-YY HH24.MI.SS'),'DD-MON-YY HH24.MI.SS'))
                     and deliverable.actual_due_date &lt; sysdate and deliverable.deliverable_status = 'OPEN'
                     and to_date(to_char(to_timestamp('26-APR-20'),'DD-MON-YY HH24.MI.SS'),'DD-MON-YY HH24.MI.SS')&lt;=deliverable.actual_due_date))) PIVOT (max(deliverable_status) as deliverable_status,
                         max(deliverable_category) as deliverable_category,
                         max(deliverable_type) as deliverable_type,
                         max(responsible_party) as responsible_party,
                         max(Document_Type) as Document_Type,
                         max(Internal_Organization) as Internal_Organization,
                         max(on_time_completion) as on_time_completion
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</si>
  <si>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3139141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3139141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</si>
  <si>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3139140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3139140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</si>
  <si>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63,099.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</si>
  <si>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 SELECT * FROM
	                       (SELECT  DELDATA AS ECC_SPEC_ID,
								 DELDATA AS RECORD_IDENTIFIER,
								 PROJECT_NAME ,
								 ORDER_NUMBER,
								 DELDATA,
								 BUSINESS_DOCUMENT_TYPE,
								 BUSINESS_DOCUMENT_TYPE_CODE,
								 DELIVERABLE_TYPE,
								 DELIVERABLE_TYPE_CODE,
								 DELIVERABLE_STATUS,
								 DELIVERABLE_STATUS_CODE,
								 RESPONSIBLE_PARTY_CODE,
								 RESPONSIBLE_PARTY,
								 DELIVERABLE_NAME,
								 DELIVERABLE_DESCRIPTION,
								 DISPLAY_SEQUENCE,
								 FIXED_DUE_DATE_YN,
								 ACTUAL_DUE_DATE,
								 RECURRING_YN,
								 AMENDMENT_NOTES,
								 STATUS_CHANGE_NOTES,
								 VENDOR_CONTACT_ID,
								 PARTY_NAME,
								 CONTACT,
								 PO_HEADER_ID,
								 DELIVERABLE_HOLD,
								 HOLD_AMOUNT,
								 DAYS_ON_HOLD,
								 ORG_ID,
								 PROJECT_ID,
								 PROJECT_NUMBER,
								 HOLD_DATE,
								 MANAGE_DELIVERABLE,
                                 LANGUAGE
                                 FROM (
										SELECT  pap.name project_name
											   ,poh.segment1 order_number
											   ,del.deliverable_id deldata
											   ,busdoctypes_tl.name business_document_type
											   ,del.business_document_type business_document_type_code
											   ,deliverabletypes_tl.name deliverable_type
											   ,del.deliverable_type deliverable_type_code
											   ,status_lookup.meaning deliverable_status
											   ,del.deliverable_status deliverable_status_code
											   ,del.responsible_party responsible_party_code
											   ,reptl.name responsible_party
											   ,del.deliverable_name
											   ,del.description deliverable_description
											   ,del.display_sequence
											   ,del.fixed_due_date_yn
											   ,del.actual_due_date
											   ,del.recurring_yn
											   ,del.amendment_notes
											   ,del.status_change_notes
											   ,poh.vendor_contact_id
											   ,CASE
												WHEN    del.deliverable_type = 'CONTRACTUAL'
												AND     responsible_party = 'SUPPLIER_ORG'
														THEN
																(
																SELECT  vendor_name
																FROM    ap_suppliers
																WHERE   vendor_id = poh.vendor_id
																)
												ELSE
														(
														SELECT  DISTINCT
																name
														FROM    hr_all_organization_units_tl
														WHERE   organization_id = poh.org_id
														AND     language (+) = lang.language_code
														) END party_name
											   ,CASE
												WHEN    del.deliverable_type = 'CONTRACTUAL'
												AND     responsible_party = 'SUPPLIER_ORG'
														THEN
																(
																SELECT  DISTINCT
																		party_name
																FROM    hz_parties
																WHERE   party_id = poh.vendor_contact_id
																)
												ELSE
														(
														SELECT  DISTINCT
																full_name
														FROM    per_all_people_f
														WHERE   person_id = del.internal_party_contact_id
														) END contact
											   ,poh.po_header_id
											   ,decode (nvl (holds.hold
															,0)
													   ,0
													   ,'N'
													   ,'Y') deliverable_hold
											   ,holds.hold_amount hold_amount
											   ,trunc (sysdate - holds.hold_date) days_on_hold
											   ,poh.org_id org_id
											   ,psco.project_id
											   ,pap.segment1 project_number
											   ,holds.hold_date hold_date
											   ,po_endeca_util_pub.po_get_action_text ('MANAGE_DELIVERABLE'
																					  ,20) manage_deliverable
											   ,lang.language_code LANGUAGE
										FROM    okc_deliverables del
											   ,po_headers_all poh
											   ,po_doc_style_headers ps
											   ,pa_supply_chain_options psco
											   ,pa_projects_all pap
											   ,po_proc_plan_header pph
											   ,fnd_lookup_values status_lookup
											   ,okc_deliverable_types_tl deliverabletypes_tl
											   ,okc_bus_doc_types_tl busdoctypes_tl
											   ,okc_resp_parties_b repb
											   ,okc_resp_parties_tl reptl
											   ,
												(
												SELECT  pod.po_header_id
													   ,count (1) hold
													   ,sum (apd.amount) hold_amount
													   ,min (ah.hold_date) hold_date
												FROM    ap_invoice_distributions_all apd
													   ,ap_holds_all ah
													   ,po_distributions_all pod
												WHERE   apd.project_id &gt; 0
												AND     ah.invoice_id = apd.invoice_id
												AND     pod.po_distribution_id &gt; 0
												AND     pod.po_distribution_id = apd.po_distribution_id
												AND     ah.hold_lookup_code = 'PO Deliverable'
												AND     ah.release_lookup_code IS NULL
												GROUP BY pod.po_header_id
												) holds
												,fnd_languages lang
										WHERE   poh.po_header_id = del.business_document_id
										AND     poh.revision_num = del.business_document_version
										AND     poh.po_header_id = holds.po_header_id (+)
										AND     business_document_type IN ('PO_STANDARD','RFQ')
										AND     psco.project_id IN
												(
												SELECT  DISTINCT
														project_id
												FROM    po_distributions_all
												WHERE   po_header_id = poh.po_header_id
												)
										AND     pap.project_id = psco.project_id
										AND     pph.project_id = psco.project_id
										AND     psco.enable_scp_flag = 'Y'
										AND     status_lookup.lookup_type = 'OKC_DELIVERABLE_STATUS'
										AND     status_lookup.lookup_code = del.deliverable_status
										AND     status_lookup.VIEW_APPLICATION_ID = 0
                                        AND     status_lookup.SECURITY_GROUP_ID = 0
										AND     status_lookup.language = lang.language_code
										AND     del.deliverable_status &lt;&gt; 'INACTIVE'
										AND     lang.installed_flag in ('I', 'B')
										AND     nvl(deliverabletypes_tl.language, lang.language_code) = lang.language_code
										AND     deliverabletypes_tl.deliverable_type_code = del.deliverable_type
										AND     nvl(busdoctypes_tl.language, lang.language_code) = lang.language_code
										AND     busdoctypes_tl.document_type = del.business_document_type
										AND     poh.style_id = ps.style_id
										AND 	repb.document_type_class = reptl.document_type_class(+)
										AND     repb.resp_party_code = reptl.resp_party_code(+)
										AND     nvl (repb.intent , 'XXX') = nvl (reptl.intent  ,'XXX')
										AND     nvl(reptl.language, lang.language_code) = lang.language_code
										AND     repb.resp_party_code(+) = del.responsible_party
										AND     nvl(repb.document_type_class, 'PO') = 'PO'
										AND     del.last_update_date &gt;= to_date(to_char(to_timestamp('26-APR-20'),'DD-MON-YY HH24.MI.SS'),'DD-MON-YY HH24.MI.SS') AND  LANG.LANGUAGE_CODE in ('US'))
										) PIVOT (
										 MAX(business_document_type) AS BUSINESS_DOCUMENT_TYPE,
										 MAX(deliverable_type) AS DELIVERABLE_TYPE,
										 MAX(party_name) AS PARTY_NAME,
										 MAX(responsible_party) AS RESPONSIBLE_PARTY,
										 MAX(deliverable_status) AS DELIVERABLE_STATUS
										for LANGUAGE in ('US' "US")
										 )</t>
  </si>
  <si>
    <t>SELECT * FROM (
  SELECT /*+ leading(apl) cardinality(apl 10) index(apl PO_APPROVED_SUPPLIER_LIST_EN1) */
						DISTINCT
							'ASL_LIST' RECORD_TYPE,
							pov.segment1 || ' - ' || msi.concatenated_segments || psa.vendor_site_code ECC_SPEC_ID,
							pov.segment1 || ' - ' || msi.concatenated_segments || psa.vendor_site_code RECORD_IDENTIFIER,
							pov.segment1  supplier_number,
							pov.vendor_name supplier_name,
							psa.vendor_site_code supplier_site,
							msi.concatenated_segments  item_number,
							msi.description item_description,
							cat.concatenated_segments category_item,
							plc.meaning business_type,
							pst.status asl_status,
							apl.primary_vendor_item supplier_item,
							mma.manufacturer_name manufacturer,
							ORG.ORGANIZATION_ID as ORG_ID,
							1 amount9,
              lang.language_code language
						from
							MTL_SYSTEM_ITEMS_B_KFV msi,
							MTL_CATEGORIES_B_KFV cat,
							po_approved_supplier_list apl,
							AP_SUPPLIERS pov,
							AP_SUPPLIER_SITES_ALL psa,
							mtl_manufacturers mma,
							FND_LOOKUP_VALUES plc,
							po_asl_statuses pst,
							hz_parties hp,
							HZ_PARTY_SITES HPS,
							hz_organization_profiles org_profile	,
							HZ_LOCATIONS HL,
							hz_geo_struct_map_dtl dtl,
							hz_geo_struct_map map,
							HR_ALL_ORGANIZATION_UNITS ORG,
              FND_LANGUAGES lang
						where
							pst.status_id = apl.asl_status_id
							and plc.lookup_type = 'ASL_VENDOR_BUSINESS_TYPE'
							and plc.lookup_code = apl.vendor_business_type
							and plc.VIEW_APPLICATION_ID = 201
              and lang.installed_flag in ('I', 'B')
							and nvl(plc.language, lang.language_code) = lang.language_code
							and SECURITY_GROUP_ID = fnd_global.lookup_security_group(plc.LOOKUP_TYPE,plc.VIEW_APPLICATION_ID)
							and mma.manufacturer_id (+) = apl.manufacturer_id
							and psa.vendor_site_id = apl.vendor_site_id
							and pov.vendor_id = apl.vendor_id
							and psa.org_id = org.organization_id(+)
							and cat.CATEGORY_ID (+) = apl.category_id
							and msi.inventory_item_id = apl.item_id
							and msi.INVENTORY_ITEM_ID(+)  = apl.ITEM_ID
							and msi.ORGANIZATION_ID(+) = apl.OWNING_ORGANIZATION_ID
							AND hp.party_id = pov.party_id
							AND HPS.PARTY_SITE_ID(+) = psa.PARTY_SITE_ID
							AND org_profile.party_id(+)           = pov.party_id
							AND org_profile.effective_end_date(+) IS NULL
							AND dtl.map_id(+)                         = map.map_id
							AND NVL(hl.address_style, 'XX')        = NVL(map.address_style, NVL(hl.address_style, 'XX'))
							AND NVL(map.loc_tbl_name, 'HZ_LOCATIONS')                   = 'HZ_LOCATIONS'
							AND map.country_code(+)                   = hl.country
							AND nvl(dtl.loc_seq_num, 2)                    = 2
							AND HL.LOCATION_ID(+) = HPS.LOCATION_ID
              AND apl.last_update_date &gt;= to_date(to_char(to_timestamp('26-APR-20'),'DD-MON-YY HH24.MI.SS'),'DD-MON-YY HH24.MI.SS') AND  LANG.LANGUAGE_CODE in ('US')
				) PIVOT (
				 MAX(BUSINESS_TYPE) AS BUSINESS_TYPE
				for LANGUAGE in ('US' "US")
				 )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</si>
  <si>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to_date(to_char(to_timestamp('26-APR-20 03.48.49.000000 PM'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to_date(to_char(to_timestamp('26-APR-20 03.48.49.000000 PM'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to_date(to_char(to_timestamp('26-APR-20 03.48.49.000000 PM'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to_date(to_char(to_timestamp('26-APR-20 03.48.49.000000 PM'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</si>
  <si>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
(SELECT v.* ,dfv.* FROM
      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,ia_unit_actual_amt
       ,ia_unit_estimated_amt
       ,ia_act_estm_variance
       ,ia_unit_act_estm_variance
       ,ia_act_estm_variance_percent
       ,ia_matched_percent
       ,ia_unmatched_amt
       ,ia_unmatched_percent
       ,ia_charge_amt,ia_unit_charge_amt
       ,(ia_charge_amt - ia_charge_est_amt) CHARGE_VAR
       ,ia_tax_amt,ia_unit_tax_amt
       ,(ia_tax_amt - ia_tax_est_amt) TAX_VAR
       ,ia_item_amt,ia_unit_item_amt
       ,(ia_item_amt - ia_item_est_amt) ITEM_VAR
       ,ia_charge_est_amt
       ,ia_tax_est_amt
       ,ia_item_est_amt
       ,(ia_charge_amt + ia_tax_amt + ia_item_amt) i_total_amt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    from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,ia_actual_amt / isl_primary_qty ia_unit_actual_amt
       ,ia_estimated_amt / isl_primary_qty ia_unit_estimated_amt
       ,(ia_actual_amt - ia_estimated_amt) ia_act_estm_variance
       ,(ia_actual_amt / isl_primary_qty) - (ia_estimated_amt / isl_primary_qty) ia_unit_act_estm_variance
       ,to_number (decode (ia_estimated_amt
                                  ,0
                                  ,0
                                  ,round (((ia_actual_amt - ia_estimated_amt) * 100) / ia_estimated_amt
                                         ,2))) ia_act_estm_variance_percent
       ,decode (ia_estimated_amt
                       ,0
                       ,0
                       ,round (decode (sign (ia_matched_amt)
                                      ,- 1
                                      ,0
                                      ,(ia_matched_amt) * 100) / ia_estimated_amt
                              ,2)) ia_matched_percent
               ,decode (sign (ia_estimated_amt - ia_matched_amt)
                       ,- 1
                       ,0
                       ,(ia_estimated_amt - ia_matched_amt)) ia_unmatched_amt
               ,decode (ia_estimated_amt
                       ,0
                       ,0
                       ,round (decode (sign (ia_estimated_amt - ia_matched_amt)
                                      ,- 1
                                      ,0
                                      ,(ia_estimated_amt - ia_matched_amt) * 100) / ia_estimated_amt
                              ,2)) ia_unmatched_percent
               ,nvl (sum (CASE
                          WHEN    (
                                          ia_component_type_code = 'CHARGE'
                                  )
                                  THEN    ia_actual_amt END) OVER (PARTITION BY ecc_spec_id,language)
                    ,0) ia_charge_amt
               ,nvl (sum (CASE
                          WHEN    (
                                          ia_component_type_code = 'CHARGE'
                                  )
                                  THEN    ia_actual_amt/isl_primary_qty END) OVER (PARTITION BY ecc_spec_id,LANGUAGE)
                    ,0) ia_unit_charge_amt
               ,nvl (sum (CASE
                          WHEN    (
                                          ia_component_type_code = 'TAX'
                                  )
                                  THEN    ia_actual_amt END) OVER (PARTITION BY ecc_spec_id,language)
                    ,0) ia_tax_amt
               ,nvl (sum (CASE
                          WHEN    (
                                          ia_component_type_code = 'TAX'
                                  )
                                  THEN    ia_actual_amt/isl_primary_qty END) OVER (PARTITION BY ecc_spec_id,LANGUAGE)
                    ,0) ia_unit_tax_amt
               ,nvl (sum (CASE
                          WHEN    (
                                          ia_component_type_code = 'ITEM PRICE'
                                  )
                                  THEN    ia_actual_amt END) OVER (PARTITION BY ecc_spec_id,language)
                    ,0) ia_item_amt
               ,nvl (sum (CASE
                          WHEN    (
                                          ia_component_type_code = 'ITEM PRICE'
                                  )
                                  THEN    ia_actual_amt/isl_primary_qty END) OVER (PARTITION BY ecc_spec_id,LANGUAGE)
                    ,0) ia_unit_item_amt
               ,nvl (sum (CASE
                          WHEN    (
                                          ia_component_type_code = 'CHARGE'
                                  )
                                  THEN    ia_estimated_amt END) OVER (PARTITION BY ecc_spec_id,language)
                    ,0) ia_charge_est_amt
               ,nvl (sum (CASE
                          WHEN    (
                                          ia_component_type_code = 'TAX'
                                  )
                                  THEN    ia_estimated_amt END) OVER (PARTITION BY ecc_spec_id,language)
                    ,0) ia_tax_est_amt
               ,nvl (sum (CASE
                          WHEN    (
                                          ia_component_type_code = 'ITEM PRICE'
                                  )
                                  THEN    ia_estimated_amt END) OVER (PARTITION BY ecc_spec_id,language)
                    ,0) ia_item_est_amt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FROM    (SELECT  ish.ship_header_id
         || '-'
         || islg.ship_line_group_id
         || '-'
         || nvl (isl.parent_ship_line_id
                ,isl.ship_line_id)
         || '-'
         || aa.component_type_code
         || '-'
         || aa.component_reference ECC_spec_id
        ,'LC' ECC_record_type
        ,greatest (ish.last_update_date
                  ,islg.last_update_date
                  ,isl.last_update_date) ECC_last_update_date
        ,flv3.language
        ,ish.ship_header_id ish_shipment_header_id
        ,ish.ship_num ish_shipment_num
        ,stb.ship_type_code ish_shipment_type_code
        ,sttl.ship_type_name ish_shipment_type
        ,ish.ship_status_code ish_shipment_status_code
        ,flv2.description ish_shipment_status
        ,ish.ship_date ish_shipment_date
        ,ish.org_id ish_org_id
        ,ou.name ish_operating_unit
        ,ish.organization_id ish_organization_id
        ,mp.organization_code ish_organization_code
        ,hao.name ish_organization_name
        ,hrl1.location_code ish_location_code
        ,hrl1.country ish_country
        ,to_number (to_char (ish.ship_date
                            ,'YYYY')) ish_shipment_year
        ,to_char (ish.ship_date
                 ,'YYYY')
         || ' '
         || to_char (ish.ship_date
                    ,'WW') ish_shipment_year_week
        ,to_char (ish.ship_date
                 ,'YYYY')
         || ' '
         || to_char (ish.ship_date
                    ,'MM') ish_shipment_year_month
        ,to_char (ish.ship_date
                 ,'YYYY')
         || ' '
         || to_char (ish.ship_date
                    ,'Q') ish_shipment_year_quarter
        ,nvl (ish.pending_matching_flag
             ,'N') ish_pending_matching_flag
        ,ish.attribute_category ish_attribute_category
        ,ish.attribute1 ish_attribute1
        ,ish.attribute2 ish_attribute2
        ,ish.attribute3 ish_attribute3
        ,ish.attribute4 ish_attribute4
        ,ish.attribute5 ish_attribute5
        ,ish.attribute6 ish_attribute6
        ,ish.attribute7 ish_attribute7
        ,ish.attribute8 ish_attribute8
        ,ish.attribute9 ish_attribute9
        ,ish.attribute10 ish_attribute10
        ,ish.attribute11 ish_attribute11
        ,ish.attribute12 ish_attribute12
        ,ish.attribute13 ish_attribute13
        ,ish.attribute14 ish_attribute14
        ,ish.attribute15 ish_attribute15
        ,islg.ship_line_group_id islg_shipment_line_group_id
        ,islg.ship_line_group_num islg_line_group_num
        ,islg.ship_line_group_reference islg_line_group_reference
        ,hp1.party_name islg_party_name
        ,hps1.party_site_name islg_party_site_name
        ,hl.country islg_party_site_country
        ,isl.ship_line_id isl_shipment_line_id
        ,isl.parent_ship_line_id isl_parent_shipment_line_id
        ,isl.ship_line_num isl_shipment_line_num
        ,msic.concatenated_segments isl_item
        ,msitl.description isl_item_description
        ,mcc.concatenated_segments isl_item_category_code
        ,mc.description isl_item_ctg_desc
        ,isl.primary_qty isl_primary_qty
        ,isl.primary_uom_code isl_primary_uom_code
        ,isl.primary_unit_price isl_primary_unit_price
        ,isl.attribute_category isl_attribute_category
        ,isl.attribute1 isl_attribute1
        ,isl.attribute2 isl_attribute2
        ,isl.attribute3 isl_attribute3
        ,isl.attribute4 isl_attribute4
        ,isl.attribute5 isl_attribute5
        ,isl.attribute6 isl_attribute6
        ,isl.attribute7 isl_attribute7
        ,isl.attribute8 isl_attribute8
        ,isl.attribute9 isl_attribute9
        ,isl.attribute10 isl_attribute10
        ,isl.attribute11 isl_attribute11
        ,isl.attribute12 isl_attribute12
        ,isl.attribute13 isl_attribute13
        ,isl.attribute14 isl_attribute14
        ,isl.attribute15 isl_attribute15
        ,gll.currency_code ia_currency_code
        ,aa.component_type_code ia_component_type_code
        ,flv1.description ia_component_type
        ,aa.component_reference_id ia_component_reference_id
        ,CASE
        WHEN    aa.component_type_code = 'CHARGE'
                THEN
                        (
                        SELECT  pet1.name
                        FROM    pon_price_element_types_tl pet1
                        WHERE   pet1.price_element_type_id = aa.component_reference_id
                        AND     pet1.language = flv3.language
                        )
        WHEN    aa.component_type_code = 'ITEM PRICE'
                THEN
                        (
                        SELECT  islt.ship_line_type_name
                        FROM    inl_ship_line_types_tl islt
                        WHERE   islt.ship_line_type_id = aa.component_reference_id
                        AND     islt.language = flv3.language
                        )
        ELSE    aa.component_reference END ia_component_reference
        ,round (aa.allocation_amt
               ,2) ia_actual_amt
        ,round (aa.estimated_allocation_amt
               ,2) ia_estimated_amt
        ,decode (aa.from_parent_table_name
                ,'INL_SHIP_LINES'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,m.to_parent_table_id
                                     ,m.match_id
                                     ,m.parent_match_id
                                     ,m.matched_amt
                                     ,
                                      (
                                      SELECT  max (m2.match_id)
                                      FROM    inl_matches m2
                                      WHERE   m2.ship_header_id =
							m.ship_header_id
                                      AND     nvl (m2.parent_match_id
                                                  ,m2.match_id) = nvl
							(m.parent_match_id
							,m.match_id)
                                      ) last_match_id
                              FROM    inl_matches m
                              WHERE   m.match_type_code
                                      || '' = 'ITEM'
                              AND     m.to_parent_table_name =
					'INL_SHIP_LINES'
                              ) m1
                      WHERE   m1.ship_header_id = ish.ship_header_id
                      AND     m1.to_parent_table_id = nvl
							(isl.parent_ship_line_id
							,isl.ship_line_id)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							(isl.parent_ship_line_id
							,isl.ship_line_id)
                      CONNECT BY PRIOR m1.match_id = m1.parent_match_id
                      )
                     ,0)
                ,'INL_CHARGE_LINES'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,m.charge_line_type_id
                                     ,
                                      (
                                      SELECT  max (m2.match_id)
                                      FROM    inl_matches m2
                                      WHERE   m2.ship_header_id =
						m.ship_header_id
                                      AND     nvl (m2.parent_match_id
                                                  ,m2.match_id) = nvl
								(m.parent_match_id
								,m.match_id)
                                      ) last_match_id
                              FROM    inl_matches m
                              WHERE   m.match_type_code
                                      || '' = 'CHARGE'
                              AND     m.to_parent_table_name =
						'INL_SHIP_LINES'
                              ) m1
                      WHERE   m1.ship_header_id = ish.ship_header_id
                      AND     m1.to_parent_table_id = nvl
(isl.parent_ship_line_id
,isl.ship_line_id)
                      AND     m1.charge_line_type_id =
aa.component_reference_id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m1.charge_line_type_id =
aa.component_reference_id
                      CONNECT BY PRIOR m1.match_id = m1.parent_match_id
                      )
                     ,0)
                ,'INL_TAX_LINES'
                ,nvl (
                      (
                      SELECT  sum (nvl (round (m1.matched_amt
                                              ,2)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,m.tax_code
                                     ,
                                      (
                                      SELECT  max (m2.match_id)
                                      FROM    inl_matches m2
                                      WHERE   m2.ship_header_id =
m.ship_header_id
                                      AND     nvl (m2.parent_match_id
                                                  ,m2.match_id) = nvl
(m.parent_match_id
,m.match_id)
                                      ) last_match_id
                              FROM    inl_matches m
                              WHERE   m.to_parent_table_name =
'INL_SHIP_LINES'
                              AND     m.match_type_code
                                      || '' = 'TAX'
                              ) m1
                      WHERE   m1.ship_header_id = ish.ship_header_id
                      AND     m1.to_parent_table_id = nvl
(isl.parent_ship_line_id
,isl.ship_line_id)
                      AND     m1.tax_code = aa.component_reference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m1.tax_code = aa.component_reference
                      CONNECT BY PRIOR m1.match_id = m1.parent_match_id
                      )
                     ,0)
                ,NULL) ia_matched_amt
        ,ph.segment1 ph_po_num
        ,ph.creation_date ph_po_creation_date
        ,flv3.meaning ph_po_type
        ,pbv.full_name ph_po_agent_name
        ,pl.line_num pl_po_line_num
        ,pl.vendor_product_num pl_supplier_item
        ,pl.unit_price pl_unit_price
        ,nvl (pl.closed_flag
             ,'Y') pl_line_closed_flag
        ,pll.shipment_num pll_po_shipment_num
        ,pll.need_by_date pll_need_by_date
        ,pll.promised_date pll_promised_date
        ,decode (sign (nvl (pll.closed_for_receiving_date
                           ,sysdate + 1) - sysdate)
                ,1
                ,'N'
                ,0
                ,'Y'
                ,'Y') pll_closed_for_receiving_flag
        ,decode (sign (nvl (pll.closed_for_invoice_date
                           ,sysdate + 1) - sysdate)
                ,1
                ,'N'
                ,0
                ,'Y'
                ,'Y') pll_closed_for_invoicing_flag
        ,pll.quantity * pl.unit_price pll_amount
        ,rsh.receipt_num rsh_receipt_num
        ,rsh.creation_date rsh_receipt_date
        ,hrl3.location_code rsh_ship_to_location_code
        ,rsh.bill_of_lading rsh_bill_of_lading
        ,rsh.packing_slip rsh_packing_slip
        ,rsh.shipped_date rsh_shipped_date
        ,rsh.waybill_airbill_num rsh_waybill_airbill_num
        ,hrl2.location_code rsl_deliver_to_location_code
        ,rsl.container_num rsl_container_num
FROM    (
         SELECT  a.ship_header_id
                ,a.ship_line_id
                ,a.adjustment_num
                ,a.from_parent_table_name
                ,a.component_type_code
                ,a.component_reference
                ,a.component_reference_id
                ,sum (nvl (a.allocation_amt
                          ,0)) allocation_amt
                ,sum (nvl (a.estimated_allocation_amt
                          ,0)) estimated_allocation_amt
         FROM    (
                 SELECT
                         ia.ship_header_id
                        ,ship_line_id
                        ,ia.adjustment_num
                        ,from_parent_table_name
                        ,decode (from_parent_table_name
                                ,'INL_SHIP_LINES'
                                ,'ITEM PRICE'
                                ,'INL_CHARGE_LINES'
                                ,'CHARGE'
                                ,'INL_TAX_LINES'
                                ,'TAX'
                                ,NULL) component_type_code
                        ,decode (from_parent_table_name
                                ,'INL_SHIP_LINES'
                                ,
                                 (
                                 SELECT   DISTINCT TO_CHAR(ISLT.SHIP_LINE_TYPE_ID)
                                 FROM    inl_ship_line_types_tl islt
                                        ,inl_ship_lines_all isl
                                 WHERE   islt.ship_line_type_id =
isl.ship_line_type_id
                                 AND     isl.ship_line_id =
from_parent_table_id
                                 )
                                ,'INL_CHARGE_LINES'
                                ,
                                 (
                                 SELECT DISTINCT TO_CHAR(petl.PRICE_ELEMENT_TYPE_ID)
                                 FROM    pon_price_element_types_tl petl
                                        ,inl_charge_lines cl
                                 WHERE   petl.price_element_type_id =
cl.charge_line_type_id
                                 AND  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
                        ,decode (from_parent_table_name
                                ,'INL_SHIP_LINES'
                                ,
                                 (
                                 SELECT  to_char (isl.ship_line_type_id)
                                 FROM    inl_ship_lines_all isl
                                 WHERE   isl.ship_line_id =
from_parent_table_id
                                 )
                                ,'INL_CHARGE_LINES'
                                ,
                                 (
                                 SELECT  to_char (cl.charge_line_type_id)
                                 FROM    inl_charge_lines cl
                                 WHERE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component_reference_id
                        ,allocation_amt
                        ,decode (parent_allocation_id
                                ,NULL
                                ,0
                                ,first_value (nvl (allocation_amt
                                                  ,0)) OVER (PARTITION
BY ia.ship_header_id
,parent_allocation_id
                                                             ORDER BY
ia.adjustment_num) ) estimated_allocation_amt
                 FROM    inl_allocations ia
                        ,inl_ship_headers_all ish
                 WHERE   ia.landed_cost_flag = 'Y'
                 AND     ish.last_update_date &gt; to_date(to_char(to_timestamp('26-APR-20'),'DD-MON-YY HH24.MI.SS'),'DD-MON-YY HH24.MI.SS')
                 AND     ish.ship_header_id = ia.ship_header_id
                 ) a
         GROUP BY a.ship_header_id
                 ,a.ship_line_id
                 ,a.adjustment_num
                 ,a.from_parent_table_name
                 ,a.component_type_code
                 ,a.component_reference
                 ,a.component_reference_id
         ) aa
        ,fnd_lookup_values flv3
        ,fnd_lookup_values flv2
        ,fnd_lookup_values flv1
        ,inl_ship_types_tl sttl
        ,inl_ship_types_b stb
        ,inl_ship_headers_all ish
        ,inl_ship_line_groups islg
        ,gl_ledgers gll
        ,rcv_shipment_headers rsh
        ,rcv_shipment_lines rsl
        ,mtl_system_items_tl msitl
        ,mtl_system_items_kfv msic
        ,inl_ship_lines_all isl
        ,mtl_parameters mp
        ,hr_all_organization_units hao
        ,hr_locations_all hrl3
        ,hr_locations_all hrl2
        ,hr_locations_all hrl1
        ,hz_parties hp1
        ,hz_party_sites hps1
        ,hz_locations hl
        ,po_line_locations_all pll
        ,po_lines_all pl
        ,po_headers_all ph
        ,per_all_people_f pbv
        ,mtl_categories_tl mc
        ,mtl_categories_kfv mcc
        ,hr_operating_units ou
WHERE   ou.organization_id = ish.org_id
AND     ou.set_of_books_id = gll.ledger_id
AND     flv3.lookup_code = ph.type_lookup_code
AND     flv3.lookup_type = 'PO TYPE'
AND     flv2.lookup_code = ish.ship_status_code
AND     flv2.lookup_type = 'INL_SHIP_STATUSES'
AND     flv2.language =  flv3.language
AND     decode (aa.from_parent_table_name
                ,'INL_SHIP_LINES'
                ,'SL'
                ,'INL_CHARGE_LINES'
                ,'CHL'
                ,'INL_TAX_LINES'
                ,'TXL'
                ,NULL) = flv1.lookup_code
AND     flv1.lookup_type = 'INL_COMPONENTS'
AND     flv1.language =  flv3.language
AND     hrl3.location_id (+) = rsh.ship_to_location_id
AND     hrl2.location_id (+) = rsl.deliver_to_location_id
AND     hrl1.location_id (+) = ish.location_id
AND     mc.category_id (+) = mcc.category_id
AND    ( mc.language IS NULL OR mc.language= flv3.language)
AND     mcc.category_id (+) = pl.category_id
AND     msitl.organization_id = msic.organization_id
AND     msitl.inventory_item_id = msic.inventory_item_id
AND     msitl.language =flv3.language
AND     msic.organization_id = ish.organization_id
AND     hao.organization_id = ish.organization_id
AND     msic.inventory_item_id = isl.inventory_item_id
AND     hl.location_id (+) = hps1.location_id
AND     hps1.party_site_id (+) = islg.party_site_id
AND     hp1.party_id (+) = islg.party_id
AND     pbv.person_id = ph.agent_id
AND     sysdate BETWEEN nvl (pbv.effective_start_date
                             ,sysdate - 1)
                 AND     nvl (pbv.effective_end_date
                             ,sysdate + 1)
AND     sttl.ship_type_id = stb.ship_type_id
AND     sttl.language =  flv3.language
AND     stb.ship_type_id = ish.ship_type_id
AND     mp.organization_id = ish.organization_id
AND     rsh.shipment_header_id (+) = rsl.shipment_header_id
AND     rsl.lcm_shipment_line_id (+) = nvl (isl.parent_ship_line_id
                                            ,isl.ship_line_id)
AND     NOT EXISTS
             (
             SELECT  'X'
             FROM    rcv_transactions a
                    ,rcv_shipment_headers b
             WHERE   a.lcm_shipment_line_id = isl.ship_line_id
             AND     a.po_line_location_id = pll.line_location_id
             AND     b.shipment_header_id = a.shipment_header_id
             AND     b.asn_type IS NOT NULL
             AND     b.asn_type &lt;&gt; 'LCM'
             )
AND     ph.po_header_id = pl.po_header_id
AND     pl.po_line_id = pll.po_line_id
AND     pll.line_location_id = isl.ship_line_source_id
AND     aa.ship_header_id = ish.ship_header_id
AND     aa.ship_line_id = isl.ship_line_id
AND     aa.adjustment_num =
                             (
                             SELECT  max (adjustment_num)
                             FROM    inl_allocations a
                             WHERE   a.ship_header_id = aa.ship_header_id
                             )
AND     isl.ship_header_id = islg.ship_header_id
AND     isl.ship_line_group_id = islg.ship_line_group_id
AND     islg.ship_header_id = ish.ship_header_id
AND     ish.simulation_id IS NULL)) UNION SELECT  ecc_spec_id
       ,ecc_record_type
       ,ecc_last_update_date
       ,language
       ,ish_shipment_header_id
       ,ish_shipment_num
       ,ish_shipment_type_code
       ,ish_shipment_ty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</si>
  <si>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TO_DATE('27-APR-20 01:58:26','DD-MON-RR HH24:MI:SS') + 7 ))  AND (wdj.last_update_date &gt;= TO_DATE('27-APR-20 01:58:26','DD-MON-RR HH24:MI:SS')
                                                        OR wo.last_update_date &gt;= TO_DATE('27-APR-20 01:58:26','DD-MON-RR HH24:MI:SS')
                                                        OR we.last_update_date &gt;= TO_DATE('27-APR-20 01:58:26','DD-MON-RR HH24:MI:SS')
                                                        OR wmt.last_update_date &gt;= TO_DATE('27-APR-20 01:58:26','DD-MON-RR HH24:MI:SS')
                                                        OR bd.last_update_date &gt;= TO_DATE('27-APR-20 01:58:26','DD-MON-RR HH24:MI:SS')
                                                        OR bso.last_update_date &gt;= TO_DATE('27-APR-20 01:58:26','DD-MON-RR HH24:MI:SS')
                                                        OR mtr.last_update_date &gt;= TO_DATE('27-APR-20 01:58:26','DD-MON-RR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</si>
  <si>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TO_DATE('27-APR-20 01:58:26','DD-MON-RR HH24:MI:SS') + 7 )) AND (wdj.last_update_date &gt;= TO_DATE('27-APR-20 01:58:26','DD-MON-RR HH24:MI:SS')
													     OR we.last_update_date &gt;= TO_DATE('27-APR-20 01:58:26','DD-MON-RR HH24:MI:SS')
                                                         OR msn.last_update_date &gt;= TO_DATE('27-APR-20 01:58:26','DD-MON-RR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TO_DATE('27-APR-20 01:58:26','DD-MON-RR HH24:MI:SS')
													     OR we.last_update_date &gt;= TO_DATE('27-APR-20 01:58:26','DD-MON-RR HH24:MI:SS')
                                                         OR msn.last_update_date &gt;= TO_DATE('27-APR-20 01:58:26','DD-MON-RR HH24:MI:SS')
                                                         OR mog.last_update_date &gt;= TO_DATE('27-APR-20 01:58:26','DD-MON-RR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</si>
  <si>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TO_DATE('26-APR-20 14:02:10','DD-MON-RR HH24:MI:SS') + 7 ))  AND (wdj.last_update_date &gt;= TO_DATE('26-APR-20 14:02:10','DD-MON-RR HH24:MI:SS')
                                                        OR wo.last_update_date &gt;= TO_DATE('26-APR-20 14:02:10','DD-MON-RR HH24:MI:SS')
                                                        OR we.last_update_date &gt;= TO_DATE('26-APR-20 14:02:10','DD-MON-RR HH24:MI:SS')
                                                        OR wmt.last_update_date &gt;= TO_DATE('26-APR-20 14:02:10','DD-MON-RR HH24:MI:SS')
                                                        OR bd.last_update_date &gt;= TO_DATE('26-APR-20 14:02:10','DD-MON-RR HH24:MI:SS')
                                                        OR bso.last_update_date &gt;= TO_DATE('26-APR-20 14:02:10','DD-MON-RR HH24:MI:SS')
                                                        OR mtr.last_update_date &gt;= TO_DATE('26-APR-20 14:02:10','DD-MON-RR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</si>
  <si>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TO_DATE('26-APR-20 14:02:10','DD-MON-RR HH24:MI:SS') + 7 )) AND (wdj.last_update_date &gt;= TO_DATE('26-APR-20 14:02:10','DD-MON-RR HH24:MI:SS')
													     OR we.last_update_date &gt;= TO_DATE('26-APR-20 14:02:10','DD-MON-RR HH24:MI:SS')
                                                         OR msn.last_update_date &gt;= TO_DATE('26-APR-20 14:02:10','DD-MON-RR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TO_DATE('26-APR-20 14:02:10','DD-MON-RR HH24:MI:SS')
													     OR we.last_update_date &gt;= TO_DATE('26-APR-20 14:02:10','DD-MON-RR HH24:MI:SS')
                                                         OR msn.last_update_date &gt;= TO_DATE('26-APR-20 14:02:10','DD-MON-RR HH24:MI:SS')
                                                         OR mog.last_update_date &gt;= TO_DATE('26-APR-20 14:02:10','DD-MON-RR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</si>
  <si>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15s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</si>
  <si>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to_date(to_char(to_timestamp('26-APR-20 01.54.21.000000 PM'),'DD-MON-YY HH24.MI.SS'),'DD-MON-YY HH24.MI.SS'))) OR  ( to_date(to_char(e.inst_last_upd_date , 'DD-MON-YY HH24.MI.SS') , 'DD-MON-YY HH24.MI.SS' ) &gt;=  to_date(to_char(to_timestamp('26-APR-20 01.54.21.000000 PM'),'DD-MON-YY HH24.MI.SS'),'DD-MON-YY HH24.MI.SS'))  OR  ( to_date(to_char(coa.last_update_date , 'DD-MON-YY HH24.MI.SS') , 'DD-MON-YY HH24.MI.SS' ) &gt;=  to_date(to_char(to_timestamp('26-APR-20 01.54.21.000000 PM'),'DD-MON-YY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to_date(to_char(to_timestamp('26-APR-20 01.54.21.000000 PM'),'DD-MON-YY HH24.MI.SS'),'DD-MON-YY HH24.MI.SS')))))</t>
  </si>
  <si>
    <t>SELECT * FROM (SELECT * FROM CN_ECC_QUOTA_V
				WHERE ECC_LAST_UPDATE_DATE &gt;= to_date(to_char(to_timestamp('26-APR-20 01.39.17.000000 PM'),'DD-MON-YY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</si>
  <si>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to_date(to_char(to_timestamp('26-APR-20 01.39.17.000000 PM'),'DD-MON-YY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</si>
  <si>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to_date(to_char(to_timestamp('27-APR-20 01.27.15.000000 AM'),'DD-MON-YY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</si>
  <si>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to_date(to_char(to_timestamp('27-APR-20 01.27.15.000000 AM'),'DD-MON-YY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</si>
  <si>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to_date(to_char(to_timestamp('26-APR-20 01.26.26.000000 PM'),'DD-MON-YY HH24.MI.SS'),'DD-MON-YY HH24.MI.SS')
			and status_type IN (1,3, 6,17) </t>
  </si>
  <si>
    <t>SELECT * FROM ( select
ECC_SPEC_ID, RECORD_TYPE, RECORD_IDENTIFIER, v.ORGANIZATION_ID, ORGCODE, ORGNAME, v.BATCH_ID, BATCH_NO, BATCH_STATUS,
BATCH_STATUS_DESCRIPTION,BATCH_TYPE, BATCH_TYPE_DESCRIPTION, BATCH_DELAYED, BATCH_DELAY_TIME, BATCH_DELAY_STRING, BATCH_TERMINATED_IND, RECIPE_VALIDITY_RULE_ID,
ROUTINGID, PLANNEDSTARTDATE,PLANNEDCOMPDATE, ACTUALSTARTDATE, ACTUALCOMPDATE, CLOSEDATE, DUEDATE, FORMULA_ID, FORMULA_NO,
FORMULA_VERS, FORMULADESC, RECIPE_ID, RECIPE_NO, RECIPE_STATUS, RECIPE_STATUS_DESC,RECIPE_VERSION,
RECIPE_DESCRIPTION, ROUTING_NO, ROUTING_VERSION, ROUTING_DESCRIPTION, ROUTING_CLASS, ROUTING_STATUS, ROUTING_STATUS_DESC, FPO_ID, BATCH_HOLD_IND, HOLD_REASON, HOLD_START_DATE,
HOLD_COMMENTS, HOLD_REQUESTOR, BATCH_HOLD_TYPE, MATERIAL_DETAIL_ID, LINE_TYPE, LINE_DESCRIPTION, INVENTORY_ITEM_ID, ITEM_DESCRIPTION, ITEM, INVENTORY_PLANNING_CODE, PLANNER_CODE,
LINE_NO, PLANQTY,ACTUALQTY, WIPPLANQTY, DTL_UM, PLAN_MATERIAL_YIELD, WIP_PLAN_MATERIAL_YIELD, DTL_UNALLOC, STEPID, BATCHSTEP_NO, STEP_OPRN_NAME, STEP_OPRN_DESC, STEP_STATUS, STEPPLANNEDSTARTDATE,
STEPPLANNEDCOMPDATE, STEPACTUALSTARTDATE, STEPACTUALCOMPDATE, STEPCLOSEDATE, STEPPLANNEDQTY, STEPACTUALQTY, ROUTINGSTEPID, STEP_DELAYED,
STEP_DELAY_TIME, STEP_DELAY_STRING, ACTIVITY, BATCHSTEP_ACTVITY_ID, ACTPLANSTARTDATE, ACTPLANCOMPDATE, ACTACTUALSTARTDATE, ACTACTUALCOMPDATE, OPRN_LINE_ID, RES, RESOURCE_DESC,
RESPRIM_RSRC_IND, RESCAPACITY_UM, RESPLANLUSG, RESACTUALUSG, RESPLANQTY, RESACTUALQTY, RESPLANSTARTDATE, RESACTUALSTARTDATE, RESPLANCOMPDATE, RESACTUALCOMPDATE, RESUSAGE_UM,
RESRESOURCE_QTY_UM, RESPLAN_RSRC_COUNT,RESACTUAL_RSRC_COUNT, PP_PROCESS_PARAM_ID, PP_PARAMETER_NAME, PP_PARAMETER_DESCRIPTION, PP_PARAMETER_ID, PP_ACTUAL_VALUE, PP_TARGET_VALUE, PP_MINIMUM_VALUE, PP_MAXIMUM_VALUE,
PP_PARAMETER_UOM, SAMPLE_ID, EVENT_SPEC_DISP_ID, RESULT_ID, SAMPLE_NUMBER, LAB_NAME, DISPOSITION, DISPOSITION_CODE, SAMPLESTEP_NO, SEQUENCE,
TEST, TEST_EVALUATION, RESULT, TARGET, UNIT, MIN_VALUE, MAX_VALUE, RESULT_DATE, TESTER, NONCONFORM_SEVERITY, NONCONFORMANCE_TYPE, NONCONFORMANCE_STATUS, NCM_DATE_OPENED,
NCM_PLAN_ID, NCM_COLLECTION_ID, NCM_OCCURRENCE, NCM_LAST_UPDATE_DATE, NONCONFORMANCE_NUMBER, NONCONFORMANCE_OWNER, NONCONFORMANCE_DESC, EID_LAST_UPDATE_DATE,
LANGUAGE, COMPLETED_TODAY, COMPLETED_LAST_WEEK, HAS_ACCEPTED_SAMPLES, HAS_REJECTED_SAMPLES, HAS_VARIANCE_SAMPLES,
TOTAL_NON_CONFORMANCES,NONCONFORMANCES 
from
OPM_ECC_QUALITY_V v
where
LAST_UPDATE_DATE &gt;= TO_DATE('26-APR-20','DD-MON-RR HH24:MI:SS')
and language in ('US')  )
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</si>
  <si>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SELECT * FROM (
select
ECC_SPEC_ID, RECORD_TYPE, RECORD_IDENTIFIER, v.ORGANIZATION_ID, ORGCODE, ORGNAME, v.BATCH_ID, BATCH_NO, BATCH_STATUS,
BATCH_STATUS_DESCRIPTION, BATCH_TYPE, BATCH_TYPE_DESCRIPTION, BATCH_DELAYED,
BATCH_DELAY_TIME, BATCH_DELAY_STRING, BATCH_TERMINATED_IND, RECIPE_VALIDITY_RULE_ID, ROUTINGID,
PLANNEDSTARTDATE, PLANNEDCOMPDATE, ACTUALSTARTDATE, ACTUALCOMPDATE, CLOSEDATE, DUEDATE, FORMULA_ID, FORMULA_NO, FORMULA_VERS,
FORMULADESC, RECIPE_ID, RECIPE_NO, RECIPE_STATUS, RECIPE_STATUS_DESC, RECIPE_VERSION, RECIPE_DESCRIPTION, ROUTING_NO,
ROUTING_VERSION, ROUTING_DESCRIPTION, ROUTING_CLASS, ROUTING_STATUS, ROUTING_STATUS_DESC, FPO_ID, BATCH_HOLD_IND,
HOLD_REASON, HOLD_START_DATE, HOLD_COMMENTS, HOLD_REQUESTOR, BATCH_HOLD_TYPE, MATERIAL_DETAIL_ID, LINE_TYPE, LINE_DESCRIPTION,
INVENTORY_ITEM_ID, ITEM_DESCRIPTION, ITEM, INVENTORY_PLANNING_CODE, PLANNER_CODE, LINE_NO, PLANQTY, ACTUALQTY,
WIPPLANQTY, DTL_UM, PLAN_MATERIAL_YIELD, WIP_PLAN_MATERIAL_YIELD, DTL_UNALLOC, STEPID, BATCHSTEP_NO, STEP_OPRN_NAME
, STEP_OPRN_DESC, STEP_STATUS, STEPPLANNEDSTARTDATE, STEPPLANNEDCOMPDATE, STEPACTUALSTARTDATE, STEPACTUALCOMPDATE, STEPCLOSEDATE, STEPPLANNEDQTY, STEPACTUALQTY, ROUTINGSTEPID, STEP_DELAYED, STEP_DELAY_TIME, STEP_DELAY_STRING, ACTIVITY,
BATCHSTEP_ACTVITY_ID, ACTPLANSTARTDATE, ACTPLANCOMPDATE, ACTACTUALSTARTDATE, ACTACTUALCOMPDATE, OPRN_LINE_ID, RES, RESOURCE_DESC, RESPRIM_RSRC_IND,
RESCAPACITY_UM, RESPLANLUSG,RESACTUALUSG, RESPLANQTY, RESACTUALQTY, RESPLANSTARTDATE, RESACTUALSTARTDATE,
RESPLANCOMPDATE, RESACTUALCOMPDATE, RESUSAGE_UM, RESRESOURCE_QTY_UM, RESPLAN_RSRC_COUNT, RESACTUAL_RSRC_COUNT,
PP_PROCESS_PARAM_ID, PP_PARAMETER_NAME, PP_PARAMETER_DESCRIPTION, PP_PARAMETER_ID, PP_ACTUAL_VALUE, PP_TARGET_VALUE, PP_MINIMUM_VALUE, PP_MAXIMUM_VALUE, PP_PARAMETER_UOM,
CUSTOMER_NAME, ORDER_NUMBER, RESERVATION_ID, SALES_ORDER_ID, ORD_LINE_ID, ORDERED_ITEM,
REQUEST_DATE, PROMISE_DATE, ORDER_QUANTITY_UOM, ORDERED_QUANTITY, TRANSACTION_TYPE_ID, TRANSACTION_TYPE_NAME, REAS_TRANSACTION_DATE,
REAS_TRANS_ID, LOT_NUMBER, SUBINVENTORY, LOCATOR_ID, TRANSACTION_QUANTITY, PRIMARY_QUANTITY, SECONDARY_TRANSACTION_QUANTITY, PRIMARY_UOM_CODE, SECONDARY_UOM_CODE, LPN_ID, REASON_ID, REASON_NAME, DESCRIPTION, EXP_LOT_NUMBER, EXP_PARENT_LOT_NUMBER,
EXP_SUPPLIER_LOT_NUMBER, EXP_LOT_GRADE_CODE, EXPIRATION_DATE, EXPIRATION_PERIOD, EXP_SUBINVENTORY, EXP_LOCATOR_ID, OH_EXP_TRANSACTION_QUANTITY, OH_EXP_PRIMARY_QUANTITY, SAMPLE_ID, EVENT_SPEC_DISP_ID, RESULT_ID, SAMPLE_NUMBER, LAB_NAME, DISPOSITION,
DISPOSITION_CODE, SAMPLESTEP_NO, SEQUENCE, TEST, TEST_EVALUATION, RESULT, TARGET, UNIT, MIN_VALUE, MAX_VALUE,
RESULT_DATE, TESTER, NONCONFORM_SEVERITY, NONCONFORMANCE_TYPE, NONCONFORMANCE_STATUS, NCM_DATE_OPENED, NCM_PLAN_ID, NCM_COLLECTION_ID, NCM_OCCURRENCE, NCM_LAST_UPDATE_DATE, NONCONFORMANCE_NUMBER, NONCONFORMANCE_OWNER,
NONCONFORMANCE_DESC, EID_LAST_UPDATE_DATE,
LANGUAGE, STARTING_TODAY, COMPLETING_TODAY, STARTED_TODAY, COMPLETED_TODAY, COMPLETED_YESTERDAY,
STARTING_TOMORROW, COMPLETING_TOMORROW, UPCOMING, FINISH_DELAYED, STARTED_LATE, UNALLOC_PRDT, ON_TRACK, DELAYED,ON_HOLD,UNALLOCATED,LAST_UPDATE_DATE 
from OPM_ECC_V v
where
LAST_UPDATE_DATE &gt;= TO_DATE('26-APR-20','DD-MON-RR HH24:MI:SS')
and language in ('US')  )
PIVOT (max(BATCH_HOLD_IND) AS BATCH_HOLD_IND ,max(ORGNAME) AS ORGNAME,max(BATCH_STATUS_DESCRIPTION) AS BATCH_STATUS_DESCRIPTION,max(STEP_STATUS) AS STEP_STATUS,max(LINE_DESCRIPTION)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RESOURCE_DESC,max(STEP_OPRN_DESC) as STEP_OPRN_DESC for LANGUAGE in ('US' "US"))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</si>
  <si>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to_date(to_char(to_timestamp('26-APR-20 01.02.01.000000 PM'),'DD-MON-YY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</si>
  <si>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select * from (SELECT ECC_SPEC_ID
    ,PERSON_ID
               ,COMPETENCY_NAME
               ,COM_EFFECTIVE_DATE_FROM
               ,COM_EFFECTIVE_DATE_TO
    ,LOGGED_USER_ID
    ,SECURITY_PROFILE_ID
               ,COM_LAST_UPDATE_DATE
,LANGUAGE
FROM PER_ECC_COMPETENCY_V where language in ('US') and COM_LAST_UPDATE_DATE &gt;=  to_date(to_char(to_timestamp('26-APR-20' ),'DD-MON-YY HH24.MI.SS'),'DD-MON-YY HH24.MI.SS')) PIVOT (max(COMPETENCY_NAME) as COMPETENCY_NAME for LANGUAGE in ('US' "US"))</t>
  </si>
  <si>
    <t>select * from (SELECT ECC_SPEC_ID
    ,PERSON_ID
               ,QUALIFICATION
    ,LOGGED_USER_ID
    ,SECURITY_PROFILE_ID
               ,QUA_LAST_UPDATE_DATE
,LANGUAGE
FROM PER_ECC_QUALIFICATION_V where language in ('US') and QUA_LAST_UPDATE_DATE &gt;=  to_date(to_char(to_timestamp('26-APR-20' ),'DD-MON-YY HH24.MI.SS'),'DD-MON-YY HH24.MI.SS')) PIVOT (max(QUALIFICATION) as QUALIFICATION for LANGUAGE in ('US' "US"))</t>
  </si>
  <si>
    <t>select * from (SELECT ECC_SPEC_ID
    ,PERSON_ID
               ,PERFORMANCE_RATING
               ,REVIEW_DATE
    ,LOGGED_USER_ID
    ,SECURITY_PROFILE_ID
               ,PER_LAST_UPDATE_DATE
,LANGUAGE
FROM PER_ECC_PERFORMANCE_V where language in ('US') and PER_LAST_UPDATE_DATE &gt;=  to_date(to_char(to_timestamp('26-APR-20' ),'DD-MON-YY HH24.MI.SS'),'DD-MON-YY HH24.MI.SS')) PIVOT (max(PERFORMANCE_RATING) as PERFORMANCE_RATING for LANGUAGE in ('US' "US"))</t>
  </si>
  <si>
    <t>select * from (SELECT ECC_SPEC_ID
    ,PERSON_ID
               ,TAG
    ,LOGGED_USER_ID
    ,SECURITY_PROFILE_ID
               ,TAG_LAST_UPDATE_DATE
,LANGUAGE
FROM PER_ECC_TAG_V where language in ('US') and TAG_LAST_UPDATE_DATE &gt;=  to_date(to_char(to_timestamp('26-APR-20' ),'DD-MON-YY HH24.MI.SS'),'DD-MON-YY HH24.MI.SS')) PIVOT (max(TAG) as TAG for LANGUAGE in ('US' "US"))</t>
  </si>
  <si>
    <t>select * from (SELECT ECC_SPEC_ID
    ,PERSON_ID
               ,PHONE_NUMBER
    ,LOGGED_USER_ID
    ,SECURITY_PROFILE_ID
               ,PHN_LAST_UPDATE_DATE
,LANGUAGE
FROM PER_ECC_PHONE_V where language in ('US') and PHN_LAST_UPDATE_DATE &gt;=  to_date(to_char(to_timestamp('26-APR-20' ),'DD-MON-YY HH24.MI.SS'),'DD-MON-YY HH24.MI.SS')) PIVOT (max(PHONE_NUMBER) as PHONE_NUMBER for LANGUAGE in ('US' "US"))</t>
  </si>
  <si>
    <t>select * from (SELECT ECC_SPEC_ID
    ,PERSON_ID
               ,ADDRESS_STYLE
               ,ADDRESS_TYPE
               ,ADDRESS
               ,ADDRESS_DATE_FROM
               ,ADDRESS_DATE_TO
    ,LOGGED_USER_ID
    ,SECURITY_PROFILE_ID
               ,ADD_LAST_UPDATE_DATE
,LANGUAGE
FROM PER_ECC_ADDRESS_V where language in ('US') and ADD_LAST_UPDATE_DATE &gt;=  to_date(to_char(to_timestamp('26-APR-20' ),'DD-MON-YY HH24.MI.SS'),'DD-MON-YY HH24.MI.SS')) PIVOT (max(ADDRESS_TYPE) as ADDRESS_TYPE for LANGUAGE in ('US' "US"))</t>
  </si>
  <si>
    <t>select * from (SELECT ECC_SPEC_ID
                ,PERSON_ID
                ,USER_ID
               ,ASG_EFFECTIVE_START_DATE
               ,ASG_EFFECTIVE_END_DATE
               ,ASSIGNMENT_ID
               ,ASG_PRIMARY_FLAG
               ,EMPLOYEE_CATEGORY
               ,EMPLOYMENT_CATEGORY
               ,ASSIGNMENT_CATEGORY
               ,ASSIGNMENT_STATUS
               ,ASSIGNMENT_TYPE
               ,REMOTE_WORKER
               ,PROBATION_PERIOD
               ,BARGAINING_UNIT
               ,ORGANIZATION
               ,PEOPLE_GROUP
               ,JOB
               ,POSITION
               ,GRADE
               ,PAYROLL
               ,LOCATION
               ,GRADE_CHANGE
               ,JOB_CHANGE
               ,POSITION_CHANGE
               ,LOCATION_CHANGE
               ,ORGANIZATION_CHANGE
    ,SALARY_CHANGE
    ,COUNTRY
               ,SUPERVISOR
               ,SUPERVISOR_ID
               ,SUPERVISOR_USER_ID
               ,SALARY_BASIS
               ,REGULATORY_REGION
               ,DERIVED_LOCATION
               ,COORDINATES
    ,LOGGED_USER_ID
    ,SECURITY_PROFILE_ID
               ,ASG_LAST_UPDATE_DATE
               ,IS_MANAGER
,LANGUAGE
FROM PER_ECC_ASSIGNMENT_V where language in ('US') and ASG_LAST_UPDATE_DATE &gt;=  to_date(to_char(to_timestamp('26-APR-20' ),'DD-MON-YY HH24.MI.SS'),'DD-MON-YY HH24.MI.SS')) PIVOT (max(EMPLOYEE_CATEGORY) as EMPLOYEE_CATEGORY, max(EMPLOYMENT_CATEGORY) as EMPLOYMENT_CATEGORY,
  max(BARGAINING_UNIT) as BARGAINING_UNIT, max(COUNTRY) as COUNTRY, max(PROBATION_PERIOD) as PROBATION_PERIOD
                                                  , max(ORGANIZATION) as ORGANIZATION
                                                  , max(JOB) as JOB
                                                  , max(POSITION) as POSITION
                                                  , max(LOCATION) as LOCATION
                                                  , max(GRADE) as GRADE for LANGUAGE in ('US' "US"))</t>
  </si>
  <si>
    <t>select * from (SELECT ECC_SPEC_ID
        ,PERSON_ID
               ,PERSON
               ,IMAGE
               ,BUSINESS_GROUP_ID
               ,PEOPLE_EFFECTIVE_START_DATE
               ,PEOPLE_EFFECTIVE_END_DATE
               ,FIRST_NAME
               ,LAST_NAME
               ,MIDDLE_NAME
               ,KNOWN_AS
               ,FULL_NAME
               ,EMAIL_ADDRESS
               ,MARITAL_STATUS
               ,NATIONALITY
               ,PERSON_TYPE
               ,CURRENTLY_EMPLOYEE
               ,CURRENTLY_APPLICANT
               ,CURRENTLY_CONTINGENT_WORKER
               ,DATE_OF_BIRTH
               ,AGE
               ,BIRTH_ANNIVERSARY
               ,GENDER
               ,WORK_EXPERIENCE
               ,BLOOD_GROUP
               ,JOINING_DATE
               ,RELIEVING_DATE
               ,TENURE
               ,WORK_ANNIVERSARY
    ,LOGGED_USER_ID
    ,SECURITY_PROFILE_ID
               ,PEO_LAST_UPDATE_DATE
,LANGUAGE
FROM PER_ECC_PEOPLE_V where language in ('US') and PEO_LAST_UPDATE_DATE &gt;=  to_date(to_char(to_timestamp('26-APR-20' ),'DD-MON-YY HH24.MI.SS'),'DD-MON-YY HH24.MI.SS')) PIVOT (max(MARITAL_STATUS) as MARITAL_STATUS, max(NATIONALITY) as NATIONALITY, max(GENDER) as GENDER, max(PERSON_TYPE) as PERSON_TYPE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</si>
  <si>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QA_ECC_RESULTS_NC_V WHERE ECC_LAST_UPDATE_DATE &gt;= to_date('26-APR-20','DD-MON-YYYY HH24:MI:SS') AND LANGUAGE IN ('US'))
                                PIVOT ( MAX(ITEM_DESCRIPTION) AS ITEM_DESCRIPTION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</si>
  <si>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QA_ECC_RESULTS_V WHERE ECC_LAST_UPDATE_DATE &gt;= to_date('26-APR-20','DD-MON-RR HH24:MI:SS') AND LANGUAGE IN ('US'))
                                  PIVOT ( MAX(ITEM_DESCRIPTION) AS ITEM_DESCRIPTION FOR LANGUAGE IN ('US' "US"))</t>
  </si>
  <si>
    <t>SELECT * FROM ( SELECT TX_DESC,DATE_BUCKET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,TXN_NUMEBR,ECC_SPEC_ID,PLAN_NAME,PLAN_DESCRIPTION,PLAN_TYPE,PLAN_ID FROM QA_ECC_RESULTS_CA_V WHERE ECC_LAST_UPDATE_DATE &gt;= to_date('26-APR-20','DD-MON-RR HH24:MI:SS') AND LANGUAGE IN ('US'))
                                PIVOT ( MAX(ITEM_DESCRIPTION) AS ITEM_DESCRIPTION FOR LANGUAGE IN ('US' "US"))</t>
  </si>
  <si>
    <t>57s</t>
  </si>
  <si>
    <t>There are 450 documents processed successfully and 0 documents failed to be processed.</t>
  </si>
  <si>
    <t>450</t>
  </si>
  <si>
    <t>There are 2,663 documents processed successfully and 0 documents failed to be processed.</t>
  </si>
  <si>
    <t>2663</t>
  </si>
  <si>
    <t>There are 22 documents processed successfully and 0 documents failed to be processed.</t>
  </si>
  <si>
    <t>22</t>
  </si>
  <si>
    <t>72</t>
  </si>
  <si>
    <t>select * from (  select * from ICX_CAT_ECC_100793_VL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</si>
  <si>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</si>
  <si>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</si>
  <si>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</si>
  <si>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</si>
  <si>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</si>
  <si>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</si>
  <si>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</si>
  <si>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</si>
  <si>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</si>
  <si>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</si>
  <si>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</si>
  <si>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</si>
  <si>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</si>
  <si>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</si>
  <si>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</si>
  <si>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</si>
  <si>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</si>
  <si>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</si>
  <si>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</si>
  <si>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</si>
  <si>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</si>
  <si>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</si>
  <si>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</si>
  <si>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</si>
  <si>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</si>
  <si>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</si>
  <si>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</si>
  <si>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</si>
  <si>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</si>
  <si>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</si>
  <si>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</si>
  <si>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</si>
  <si>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</si>
  <si>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</si>
  <si>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</si>
  <si>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</si>
  <si>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</si>
  <si>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</si>
  <si>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</si>
  <si>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</si>
  <si>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</si>
  <si>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</si>
  <si>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</si>
  <si>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</si>
  <si>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</si>
  <si>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</si>
  <si>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</si>
  <si>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</si>
  <si>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</si>
  <si>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</si>
  <si>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</si>
  <si>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</si>
  <si>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</si>
  <si>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</si>
  <si>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</si>
  <si>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</si>
  <si>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</si>
  <si>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</si>
  <si>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</si>
  <si>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</si>
  <si>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</si>
  <si>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</si>
  <si>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</si>
  <si>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</si>
  <si>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</si>
  <si>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</si>
  <si>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</si>
  <si>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</si>
  <si>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</si>
  <si>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</si>
  <si>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</si>
  <si>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</si>
  <si>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</si>
  <si>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</si>
  <si>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</si>
  <si>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</si>
  <si>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</si>
  <si>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</si>
  <si>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</si>
  <si>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</si>
  <si>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</si>
  <si>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</si>
  <si>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</si>
  <si>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</si>
  <si>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</si>
  <si>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</si>
  <si>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</si>
  <si>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</si>
  <si>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</si>
  <si>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</si>
  <si>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</si>
  <si>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</si>
  <si>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</si>
  <si>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</si>
  <si>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</si>
  <si>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</si>
  <si>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</si>
  <si>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</si>
  <si>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</si>
  <si>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</si>
  <si>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</si>
  <si>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</si>
  <si>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</si>
  <si>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</si>
  <si>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</si>
  <si>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</si>
  <si>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</si>
  <si>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</si>
  <si>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</si>
  <si>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</si>
  <si>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</si>
  <si>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</si>
  <si>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</si>
  <si>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</si>
  <si>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</si>
  <si>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</si>
  <si>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</si>
  <si>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</si>
  <si>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</si>
  <si>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</si>
  <si>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</si>
  <si>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</si>
  <si>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</si>
  <si>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</si>
  <si>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</si>
  <si>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</si>
  <si>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</si>
  <si>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</si>
  <si>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</si>
  <si>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</si>
  <si>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</si>
  <si>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</si>
  <si>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</si>
  <si>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</si>
  <si>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</si>
  <si>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</si>
  <si>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</si>
  <si>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</si>
  <si>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</si>
  <si>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</si>
  <si>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</si>
  <si>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</si>
  <si>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</si>
  <si>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</si>
  <si>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to_date(to_char(to_timestamp('26-APR-20 12.12.46.000000 PM'),'DD-MON-YY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</si>
  <si>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to_date(to_char(to_timestamp('26-APR-20 12.12.46.000000 PM'),'DD-MON-YY HH24.MI.SS'),'DD-MON-YY HH24.MI.SS') </t>
  </si>
  <si>
    <t xml:space="preserve">SELECT
              ecc_spec_id,
              zonesi
              from icx_cat_ecc_zones_i WHERE ECC_LAST_UPDATE_DATE &gt;=  to_date(to_char(to_timestamp('26-APR-20 12.12.46.000000 PM'),'DD-MON-YY HH24.MI.SS'),'DD-MON-YY HH24.MI.SS') </t>
  </si>
  <si>
    <t xml:space="preserve">SELECT
              ecc_spec_id,
              zonesp
              from icx_cat_ecc_zones_p WHERE ECC_LAST_UPDATE_DATE &gt;=  to_date(to_char(to_timestamp('26-APR-20 12.12.46.000000 PM'),'DD-MON-YY HH24.MI.SS'),'DD-MON-YY HH24.MI.SS') </t>
  </si>
  <si>
    <t xml:space="preserve">SELECT
              ecc_spec_id,
              zonesb
              from icx_cat_ecc_zones_b WHERE ECC_LAST_UPDATE_DATE &gt;=  to_date(to_char(to_timestamp('26-APR-20 12.12.46.000000 PM'),'DD-MON-YY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</si>
  <si>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to_date(to_char(to_timestamp('26-APR-20 12.12.46.000000 PM'),'DD-MON-YY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</si>
  <si>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to_date(to_char(to_timestamp('26-APR-20 12.12.46.000000 PM'),'DD-MON-YY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</si>
  <si>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to_date(to_char(to_timestamp('26-APR-20 10.56.59.000000 AM'),'DD-MON-YY HH.MI.SS'),'DD-MON-YY HH.MI.SS')) PIVOT ( Max(source_doc_type) AS source_doc_type,
          Max(source_name) AS source_name,
          Max(item_description) AS item_description for LANGUAGE in ( 'US' "US"))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</si>
  <si>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to_date(to_char(to_timestamp('26-APR-20 10.56.59.000000 AM'),'DD-MON-YY HH.MI.SS'),'DD-MON-YY HH.MI.SS') UNION ALL SELECT ECC_SPEC_ID from RCV_ECC_RECEIPTS_ASNLCM_V
WHERE SHIPMENT_LINE_STATUS_CODE in('FULLY RECEIVED', 'CANCELLED')
 AND last_update_date &gt;  to_date(to_char(to_timestamp('26-APR-20 10.56.59.000000 AM'),'DD-MON-YY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to_date(to_char(to_timestamp('26-APR-20 10.56.59.000000 AM'),'DD-MON-YY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to_date(to_char(to_timestamp('26-APR-20 10.56.59.000000 AM'),'DD-MON-YY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to_date(to_char(to_timestamp('26-APR-20 10.56.59.000000 AM'),'DD-MON-YY HH.MI.SS'),'DD-MON-YY HH.MI.SS')</t>
  </si>
  <si>
    <t>25m 3s</t>
  </si>
  <si>
    <t>24m 54s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</si>
  <si>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to_date(to_char(to_timestamp('26-APR-20 06.47.54.000000 AM'),'DD-MON-YY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</si>
  <si>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to_date(to_char(to_timestamp('26-APR-20 06.47.54.000000 AM'),'DD-MON-YY HH24.MI.SS'),'DD-MON-YY HH24.MI.SS') </t>
  </si>
  <si>
    <t>24s</t>
  </si>
  <si>
    <t xml:space="preserve">There is SQLException while applying load rule for dataset okl-cash for job 62,245.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</si>
  <si>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(select
record_type,
ecc_spec_id,
tmp.expenditure_item_id,
tmp.expenditure_id,
tmp.project_id,
project_name,
project_number,
user_project_type,
project_type_class_code,
tmp.project_type,
project_manager,
project_start_date,
project_completion_date,
project_organization,
project_status_name,
project_status,
project_budget,
task_plan_capitalizable,
task_non_plan_capitalize,
proj_plan_capitalize,
proj_non_plan_capitalize,
tmp.proj_capitalizable,
actual_capitalizable,
actual_non_capitalizable,
actual_yet_to_capitalizable,
project_revenue_budget,
proj_grouping_method,
proj_grp_supplier_invoice,
proj_asset_cost_alloc_mhd,
proj_enbl_burden_cost_acc,
current_pa_period,
current_gl_period,
current_reporting_pa_period,
tmp.projfunc_currency_code,
tmp.number_of_assets,
tmp.proj_capitalized_cost,
(proj_capitalizable-proj_capitalized_cost)proj_cip_cost,
tmp.task_id,
tmp.task_number,
tmp.task_name,
tmp.top_task_id,
tmp.top_task_name,
tmp.top_task_number,
tmp.task_start_date,
tmp.task_finish_date,
tmp.task_manager,
tmp.task_organization,
tmp.task_burden_schedule,
tmp.task_billable_flag,
tmp.task_work_type,
tmp.expenditure_item_date,
tmp.expenditure_week_ending_date,
tmp.expenditure_type,
tmp.expenditure_category,
tmp.expenditure_type_class,
tmp.incurred_by_person_id,
tmp.employee_name,
tmp.employee_number,
tmp.location_code,
tmp.job_id,
tmp.job_name,
tmp.incurred_by_organization_id,
tmp.override_to_organization_id,
tmp.expenditure_organization_id,
tmp.expenditure_org_name,
tmp.non_labor_resource,
tmp.system_linkage_function,
tmp.transaction_source_code,
nvl (tmp.transaction_source,'Projects') transaction_source,
tmp.orig_transaction_ref,
tmp.expenditure_group,
tmp.ei_pend_burden_dist,
decode(tmp.ei_pend_burden_dist, 'Y', 1, 0) ei_pend_burden_dist_count,
tmp.ei_group_unreleased,
decode(tmp.ei_group_unreleased, 'Y', 1, 0) ei_group_unreleased_count,
tmp.ei_cost_exception,
decode(tmp.ei_cost_exception, 'Y', 1, 0) ei_cost_exception_count,
tmp.ei_uncosted,
decode(tmp.ei_uncosted, 'Y', 1, 0) ei_uncosted_count,
tmp.ei_costed,
decode(tmp.ei_costed, 'Y', 1, 0) ei_costed_count,
tmp.ei_costed_value,
tmp.quantity,
tmp.burden_cost,
tmp.ei_labor_cost,
tmp.ei_non_labor_cost,
tmp.unit_of_measure,
tmp.unit_of_measure_m,
tmp.raw_cost,
tmp.raw_cost_rate,
tmp.cost_distributed_flag,
tmp.cost_distributed,
tmp.cost_dist_rejection_code,
tmp.revenue_distributed,
tmp.revenue_distributed_flag,
tmp.billed,
tmp.billable_flag,
tmp.billable,
tmp.bill_hold_flag,
tmp.bill_hold,
tmp.billed_cost,
tmp.billable_unbilled_cost,
tmp.billable_onhold_cost,
tmp.bill_billable_cost,
tmp.bill_nonbilable_flag,
tmp.bill_nonbilable_cost,
tmp.bill_billhold_cost,
tmp.bill_billed_flag,
tmp.bill_billed_cost,
tmp.bill_not_billed_flag,
tmp.bill_not_billed_cost,
tmp.ei_work_burden_cost,
tmp.burdened_cost,
tmp.burdened_cost_rate,
tmp.denom_currency_code,
tmp.denom_raw_cost,
tmp.denom_burdened_cost,
tmp.acct_currency_code,
tmp.acct_rate_type,
tmp.acct_rate_date,
tmp.acct_exchange_rate,
tmp.acct_raw_cost,
tmp.acct_burdened_cost,
cip_cost,
tmp.project_currency_code,
tmp.project_raw_cost,
tmp.project_burdened_cost,
tmp.cost_bur_distributed_flag,
tmp.capitalizable_flag,
tmp.capitalizable,
tmp.asset_line_generated,
(decode(project_type_class_code,'CAPITAL',decode(capitalizable_flag,'N',tmp.cdl_amount,0),0))non_capitalizable_cost,
(decode(project_type_class_code,'CAPITAL',decode(capitalizable_flag,'Y',tmp.cdl_amount,0),0))capitalizable_cost,
(decode(project_type_class_code,'CAPITAL',decode(capitalized_flag,'Y',tmp.cdl_amount,0),0))capitalized_cost,
tmp.capitalized_flag,
tmp.capitalized,
tmp.capitalizable_cap_hold_flag,
tmp.capitalizable_cap_hold,
tmp.adjusted_expenditure_item_id,
tmp.net_zero_adjustment_flag,
tmp.net_zero_adjustment,
tmp.transferred_from_exp_item_id,
tmp.transferred_item_flag,
tmp.cc_cross_charge_code,
tmp.cc_cross_charge_type,
tmp.cc_bl_distributed_code,
tmp.org_id,
tmp.vendor_id,
tmp.vendor_name,
tmp.document_header_id,
tmp.document_distribution_id,
tmp.document_line_number,
tmp.document_payment_id,
tmp.document_type,
tmp.document_distribution_type,
tmp.Operating_Unit,
tmp.capital_cost_code_amt,
tmp.line_num,
tmp.line_type_code,
tmp.line_type,
tmp.reversed_flag,
tmp.transfer_status_code,
tmp.pa_date,
tmp.gl_date,
tmp.recvr_pa_date,
tmp.recvr_gl_date,
tmp.pa_period_name,
tmp.gl_period_name,
tmp.recvr_pa_period_name,
tmp.recvr_gl_period_name,
tmp.acct_event_id,
tmp.amount,
tmp.cdl_burdened_cost,
tmp.cdl_amount,
tmp.cdl_acct_status,
tmp.bl_acct_status,
tmp.exp_group_status_code,
tmp.exp_group_status,
tmp.expenditure_status,
tmp.precosting_status_code,
tmp.precosting_status,
asset_name,
tmp.work_type,
po_number,
po_line_number,
receipt_number,
receipt_line_number,
invoice_no,
invoice_line_number,
po_distribution_line_number,
invoice_distribution_line_no,
debit_account,
credit_account,
accounting_source,
transfer_status,
tmp.provider_le_name,
tmp.receiver_le_name,
tmp.receiver_operating_unit,
tmp.transfer_price,
tmp.labot_tp_sch_name,
tmp.non_labor_tp_sch_name,
accounting_status_code,
project_sla_acc_status,
sla_gl_acc_status,
pre_accounting_status,
tmp.project_exchange_rate,
tmp.project_rate_date,
tmp.project_rate_type,
tmp.revenue_accrued,
tmp.burden_schedule,
tmp.transfer_rejection_reason,
tmp.cc_rejection_reason,
alert_type,
alert_text,
cost_identifier,
unaccounted,
(decode(tmp.unaccounted,'Unaccounted','Y',null))ei_unaccounted,
(decode(tmp.unaccounted,'Unaccounted',1,0))ei_unaccounted_count,
(decode(tmp.unaccounted,'Unaccounted',tmp.raw_cost,null))ei_unaccounted_cost,
accounting_exception,
project_accounted,
sla_accounted,
gl_accounted,
(decode(nvl(tmp.project_accounted,'N'),'Y',tmp.amount,0))project_accounted_cost,
(decode(nvl(tmp.sla_accounted,'N'),'Y',tmp.amount,0))sla_accounted_cost,
(decode(nvl(tmp.gl_accounted,'N'),'Y',tmp.amount,0))gl_accounted_cost,
ei_account_exception,
(decode(nvl(tmp.ei_account_exception,'N'),'Y',tmp.amount,0))ei_account_exception_cost,
ei_accounted,
(decode(nvl(tmp.ei_accounted,'N'),'Y',tmp.amount,0))ei_accounted_cost,
sla_acct_code,
language,
NVL(tmp.sla_gl_acc_status,tmp.project_sla_acc_status) exp_accounting_stage,
( SELECT
nvl( pa_utils.get_lookup_values ( 'PA_EI_ACCOUNTING_STATUS',(CASE
WHEN(tmp.cost_distributed_flag = 'Y'
AND xea.gl_transfer_status_code = 'Y'
OR nvl(tmp.historical_flag, 'Y') = 'Y') THEN 'GL'
WHEN tmp.cost_distributed_flag = 'Y'
AND xea.gl_transfer_status_code &lt;&gt; 'Y'
AND pa_utils.iseifinalaccounted(cdl.expenditure_item_id, cdl.line_num) = 'Y' THEN 'PGL'
END), tmp.language),
pa_utils.get_lookup_values('PA_EI_ACCOUNTING_STATUS',(CASE
WHEN tmp.cost_distributed_flag = 'Y'
AND DECODE(cdl.transfer_status_code, 'X', 'PSLA', 'R', 'PSLA', 'P', 'PSLA', 'A', DECODE(pa_utils.iseifinalaccounted(cdl.expenditure_item_id, cdl.line_num), 'N', 'PSLA', 'SLA')) = 'PSLA'
THEN 'PSLA'
WHEN tmp.cost_distributed_flag = 'Y'
AND cdl.transfer_status_code NOT IN( 'V', 'G') THEN 'SLA'
END), tmp.language)
)
FROM
(
SELECT
        cd.*
    FROM
        (
            SELECT
                c.expenditure_item_id,
                c.transfer_status_code,
                c.acct_event_id,
                c.line_num
            FROM
                pa_cost_dist_lines_v c
            WHERE
                c.line_type IN (
                    'D'
                )
                AND c.creation_date &gt;= '26-APR-19'
				and (c.expenditure_item_id, c.line_num) in
				(select expenditure_item_id, max(line_num)
				from  pa_cost_dist_lines_v b
				where creation_date &gt;='26-APR-19'
				and line_type = 'D'
				group by b.expenditure_item_id
				)
        ) cd
) cdl,
xla_ae_headers xea
WHERE
tmp.cost_distributed_flag = 'Y'
AND cdl.expenditure_item_id = tmp.expenditure_item_id
and cdl.acct_event_id is not null
AND xea.balance_type_code (+) = 'A'
AND cdl.acct_event_id = xea.event_id(+)
AND tmp.set_of_books_id = xea.ledger_id(+)
) acct_status_tot_bur,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    and pa_utils.iseifinalaccounted(tmp.expenditure_item_id, cdl.line_num) = 'N'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'26-APR-19'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'26-APR-19'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pending_final_accounting,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	AND tmp.capitalized_flag = 'N'
    and pa_utils.iseifinalaccounted(tmp.expenditure_item_id, cdl.line_num) = 'Y'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'26-APR-19'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'26-APR-19'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proj_cost_pend_al_gen,
tmp.asset_asgn_exists_code,
DECODE(project_type_class_code, 'CAPITAL', pa_utils.get_lookup_values('PA_ASSET_ASG_LEVEL', tmp.asset_asgn_exists_code, tmp.language)) asset_assignment_exists,
tmp.grouped_task_id,
DECODE(project_type_class_code, 'CAPITAL', decode(tmp.grouped_task_id,-9999,NULL,(select task_number from pa_tasks where task_id = tmp.grouped_task_id))) grouped_task_number,
DECODE(project_type_class_code, 'CAPITAL', decode(tmp.grouped_task_id,-9999,NULL,(select task_name from pa_tasks where task_id = tmp.grouped_task_id))) grouped_task_name , dfv2.* 
from
(
SELECT DISTINCT
'PROJ_DS_EICDL' record_type,
'PROJ-'
|| TO_CHAR(ei.expenditure_item_id) ecc_spec_id,
ei.expenditure_item_id,
ei.expenditure_id,
ei.project_id,
ei.project_name,
ei.project_number,
ei.project_type user_project_type,
ei.project_type_class_code ,
ei.CAPITAL_COST_TYPE_CODE,
pa_utils.get_lookup_values('PROJECT TYPE CLASS', ei.project_type_class_code, ei.language) project_type,
ei.DERIVE_TOT_BURDEN_FLAG,
ei.project_manager,
ei.project_start_date,
ei.project_completion_date,
ei.project_organization,
ei.task_burden_schedule,
pa_utils.get_lookup_values('YES_NO',ei.task_billable_flag,ei.language) task_billable_flag,
ei.task_work_type,
ei.project_status_name,
ei.project_status,
(SELECT
        nvl(SUM(DECODE(ei.capital_cost_type_code, 'R', nvl(pbl.raw_cost, 0), nvl(pbl.burdened_cost, 0
        ))), 0)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project_budget,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'Y'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task_plan_capitalizable,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'N'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task_non_plan_capitalize,
(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
    WHERE
        pbv.project_id = ei.project_id
        AND pbv.budget_type_code = pbt.budget_type_code
        AND pbt.budget_amount_code = 'C'
        AND pbv.budget_status_code = 'B'
        AND pbv.current_flag = 'Y'
        AND pbv.budget_entry_method_code = bem.budget_entry_method_code
        and bem.entry_level_code = 'P'
        AND pra.budget_version_id = pbv.budget_version_id
        AND pra.project_id = pbv.project_id
        AND pbl.budget_version_id = pra.budget_version_id
        AND pbl.resource_assignment_id = pra.resource_assignment_id)
	+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'Y'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'L','T')
        AND pra.budget_version_id = pbv.budget_version_id
        AND pra.project_id = pbv.project_id
        AND pbl.budget_version_id = pra.budget_version_id
        AND pbl.resource_assignment_id = pra.resource_assignment_id)
) proj_plan_capitalize,
(
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'N'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 'T')
        AND pra.budget_version_id = pbv.budget_version_id
        AND pra.project_id = pbv.project_id
        AND pbl.budget_version_id = pra.budget_version_id
        AND pbl.resource_assignment_id = pra.resource_assignment_id
) proj_non_plan_capitalize,
DECODE(project_type_class_code, 'CAPITAL', nvl(
        (SELECT
            SUM(DECODE(ei.capital_cost_type_code, 'R', nvl(paie.raw_cost, 0), nvl(paie.burden_cost, 0) ))
        FROM
            pa_expenditure_items_all paie
        WHERE
            paie.project_id = ei.project_id
			AND paie.billable_flag = 'Y'
            AND paie.creation_date &gt;= '26-APR-19'
    ),0), 0)  proj_capitalizable,
(decode(project_type_class_code,'CAPITAL',decode(ei.capitalizable_flag,'Y',(nvl(DECODE(ei.capital_cost_type_code, 'R', nvl(ei.raw_cost, 0), nvl(ei.burdened_cost, 0
        )), 0)),0),0))actual_capitalizable,
(decode(project_type_class_code,'CAPITAL',decode(ei.capitalizable_flag,'N',(nvl(DECODE(ei.capital_cost_type_code, 'R', nvl(ei.raw_cost, 0), nvl(ei.burdened_cost, 0
        )), 0)),0),0))actual_non_capitalizable,
( DECODE(project_type_class_code, 'CAPITAL', DECODE(ei.capitalizable_flag, 'Y',decode(ei.capitalized_flag,'N',(nvl(DECODE(ei.capital_cost_type_code
, 'R', nvl(ei.raw_cost, 0), nvl(ei.burdened_cost, 0)), 0)),0), 0), 0) ) actual_yet_to_capitalizable,
(SELECT
        SUM(nvl(pbl.revenue,0))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'R'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)project_revenue_budget,
ei.proj_grouping_method,
ei.proj_grp_supplier_invoice,
ei.proj_asset_cost_alloc_mhd,
pa_utils.get_lookup_values('YES_NO', ei.total_burden_flag, ei.language) proj_enbl_burden_cost_acc,
(SELECT per.period_name FROM pa_periods_all per
 where start_date in
         (select max(start_date) from pa_periods_all per1
          where per1.status in ('O','F')
          and per1.org_id = ei.org_id)
      and per.org_id = ei.org_id) current_pa_period,
(SELECT per.gl_period_name FROM pa_periods_all per
 where start_date in
         (select max(start_date) from pa_periods_all per1
          where per1.status in ('O','F')
          and per1.org_id = ei.org_id)
      and per.org_id = ei.org_id) current_gl_period,
ei.current_pa_period current_reporting_pa_period,
ei.projfunc_currency_code,
(decode(project_type_class_code,'CAPITAL',(select count( project_asset_id ) from pa_project_assets_all ppaa where ppaa.project_id = ei.project_id),0)) number_of_assets,
(decode(project_type_class_code,'CAPITAL',nvl((select sum( current_asset_cost ) from pa_project_asset_lines_all ppal where ppal.project_id = ei.project_id and ppal.transfer_status_code = 'T'
                            		AND EXISTS(  SELECT   1
                     FROM pa_expenditure_items_all peia,pa_project_asset_line_Details ppald
                     WHERE peia.expenditure_item_id = ppald.expenditure_item_id
                     and  ppal.project_asset_line_detail_id = ppald.project_asset_line_detail_id
					 and peia.project_id = ei.project_id
                     AND peia.creation_date &gt;= '26-APR-19'
                  )),0),0)) proj_capitalized_cost,
ei.task_id,
ei.task_number,
ei.task_name,
ei.top_task_id,
ei.top_task_name,
ei.top_task_number,
ei.task_start_date,
ei.task_finish_date,
ei.task_manager,
ei.task_organization,
ei.expenditure_item_date,
ei.expenditure_ending_date expenditure_week_ending_date,
ei.expenditure_type,
ei.expenditure_category,
ei.expenditure_type_class,
ei.incurred_by_person_id,
ei.employee_name,
ei.employee_number,
ei.location_code,
ei.job_id,
ei.job_name,
ei.incurred_by_organization_id,
ei.override_to_organization_id,
ei.expenditure_organization_id,
ei.expenditure_org_name,
ei.non_labor_resource,
ei.system_linkage_function,
ei.transaction_source transaction_source_code,
ei.user_transaction_source transaction_source,
ei.orig_transaction_reference orig_transaction_ref,
ei.expenditure_group,
(CASE
WHEN ei.cost_distributed_flag = 'Y'
     AND ei.cost_burden_distributed_flag = 'N' THEN 'Y'
ELSE null
END)ei_pend_burden_dist,
( CASE
    WHEN ei.expenditure_group_status_code IN (
        'UPDATE_RELEASED',
        'RELEASED'
    ) THEN null
    ELSE 'Y'
END ) ei_group_unreleased,
(case when ei.cost_dist_rejection_code is not null then 'Y' else null end)ei_cost_exception,
(case when ei.expenditure_group_status_code IN (
        'UPDATE_RELEASED',
        'RELEASED'
    ) AND ei.cost_distributed_flag = 'N' then 'Y' else null end) ei_uncosted,
DECODE(ei.cost_distributed_flag, 'Y', 'Y', null) ei_costed,
DECODE(ei.cost_distributed_flag, 'Y', nvl(ei.burden_cost, 0), 0) ei_costed_value,
ei.quantity,
decode(ei.cost_distributed_flag,'Y',ei.burden_cost,0) burden_cost,
( CASE
    WHEN ei.system_linkage_function IN (
        'OT',
        'ST'
    ) THEN nvl(ei.burden_cost, 0)
    ELSE 0
END ) ei_labor_cost,
( CASE
    WHEN ei.system_linkage_function IN (
        'OT',
        'ST'
    ) THEN 0
    ELSE nvl(ei.burden_cost, 0)
END ) ei_non_labor_cost,
ei.unit_of_measure,
ei.unit_of_measure_m,
decode(ei.cost_distributed_flag,'Y',ei.raw_cost,0) raw_cost,
decode(ei.cost_distributed_flag,'Y',ei.raw_cost_rate,0) raw_cost_rate,
ei.cost_distributed_flag cost_distributed_flag,
pa_utils.get_lookup_values('YES_NO', ei.cost_distributed_flag, ei.language) cost_distributed,
pa_funds_control_utils.get_cost_rejection_reason(NVL(ei.cost_dist_rejection_code,ei.IND_COST_DIST_REJECTION_CODE),NULL) cost_dist_rejection_code,
decode(ei.project_type_class_code ,'INDIRECT',NULL,'CAPITAL',NULL,NVL(ei.revenue_distributed_flag,ei.capitalized_flag)) revenue_distributed,
pa_utils.get_lookup_values('YES_NO',decode(ei.project_type_class_code ,'INDIRECT',NULL,'CAPITAL',NULL,NVL(ei.revenue_distributed_flag,ei.capitalized_flag)), ei.language) revenue_distributed_flag,
pa_utils.get_lookup_values('YES_NO',(CASE WHEN ei.project_type_class_code = 'CONTRACT' AND bill_amount IS NOT NULL THEN 'Y'
WHEN ei.project_type_class_code = 'CONTRACT' AND bill_amount IS NULL THEN 'N'
ELSE NULL END), ei.language) billed,
ei.billable_flag  billable_flag,
pa_utils.get_lookup_values('YES_NO',ei.billable_flag,ei.language)  billable,
ei.bill_hold_flag ,
pa_utils.get_lookup_values('YES_NO',ei.bill_hold_flag,ei.language) bill_hold,
( CASE
WHEN ei.billable_flag = 'Y'
AND ei.bill_amount IS NOT NULL
AND nvl(ei.net_zero_adjustment_flag, 'N') = 'N'
AND ei.INVOICE_METHOD = 'WORK'
AND ei.cost_distributed_flag = 'Y' THEN ei.bill_amount
ELSE 0
END ) billed_cost,
( CASE
WHEN ei.billable_flag = 'Y'
AND ei.bill_amount IS NULL
AND nvl(ei.net_zero_adjustment_flag, 'N') = 'N'
AND ei.INVOICE_METHOD = 'WORK'
AND ei.cost_distributed_flag = 'Y' THEN ei.BURDEN_COST
ELSE 0
END ) billable_unbilled_cost,
( CASE
WHEN ei.billable_flag = 'Y'
AND ei.bill_amount IS NULL
AND ei.bill_hold_flag = 'Y'
AND nvl(ei.net_zero_adjustment_flag, 'N') = 'N'
AND ei.INVOICE_METHOD = 'WORK'
AND ei.cost_distributed_flag = 'Y' THEN ei.BURDEN_COST
ELSE 0
END ) billable_onhold_cost,
ei.bill_billable_cost,
pa_utils.get_lookup_values('YES_NO',ei.bill_nonbilable_flag,ei.language) bill_nonbilable_flag,
ei.bill_nonbilable_cost,
ei.bill_billhold_cost,
pa_utils.get_lookup_values('YES_NO',ei.bill_billed_flag,ei.language) bill_billed_flag,
ei.bill_billed_cost,
pa_utils.get_lookup_values('YES_NO',ei.bill_not_billed_flag,ei.language) bill_not_billed_flag,
ei.bill_not_billed_cost,
(case when ei.project_type_class_code = 'CONTRACT' AND ei.billable_flag = 'Y' AND ei.bill_amount IS NULL AND ei.cost_distributed_flag = 'Y' AND ei.invoice_method = 'WORK' then ei.burden_cost else 0 end)ei_work_burden_cost,
decode(ei.cost_distributed_flag,'Y',ei.burdened_cost,0) burdened_cost,
decode(ei.cost_distributed_flag,'Y',ei.burdened_cost_rate,0) burdened_cost_rate,
ei.denom_currency_code,
decode(ei.cost_distributed_flag,'Y',ei.denom_raw_cost,0) denom_raw_cost,
decode(ei.cost_distributed_flag,'Y',ei.denom_burdened_cost,0) denom_burdened_cost,
ei.acct_currency_code,
ei.acct_rate_type,
ei.acct_rate_date,
ei.acct_exchange_rate,
decode(ei.cost_distributed_flag,'Y',ei.acct_raw_cost,0) acct_raw_cost,
decode(ei.cost_distributed_flag,'Y',ei.acct_burdened_cost,0) acct_burdened_cost,
( DECODE(ei.capitalizable_flag, 'Y', DECODE(ei.capitalized_flag, 'N', ei.BURDEN_COST, 0), 0) - DECODE(
ei.capitalized_flag, 'Y', ei.BURDEN_COST, 0) - DECODE(ei.capitalizable_flag, 'N', ei.BURDEN_COST
, 0) ) cip_cost,
ei.project_currency_code,
decode(ei.cost_distributed_flag,'Y',ei.project_raw_cost,0) project_raw_cost,
decode(ei.cost_distributed_flag,'Y',ei.project_burdened_cost,0) project_burdened_cost,
pa_utils.get_lookup_values('YES_NO',ei.cost_burden_distributed_flag,ei.language) cost_bur_distributed_flag,
ei.capitalizable_flag,
pa_utils.get_lookup_values('YES_NO',ei.capitalizable_flag,ei.language) capitalizable,
pa_utils.get_lookup_values('YES_NO',ei.asset_line_generated,ei.language) asset_line_generated,
ei.capitalized_flag,
pa_utils.get_lookup_values('YES_NO',ei.capitalized_flag,ei.language) capitalized,
ei.bill_hold_flag capitalizable_cap_hold_flag,
decode(ei.project_type_class_code,'CAPITAL',pa_utils.get_lookup_values('YES_NO',ei.bill_hold_flag,ei.language)) capitalizable_cap_hold,
ei.adjusted_expenditure_item_id,
ei.net_zero_adjustment_flag ,
pa_utils.get_lookup_values('YES_NO',ei.net_zero_adjustment_flag,ei.language) net_zero_adjustment,
ei.transferred_from_exp_item_id,
ei.transferred_item_flag,
pa_utils.get_lookup_values('CC_CROSS_CHARGE_CODE', ei.cc_cross_charge_code, ei.language) cc_cross_charge_code,
pa_utils.get_lookup_values('CC_CROSS_CHARGE_TYPE', ei.cc_cross_charge_type, ei.language) cc_cross_charge_type,
pa_utils.get_lookup_values('CC_PROCESSED_CODE', ei.cc_bl_distributed_code, ei.language) cc_bl_distributed_code,
ei.org_id,
ei.vendor_id,
(
SELECT
vendor_name
FROM
ap_suppliers
WHERE
vendor_id = ei.vendor_id
) vendor_name,
ei.document_header_id,
ei.document_distribution_id,
ei.document_line_number,
ei.document_payment_id,
ei.document_type,
ei.document_distribution_type,
ei.prvdr_org_name Operating_Unit,
decode(ei.cost_distributed_flag,'Y',DECODE(ei.capital_cost_type_code, 'R', ei.raw_cost, DECODE(ei.cost_burden_distributed_flag,'Y', ei.BURDEN_COST,0)),0) capital_cost_code_amt,
cdl.line_num,
cdl.line_type line_type_code,
pa_utils.get_lookup_values('COST DISTRIBUTION LINE TYPE', cdl.line_type, ei.language) line_type,
cdl.reversed_flag,
cdl.transfer_status_code transfer_status_code,
cdl.pa_date,
cdl.gl_date,
cdl.recvr_pa_date,
cdl.recvr_gl_date,
cdl.pa_period_name,
cdl.gl_period_name,
cdl.recvr_pa_period_name,
cdl.recvr_gl_period_name,
cdl.acct_event_id,
decode(ei.cost_distributed_flag,'Y',cdl.amount,0) amount,
decode(ei.cost_distributed_flag,'Y',cdl.burdened_cost,0) cdl_burdened_cost,
decode(ei.cost_distributed_flag,'Y',DECODE(ei.capital_cost_type_code, 'R', cdl.AMOUNT, NVL(cdl.BURDENED_COST,cdl.AMOUNT)),0) cdl_amount,
pa_utils.get_lookup_values('YES_NO',pa_utils.iseifinalaccounted(ei.expenditure_item_id, cdl.line_num),ei.language) cdl_acct_status,
pa_utils.get_lookup_values('PA_XLA_TRANSFER_STATUS',(SELECT
DECODE(xe.process_status_code, 'P', 'A', 'U', 'P', 'I', 'R') FROM xla_events xe, pa_cc_dist_lines_all cc
WHERE
xe.application_id = 275
AND xe.event_id = cc.acct_event_id
AND cc.expenditure_item_id = ei.expenditure_item_id
AND cc.line_num = cdl.line_num
AND ei.cc_bl_distributed_code = 'Y'),ei.language) bl_acct_status,
ei.expenditure_group_status_code exp_group_status_code,
pa_utils.get_lookup_values('EXPENDITURE GROUP STATUS', ei.expenditure_group_status_code, ei.language) exp_group_status,
ei.expenditure_status_code EXPENDITURE_STATUS,
( CASE
WHEN ei.cost_dist_rejection_code IS NOT NULL THEN 'CE'
WHEN ei.cost_distributed_flag = 'N' AND ei.expenditure_group_status_code not in ('RELEASED','UPDATE_RELEASED') THEN 'UR'
WHEN ei.cost_distributed_flag = 'N' THEN 'UCST'
WHEN ei.cost_distributed_flag = 'Y' AND (cdl.transfer_status_code IN ('X','R') OR xla.process_status_code = 'I') THEN 'CAE'
WHEN ei.cost_distributed_flag = 'Y' AND pa_utils.iseifinalaccounted(ei.expenditure_item_id, cdl.line_num) = 'Y' THEN 'ACCT'
WHEN ei.cost_distributed_flag = 'Y' THEN 'CST'
ELSE NULL
END ) precosting_status_code,
( CASE
WHEN ei.cost_dist_rejection_code IS NOT NULL THEN pa_utils.get_lookup_values('PA_EI_COSTING_STATUS','CE', ei.LANGUAGE)
WHEN ei.cost_distributed_flag = 'N' AND ei.expenditure_group_status_code not in  ('RELEASED', 'UPDATE_RELEASED') THEN pa_utils.get_lookup_values('PA_EI_COSTING_STATUS','UR', ei.LANGUAGE)
WHEN ei.cost_distributed_flag = 'N' THEN pa_utils.get_lookup_values('PA_EI_COSTING_STATUS','UCST', ei.LANGUAGE)
WHEN ei.cost_distributed_flag = 'Y' AND (cdl.transfer_status_code IN ('X','R') OR xla.process_status_code = 'I') THEN pa_utils.get_lookup_values('PA_EI_COSTING_STATUS','CAE', ei.LANGUAGE)
WHEN ei.cost_distributed_flag = 'Y' AND pa_utils.iseifinalaccounted(ei.expenditure_item_id, cdl.line_num) = 'Y' THEN pa_utils.get_lookup_values('PA_EI_COSTING_STATUS','ACCT', ei.LANGUAGE)
WHEN ei.cost_distributed_flag = 'Y' THEN pa_utils.get_lookup_values('PA_EI_COSTING_STATUS','CST', ei.LANGUAGE)
ELSE NULL
END ) precosting_status,
NULL asset_name,
ei.work_type_name WORK_TYPE,
(CASE WHEN ei.transaction_source LIKE 'PO%' THEN NVL(EI.receipt_po_number,ei.po_number)
WHEN ei.transaction_source LIKE 'AP%' THEN ei.matched_po_number
ELSE NULL
END
) po_number,
(CASE WHEN ei.transaction_source LIKE 'PO%' THEN nvl(ei.receipt_po_line_num,ei.po_line_number)
WHEN ei.transaction_source LIKE 'AP%' THEN ei.matched_po_line_number
ELSE NULL
END
) po_line_number,
(CASE WHEN ei.transaction_source LIKE 'PO%' THEN ei.receipt_number
WHEN ei.transaction_source LIKE 'AP%' THEN ei.matched_receipt_num
ELSE NULL
END) r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</si>
  <si>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to_timestamp('26-APR-20 03.56.30.000000 AM')
     OR ppa.last_update_date &gt;= to_timestamp('26-APR-20 03.56.30.000000 AM')
     OR ppal.last_update_date &gt;= to_timestamp('26-APR-20 03.56.30.000000 AM')
	 OR EXISTS (select 1 from pa_expenditure_items_all peial
	            where peial.project_id = pp.project_id
				and peial.last_update_date &gt; to_timestamp('26-APR-20 03.56.30.000000 AM'))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to_timestamp('26-APR-20 03.56.30.000000 AM')
    OR EXISTS (select 1 from pa_expenditure_items_all peial
	           where peial.project_id = pp.project_id
			   and peial.last_update_date &gt; to_timestamp('26-APR-20 03.56.30.000000 AM'))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</si>
  <si>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to_date(to_char(to_timestamp('26-APR-20'),'DD-MON-YY HH24.MI.SS'),'DD-MON-YY HH24.MI.SS'))
          or (AH.CLOSE_BIDDING_DATE between to_date(to_char(to_timestamp('26-APR-20'),'DD-MON-YY HH24.MI.SS'),'DD-MON-YY HH24.MI.SS')
                                      and to_date(to_char(to_timestamp('26-APR-20'),'DD-MON-YY HH24.MI.SS'),'DD-MON-YY HH24.MI.SS'))
         or (AH.OPEN_BIDDING_DATE between to_date(to_char(to_timestamp('26-APR-20'),'DD-MON-YY HH24.MI.SS'),'DD-MON-YY HH24.MI.SS')
                                      and to_date(to_char(to_timestamp('26-APR-20'),'DD-MON-YY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</si>
  <si>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to_date(to_char(to_timestamp('26-APR-20'),'DD-MON-YY HH24.MI.SS'),'DD-MON-YY HH24.MI.SS'))
          or (AH.CLOSE_BIDDING_DATE between to_date(to_char(to_timestamp('26-APR-20'),'DD-MON-YY HH24.MI.SS'),'DD-MON-YY HH24.MI.SS')
                                      and to_date(to_char(to_timestamp('26-APR-20'),'DD-MON-YY HH24.MI.SS'),'DD-MON-YY HH24.MI.SS'))
         or (AH.OPEN_BIDDING_DATE between to_date(to_char(to_timestamp('26-APR-20'),'DD-MON-YY HH24.MI.SS'),'DD-MON-YY HH24.MI.SS')
                                      and to_date(to_char(to_timestamp('26-APR-20'),'DD-MON-YY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</si>
  <si>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gt.KEY=3139047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</si>
  <si>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gt.KEY=3139047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</si>
  <si>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gt.KEY=3139047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</si>
  <si>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gt.KEY=3139047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</si>
  <si>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gt.KEY=3139047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</si>
  <si>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gt.KEY=3139042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</si>
  <si>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gt.KEY=3139042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</si>
  <si>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gt.KEY=3139042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</si>
  <si>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 xml:space="preserve">There is SQLException while applying load rule for dataset po-clm-solicitations for job 62,023.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</si>
  <si>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3139041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</si>
  <si>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62,023.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</si>
  <si>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3139040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</si>
  <si>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3139040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</si>
  <si>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3139040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</si>
  <si>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3139040 )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</si>
  <si>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3139040 )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</si>
  <si>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3139040 )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</si>
  <si>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3139039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</si>
  <si>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3139039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</si>
  <si>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3139039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</si>
  <si>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3139039 )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</si>
  <si>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3139039 )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</si>
  <si>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3139039 )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</si>
  <si>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3139037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</si>
  <si>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62,023.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</si>
  <si>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3139036 )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</si>
  <si>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3139036 )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</si>
  <si>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3139036 )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</si>
  <si>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3139036 )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</si>
  <si>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3139036 ) PIVOT ( max(protest_document_type) as protest_document_type
                                             FOR language in ( 'US' "US"))</t>
  </si>
  <si>
    <t xml:space="preserve">There is SQLException while applying load rule for dataset po-clm-idv for job 62,023.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</si>
  <si>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3139035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3139035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</si>
  <si>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3139034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3139034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</si>
  <si>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62,023.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</si>
  <si>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to_date(to_char(to_timestamp('26-APR-20 03.48.38.000000 AM'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to_date(to_char(to_timestamp('26-APR-20 03.48.38.000000 AM'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to_date(to_char(to_timestamp('26-APR-20 03.48.38.000000 AM'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to_date(to_char(to_timestamp('26-APR-20 03.48.38.000000 AM'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</si>
  <si>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TO_DATE('26-APR-20 13:58:04','DD-MON-RR HH24:MI:SS') + 7 ))  AND (wdj.last_update_date &gt;= TO_DATE('26-APR-20 13:58:04','DD-MON-RR HH24:MI:SS')
                                                        OR wo.last_update_date &gt;= TO_DATE('26-APR-20 13:58:04','DD-MON-RR HH24:MI:SS')
                                                        OR we.last_update_date &gt;= TO_DATE('26-APR-20 13:58:04','DD-MON-RR HH24:MI:SS')
                                                        OR wmt.last_update_date &gt;= TO_DATE('26-APR-20 13:58:04','DD-MON-RR HH24:MI:SS')
                                                        OR bd.last_update_date &gt;= TO_DATE('26-APR-20 13:58:04','DD-MON-RR HH24:MI:SS')
                                                        OR bso.last_update_date &gt;= TO_DATE('26-APR-20 13:58:04','DD-MON-RR HH24:MI:SS')
                                                        OR mtr.last_update_date &gt;= TO_DATE('26-APR-20 13:58:04','DD-MON-RR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</si>
  <si>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TO_DATE('26-APR-20 13:58:04','DD-MON-RR HH24:MI:SS') + 7 )) AND (wdj.last_update_date &gt;= TO_DATE('26-APR-20 13:58:04','DD-MON-RR HH24:MI:SS')
													     OR we.last_update_date &gt;= TO_DATE('26-APR-20 13:58:04','DD-MON-RR HH24:MI:SS')
                                                         OR msn.last_update_date &gt;= TO_DATE('26-APR-20 13:58:04','DD-MON-RR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TO_DATE('26-APR-20 13:58:04','DD-MON-RR HH24:MI:SS')
													     OR we.last_update_date &gt;= TO_DATE('26-APR-20 13:58:04','DD-MON-RR HH24:MI:SS')
                                                         OR msn.last_update_date &gt;= TO_DATE('26-APR-20 13:58:04','DD-MON-RR HH24:MI:SS')
                                                         OR mog.last_update_date &gt;= TO_DATE('26-APR-20 13:58:04','DD-MON-RR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</si>
  <si>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TO_DATE('26-APR-20 02:01:43','DD-MON-RR HH24:MI:SS') + 7 ))  AND (wdj.last_update_date &gt;= TO_DATE('26-APR-20 02:01:43','DD-MON-RR HH24:MI:SS')
                                                        OR wo.last_update_date &gt;= TO_DATE('26-APR-20 02:01:43','DD-MON-RR HH24:MI:SS')
                                                        OR we.last_update_date &gt;= TO_DATE('26-APR-20 02:01:43','DD-MON-RR HH24:MI:SS')
                                                        OR wmt.last_update_date &gt;= TO_DATE('26-APR-20 02:01:43','DD-MON-RR HH24:MI:SS')
                                                        OR bd.last_update_date &gt;= TO_DATE('26-APR-20 02:01:43','DD-MON-RR HH24:MI:SS')
                                                        OR bso.last_update_date &gt;= TO_DATE('26-APR-20 02:01:43','DD-MON-RR HH24:MI:SS')
                                                        OR mtr.last_update_date &gt;= TO_DATE('26-APR-20 02:01:43','DD-MON-RR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</si>
  <si>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TO_DATE('26-APR-20 02:01:43','DD-MON-RR HH24:MI:SS') + 7 )) AND (wdj.last_update_date &gt;= TO_DATE('26-APR-20 02:01:43','DD-MON-RR HH24:MI:SS')
													     OR we.last_update_date &gt;= TO_DATE('26-APR-20 02:01:43','DD-MON-RR HH24:MI:SS')
                                                         OR msn.last_update_date &gt;= TO_DATE('26-APR-20 02:01:43','DD-MON-RR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TO_DATE('26-APR-20 02:01:43','DD-MON-RR HH24:MI:SS')
													     OR we.last_update_date &gt;= TO_DATE('26-APR-20 02:01:43','DD-MON-RR HH24:MI:SS')
                                                         OR msn.last_update_date &gt;= TO_DATE('26-APR-20 02:01:43','DD-MON-RR HH24:MI:SS')
                                                         OR mog.last_update_date &gt;= TO_DATE('26-APR-20 02:01:43','DD-MON-RR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</si>
  <si>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to_date(to_char(to_timestamp('26-APR-20 01.54.03.000000 AM'),'DD-MON-YY HH24.MI.SS'),'DD-MON-YY HH24.MI.SS'))) OR  ( to_date(to_char(e.inst_last_upd_date , 'DD-MON-YY HH24.MI.SS') , 'DD-MON-YY HH24.MI.SS' ) &gt;=  to_date(to_char(to_timestamp('26-APR-20 01.54.03.000000 AM'),'DD-MON-YY HH24.MI.SS'),'DD-MON-YY HH24.MI.SS'))  OR  ( to_date(to_char(coa.last_update_date , 'DD-MON-YY HH24.MI.SS') , 'DD-MON-YY HH24.MI.SS' ) &gt;=  to_date(to_char(to_timestamp('26-APR-20 01.54.03.000000 AM'),'DD-MON-YY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to_date(to_char(to_timestamp('26-APR-20 01.54.03.000000 AM'),'DD-MON-YY HH24.MI.SS'),'DD-MON-YY HH24.MI.SS')))))</t>
  </si>
  <si>
    <t>SELECT * FROM (SELECT * FROM CN_ECC_QUOTA_V
				WHERE ECC_LAST_UPDATE_DATE &gt;= to_date(to_char(to_timestamp('26-APR-20 01.39.04.000000 AM'),'DD-MON-YY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</si>
  <si>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to_date(to_char(to_timestamp('26-APR-20 01.39.04.000000 AM'),'DD-MON-YY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</si>
  <si>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to_date(to_char(to_timestamp('26-APR-20 01.26.44.000000 PM'),'DD-MON-YY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</si>
  <si>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to_date(to_char(to_timestamp('26-APR-20 01.26.44.000000 PM'),'DD-MON-YY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</si>
  <si>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to_date(to_char(to_timestamp('26-APR-20 01.25.57.000000 AM'),'DD-MON-YY HH24.MI.SS'),'DD-MON-YY HH24.MI.SS')
			and status_type IN (1,3, 6,17) 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</si>
  <si>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to_date(to_char(to_timestamp('26-APR-20 01.01.53.000000 AM'),'DD-MON-YY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</si>
  <si>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55s</t>
  </si>
  <si>
    <t>There are 449 documents processed successfully and 0 documents failed to be processed.</t>
  </si>
  <si>
    <t>449</t>
  </si>
  <si>
    <t>There are 2,661 documents processed successfully and 0 documents failed to be processed.</t>
  </si>
  <si>
    <t>2661</t>
  </si>
  <si>
    <t>64</t>
  </si>
  <si>
    <t>select * from (  select * from ICX_CAT_ECC_100793_VL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</si>
  <si>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</si>
  <si>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</si>
  <si>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</si>
  <si>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</si>
  <si>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</si>
  <si>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</si>
  <si>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</si>
  <si>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</si>
  <si>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</si>
  <si>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</si>
  <si>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</si>
  <si>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</si>
  <si>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</si>
  <si>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</si>
  <si>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</si>
  <si>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</si>
  <si>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</si>
  <si>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</si>
  <si>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</si>
  <si>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</si>
  <si>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</si>
  <si>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</si>
  <si>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</si>
  <si>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</si>
  <si>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</si>
  <si>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</si>
  <si>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</si>
  <si>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</si>
  <si>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</si>
  <si>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</si>
  <si>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</si>
  <si>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</si>
  <si>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</si>
  <si>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</si>
  <si>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</si>
  <si>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</si>
  <si>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</si>
  <si>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</si>
  <si>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</si>
  <si>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</si>
  <si>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</si>
  <si>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</si>
  <si>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</si>
  <si>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</si>
  <si>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</si>
  <si>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</si>
  <si>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</si>
  <si>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</si>
  <si>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</si>
  <si>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</si>
  <si>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</si>
  <si>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</si>
  <si>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</si>
  <si>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</si>
  <si>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</si>
  <si>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</si>
  <si>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</si>
  <si>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</si>
  <si>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</si>
  <si>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</si>
  <si>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</si>
  <si>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</si>
  <si>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</si>
  <si>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</si>
  <si>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</si>
  <si>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</si>
  <si>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</si>
  <si>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</si>
  <si>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</si>
  <si>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</si>
  <si>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</si>
  <si>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</si>
  <si>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</si>
  <si>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</si>
  <si>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</si>
  <si>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</si>
  <si>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</si>
  <si>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</si>
  <si>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</si>
  <si>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</si>
  <si>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</si>
  <si>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</si>
  <si>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</si>
  <si>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</si>
  <si>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</si>
  <si>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</si>
  <si>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</si>
  <si>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</si>
  <si>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</si>
  <si>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</si>
  <si>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</si>
  <si>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</si>
  <si>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</si>
  <si>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</si>
  <si>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</si>
  <si>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</si>
  <si>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</si>
  <si>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</si>
  <si>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</si>
  <si>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</si>
  <si>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</si>
  <si>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</si>
  <si>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</si>
  <si>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</si>
  <si>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</si>
  <si>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</si>
  <si>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</si>
  <si>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</si>
  <si>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</si>
  <si>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</si>
  <si>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</si>
  <si>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</si>
  <si>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</si>
  <si>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</si>
  <si>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</si>
  <si>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</si>
  <si>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</si>
  <si>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</si>
  <si>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</si>
  <si>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</si>
  <si>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</si>
  <si>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</si>
  <si>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</si>
  <si>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</si>
  <si>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</si>
  <si>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</si>
  <si>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</si>
  <si>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</si>
  <si>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</si>
  <si>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</si>
  <si>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</si>
  <si>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</si>
  <si>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</si>
  <si>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</si>
  <si>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</si>
  <si>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</si>
  <si>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</si>
  <si>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</si>
  <si>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</si>
  <si>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</si>
  <si>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</si>
  <si>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</si>
  <si>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</si>
  <si>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</si>
  <si>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to_date(to_char(to_timestamp('26-APR-20 12.11.33.000000 AM'),'DD-MON-YY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</si>
  <si>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to_date(to_char(to_timestamp('26-APR-20 12.11.33.000000 AM'),'DD-MON-YY HH24.MI.SS'),'DD-MON-YY HH24.MI.SS') </t>
  </si>
  <si>
    <t xml:space="preserve">SELECT
              ecc_spec_id,
              zonesi
              from icx_cat_ecc_zones_i WHERE ECC_LAST_UPDATE_DATE &gt;=  to_date(to_char(to_timestamp('26-APR-20 12.11.33.000000 AM'),'DD-MON-YY HH24.MI.SS'),'DD-MON-YY HH24.MI.SS') </t>
  </si>
  <si>
    <t xml:space="preserve">SELECT
              ecc_spec_id,
              zonesp
              from icx_cat_ecc_zones_p WHERE ECC_LAST_UPDATE_DATE &gt;=  to_date(to_char(to_timestamp('26-APR-20 12.11.33.000000 AM'),'DD-MON-YY HH24.MI.SS'),'DD-MON-YY HH24.MI.SS') </t>
  </si>
  <si>
    <t xml:space="preserve">SELECT
              ecc_spec_id,
              zonesb
              from icx_cat_ecc_zones_b WHERE ECC_LAST_UPDATE_DATE &gt;=  to_date(to_char(to_timestamp('26-APR-20 12.11.33.000000 AM'),'DD-MON-YY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</si>
  <si>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to_date(to_char(to_timestamp('26-APR-20 12.11.33.000000 AM'),'DD-MON-YY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</si>
  <si>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to_date(to_char(to_timestamp('26-APR-20 12.11.33.000000 AM'),'DD-MON-YY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</si>
  <si>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to_date(to_char(to_timestamp('25-APR-20 10.56.51.000000 PM'),'DD-MON-YY HH.MI.SS'),'DD-MON-YY HH.MI.SS')) PIVOT ( Max(source_doc_type) AS source_doc_type,
          Max(source_name) AS source_name,
          Max(item_description) AS item_description for LANGUAGE in ( 'US' "US"))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</si>
  <si>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to_date(to_char(to_timestamp('25-APR-20 10.56.51.000000 PM'),'DD-MON-YY HH.MI.SS'),'DD-MON-YY HH.MI.SS') UNION ALL SELECT ECC_SPEC_ID from RCV_ECC_RECEIPTS_ASNLCM_V
WHERE SHIPMENT_LINE_STATUS_CODE in('FULLY RECEIVED', 'CANCELLED')
 AND last_update_date &gt;  to_date(to_char(to_timestamp('25-APR-20 10.56.51.000000 PM'),'DD-MON-YY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to_date(to_char(to_timestamp('25-APR-20 10.56.51.000000 PM'),'DD-MON-YY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to_date(to_char(to_timestamp('25-APR-20 10.56.51.000000 PM'),'DD-MON-YY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to_date(to_char(to_timestamp('25-APR-20 10.56.51.000000 PM'),'DD-MON-YY HH.MI.SS'),'DD-MON-YY HH.MI.SS')</t>
  </si>
  <si>
    <t>24m 46s</t>
  </si>
  <si>
    <t>select * from (
SELECT
ECC_SPEC_ID,
RECORD_TYPE,
EVENT_ID,
ORG_ID,
APPLICATION_ID,
INVOICE_ID,
INVOICE_TYPE_LOOKUP_CODE,
INVOICE_NUMBER,
TRANSACTION_CURRENCY,
INVOICE_DATE,
GL_DATE,
ACCOUNTED_AMOUNT,
PAYMENT_TYPE_FLAG,
PAYMENT_TYPE_DESC,
INSTALLMENT,
AMOUNT,
INVOICE_PAYMENT_ID,
CHECK_ID,
TRANSACTION_NUMBER,
TRANSACTION_DATE,
BANK_ACCOUNT_NAME,
VENDOR_ID,
SUPPLIER_NAME,
SUPPLIER_NUMBER,
SITE_CODE,
EVENT_STATUS_CODE,
EVENT_STATUS_DESC,
PROCESS_STATUS_CODE,
PROCESS_STATUS_DESC,
EVENT_TYPE_CODE,
EVENT_TYPE_DESC,
EVENT_NUMBER,
LEDGER_ID,
LEDGER_NAME,
CURRENCY_CODE,
PERIOD_NAME,
PERIOD_YEAR,
CLOSING_STATUS,
OPERATING_UNIT,
LANGUAGE
FROM
(
SELECT /*+ LEADING(ps) */
    ip.invoice_payment_id
    || '-'
    || xe.event_id
    || '-'
    || xe.event_number ecc_spec_id ,
    'PAY' AS record_type,
    xe.event_id,
    ai.org_id,
	xe.APPLICATION_ID,
    ai.invoice_id                 invoice_id,
    ai.invoice_type_lookup_code   invoice_type_lookup_code,
    ai.invoice_num                invoice_number,
	ai.invoice_currency_code TRANSACTION_CURRENCY,
    ai.invoice_date               AS invoice_date,
	ai.GL_DATE,
    ( ip.amount * nvl(ip.exchange_rate, 1) ) AS ACCOUNTED_AMOUNT,
    c.payment_type_flag,
	(
        SELECT
            meaning
        FROM
            fnd_lookup_values
        WHERE
            view_application_id = 200
            AND lookup_type = 'PAYMENT TYPE'
            AND language = outl.language
            AND lookup_code = c.payment_type_flag
    ) PAYMENT_TYPE_DESC,
    ip.payment_num                installment,
    ip.amount                     AMOUNT,
    ip.invoice_payment_id,
	c.check_id,
	c.check_number TRANSACTION_NUMBER,
    c.check_date TRANSACTION_DATE,
    c.bank_account_name,
    ai.vendor_id,
    hp.party_name                 supplier_name,
    pav.segment1                  supplier_number,
    pos.vendor_site_code          site_code,
    xe.event_status_code,
    (
        SELECT
            meaning
        FROM
            fnd_lookup_values
        WHERE
            view_application_id = 602
            AND lookup_type = 'XLA_EVENT_STATUS'
                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xe.process_status_code
    ) process_status_desc,
	xe.event_type_code,
    (select ett.description from XLA_EVENT_TYPES_TL ett where xe.EVENT_TYPE_CODE = ett. EVENT_TYPE_CODE and xe.application_id = ett.application_id and ett.language = outl.language) as EVENT_TYPE_DESC,
    xe.event_number,
    gl.ledger_id,
    gl.name                       ledger_name,
    gl.currency_code,
    ps.period_name,
    ps.period_year,
    ps.closing_status,
    outl.name                     operating_unit,
    outl.language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= 'U'
    AND xe.process_status_code = 'U' AND ( to_date(to_char(ip.last_update_date,'DD-MON-RR HH24:MI:SS'),'DD-MON-RR HH24:MI:SS')   &gt;=  to_date('25-APR-20','DD-MON-RR HH24:MI:SS')
       AND ip.last_update_date &lt; sysdate) )temp
where temp.language in ('US'))
PIVOT (max(OPERATING_UNIT) as OPERATING_UNIT, max(EVENT_STATUS_DESC) as EVENT_STATUS_DESC,
        max(PROCESS_STATUS_DESC) as PROCESS_STATUS_DESC,
		max(EVENT_TYPE_DESC) as EVENT_TYPE_DESC, max(PAYMENT_TYPE_DESC) as PAYMENT_TYPE_DESC,
    max(SUPPLIER_NAME) as SUPPLIER_NAME
For LANGUAGE in ('US' "US"))</t>
  </si>
  <si>
    <t>select * from (
SELECT
ECC_SPEC_ID,
RECORD_TYPE,
INVOICE_TYPE_LOOKUP_CODE,
ORG_ID,
TRANSACTION_CURRENCY,
SUPPLIER_NAME,
SUPPLIER_NUMBER,
SITE_CODE,
INVOICE_ID,
TRANSACTION_NUMBER,
TRANSACTION_DATE,
GL_DATE,
INVOICE_DISTRIBUTION_ID,
DISTRIBUTION_LINE_NUMBER,
INV_PERIOD,
AMOUNT,
ACCOUNTED_AMOUNT,
APPLICATION_ID,
EVENT_ID,
EVENT_STATUS_CODE,
EVENT_STATUS_DESC,
PROCESS_STATUS_CODE,
PROCESS_STATUS_DESC,
EVENT_TYPE_CODE,
EVENT_TYPE_DESC,
LINE_TYPE_LOOKUP_CODE,
LINE_TYPE_DESC,
EVENT_NUMBER,
LEDGER_ID,
LEDGER_NAME,
CURRENCY_CODE,
PERIOD_NAME,
PERIOD_YEAR,
CLOSING_STATUS,
OPERATING_UNIT,
LANGUAGE
FROM
(SELECT /*+ LEADING(ps) */
    aia.invoice_id
    || '-'
    ||aida.invoice_distribution_id
    || '-'
    || xe.event_id
    || '-'
    || xe.event_number ecc_spec_id,
    'INV' AS record_type,
    aia.invoice_type_lookup_code,
	aia.org_id,
	aia.invoice_currency_code as TRANSACTION_CURRENCY,
    ap.vendor_name         supplier_name,
    ap.segment1            supplier_number,
    pos.vendor_site_code   site_code,
    aia.invoice_id,
    aia.invoice_num        TRANSACTION_NUMBER,
    aia.invoice_date TRANSACTION_DATE,
    aia.gl_date,
    aida.invoice_distribution_id,
    aida.distribution_line_number,
    aida.period_name       inv_period,
    aida.amount,
	(CASE WHEN aida.base_amount IS NULL
    THEN (aida.amount * nvl(aida.exchange_rate,1))
    ELSE aida.base_amount
	END) as ACCOUNTED_AMOUNT,
    xe.application_id,
    xe.event_id,
    xe.event_status_code,
    (
        SELECT
            meaning
        FROM
            fnd_lookup_values
        WHERE
            view_application_id = 602
            AND lookup_type = 'XLA_EVENT_STATUS'
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                AND lookup_type = 'XLA_EVENT_PROCESS_STATUS'
            AND language = outl.language
            AND lookup_code = xe.process_status_code
    ) process_status_desc,
    xe.event_type_code,
	(select ett.description from XLA_EVENT_TYPES_TL ett where xe.EVENT_TYPE_CODE = ett. EVENT_TYPE_CODE and xe.application_id = ett.application_id AND ett.language = outl.language) as EVENT_TYPE_DESC,
    LINE_TYPE_LOOKUP_CODE,
    (select DISPLAYED_FIELD from AP_LOOKUP_CODES where LOOKUP_TYPE = 'INVOICE DISTRIBUTION TYPE'
    and LOOKUP_CODE = aida.LINE_TYPE_LOOKUP_CODE) as LINE_TYPE_DESC,
    xe.event_number,
    lgr.ledger_id,
    lgr.name               ledger_name,
    lgr.currency_code,
    ps.period_name,
    ps.period_year,
    ps.closing_status,
    outl.name              operating_unit,
    outl.language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= 'U' AND ( to_date(to_char(aia.last_update_date,'DD-MON-RR HH24:MI:SS'),'DD-MON-RR HH24:MI:SS')   &gt;=  to_date('25-APR-20','DD-MON-RR HH24:MI:SS')
       AND aia.last_update_date &lt; sysdate) )temp
where temp.language in ('US'))
PIVOT (max(OPERATING_UNIT) as OPERATING_UNIT, max(EVENT_STATUS_DESC) as EVENT_STATUS_DESC, max(PROCESS_STATUS_DESC) as PROCESS_STATUS_DESC,
    max(EVENT_TYPE_DESC) as EVENT_TYPE_DESC, max(LINE_TYPE_DESC) as LINE_TYPE_DESC, max(SUPPLIER_NAME) as SUPPLIER_NAME
For LANGUAGE in ('US' "US"))</t>
  </si>
  <si>
    <t>select * from (
SELECT
ECC_SPEC_ID,
RECORD_TYPE,
LEDGER_ID,
LEDGER_NAME,
CURRENCY_CODE,
OPERATING_UNIT,
LANGUAGE,
PERIOD_NAME,
PERIOD_YEAR,
CLOSING_STATUS,
ORG_ID,
INVOICE_ID,
INVOICE_TYPE_LOOKUP_CODE,
INVOICE_NUMBER,
INVOICE_CURRENCY,
INVOICE_DATE,
PAYMENT_TYPE_FLAG,
PAYMENT_TYPE_DESC,
INSTALLMENT,
INVOICE_PAYMENT_ID,
CHECK_ID,
TRANSACTION_NUMBER,
TRANSACTION_DATE,
BANK_ACCOUNT_NAME,
VENDOR_ID,
SUPPLIER_NAME,
SUPPLIER_NUMBER,
SITE_CODE,
APPLICATION_ID,
EVENT_ID,
EVENT_STATUS_CODE,
EVENT_STATUS_DESC,
PROCESS_STATUS_CODE,
PROCESS_STATUS_DESC,
EVENT_TYPE_CODE,
EVENT_TYPE_DESC,
EVENT_NUMBER,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DISPLAYED_LINE_NUMBER,
LINE_DESC,
ACCOUNT_CODE,
ACCOUNT_DESCRIPTION
FROM
(
SELECT /*+ LEADING(ps) */
    invoice_payment_id
    || '-'
    || xe.event_id
    || '-'
    || xe.event_number
    || '-'
    || xal.ae_header_id
    || '-'
    || xal.ae_line_num ecc_spec_id,
    'PAY' AS record_type,
    gl.ledger_id,
    gl.name ledger_name,
    gl.currency_code,
    outl.name operating_unit,
    outl.language,
    ps.period_name,
    ps.period_year,
    ps.closing_status,
    ai.org_id,
    ai.invoice_id invoice_id,
    ai.invoice_type_lookup_code invoice_type_lookup_code,
    ai.invoice_num invoice_number,
    ai.invoice_currency_code invoice_currency,
    ai.invoice_date AS invoice_date,
    c.payment_type_flag,
    (
        SELECT
            meaning
        FROM
            fnd_lookup_values
        WHERE
            view_application_id = 200
            AND   lookup_type = 'PAYMENT TYPE'
            AND   language = outl.language
            AND   lookup_code = c.payment_type_flag
    ) payment_type_desc,
    ip.payment_num installment,
    ip.invoice_payment_id,
    c.check_id,
    c.check_number transaction_number,
    c.check_date transaction_date,
    c.bank_account_name,
    ai.vendor_id,
    hp.party_name supplier_name,
    pav.segment1 supplier_number,
    pos.vendor_site_code site_code,
    xe.application_id,
    xe.event_id,
    Decode(xe.event_status_code,'Z','I',xe.event_status_code) as EVENT_STATUS_CODE,
    (
        SELECT
            meaning
        FROM
            fnd_lookup_values
        WHERE
            view_application_id = 602
            AND   lookup_type = 'XLA_EVENT_STATUS'
            AND   language = outl.language
            AND   lookup_code = Decode(xe.event_status_code,'Z','I',xe.event_status_code)
    ) event_status_desc,
    decode(xe.process_status_code,'Z','I',xe.process_status_code) as process_status_code,
    (
        SELECT
            meaning
        FROM
            fnd_lookup_values
        WHERE
            view_application_id = 602
            AND   lookup_type = 'XLA_EVENT_PROCESS_STATUS'
            AND   language = outl.language
            AND   lookup_code = decode(xe.process_status_code,'Z','I',xe.process_status_code)
    ) process_status_desc,
    xe.event_type_code,
    (
        SELECT
            ett.description
        FROM
            xla_event_types_tl ett
        WHERE
            xe.event_type_code = ett.event_type_code
            AND   xe.application_id = ett.application_id
            AND   ett.language = outl.language
    ) AS event_type_desc,
    xe.event_number,
    xah.ae_header_id,
    xah.gl_transfer_status_code,
    (
        SELECT
            meaning
        FROM
            fnd_lookup_values
        WHERE
            view_application_id = 602
            AND   lookup_type = 'GL_TRANSFER_FLAG'
            AND   language = outl.language
            AND   lookup_code = xah.gl_transfer_status_code
    ) gl_transfer_flag_desc,
    xah.accounting_entry_status_code,
    (
        SELECT
            meaning
        FROM
            fnd_lookup_values
        WHERE
            view_application_id = 602
            AND   lookup_type = 'XLA_ACCOUNTING_ENTRY_STATUS'
            AND   language = outl.language
            AND   lookup_code = xah.accounting_entry_status_code
    ) accounting_entry_status_desc,
    xah.accounting_entry_type_code,
    (
        SELECT
            meaning
        FROM
            fnd_lookup_values
        WHERE
            view_application_id = 602
            AND   lookup_type = 'XLA_ACCOUNTING_ENTRY_TYPE'
            AND   language = outl.language
            AND   lookup_code = xah.accounting_entry_type_code
    ) accounting_entry_type_desc,
    xah.je_category_name,
    (
        SELECT
            jct.description
        FROM
            gl_je_categories_tl jct
        WHERE
            xah.je_category_name = jct.je_category_name
            AND   jct.language = outl.language
    ) AS je_category_desc,
    xah.description,
    xah.balance_type_code,
    (
        SELECT
            meaning
        FROM
            fnd_lookup_values
        WHERE
            view_application_id = 602
            AND   lookup_type = 'XLA_BALANCE_TYPE'
            AND   language = outl.language
            AND   lookup_code = xah.balance_type_code
    ) balance_type_desc,
    xah.period_name gl_period_name,
    xal.ae_line_num,
    xal.accounting_date,
    xal.accounting_class_code,
    (
        SELECT
            meaning
        FROM
            fnd_lookup_values
        WHERE
            view_application_id = 602
            AND   lookup_type = 'XLA_ACCOUNTING_CLASS'
            AND   language = outl.language
            AND   lookup_code = xal.accounting_class_code
    ) accounting_class_code_desc,
    xal.business_class_code,
    (
        SELECT
            meaning
        FROM
            fnd_lookup_values
        WHERE
            view_application_id = 602
            AND   lookup_type = 'XLA_BUSINESS_FLOW_CLASS'
            AND   language = outl.language
            AND   lookup_code = xal.business_class_code
    ) business_class_code_desc,
    xal.code_combination_id xla_ccid,
    xal.entered_dr xla_entered_dr,
    xal.entered_cr xla_entered_cr,
    xal.accounted_dr xla_accounted_dr,
    xal.accounted_cr xla_accounted_cr,
    XAL.DISPLAYED_LINE_NUMBER,
    xal.description line_desc,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'VALUE') ) AS account_code,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'FULL_DESCRIPTION') ) AS account_description
FROM
    gl_period_statuses ps,
    ap_invoices_all ai,
    gl_ledgers gl,
    ap_invoice_payments_all ip,
    ap_checks_all c,
    ap_suppliers pav,
    ap_supplier_sites_all pos,
    hr_all_organization_units ou,
    hr_all_organization_units_tl outl,
    hz_parties hp,
    xla_events xe,
    xla_transaction_entities xte,
    xla_ae_headers xah,
    xla_ae_lines xal,
    gl_code_combinations cc
WHERE
    xe.application_id = 200
    AND   ps.adjustment_period_flag = 'N'
    AND   ps.set_of_books_id = ai.set_of_books_id
    AND   ai.gl_date BETWEEN ps.start_date AND ps.end_date
    AND   ps.closing_status = 'O'
    AND   ps.application_id = xe.application_id
    AND   ai.invoice_id = ip.invoice_id
    AND   ip.check_id = c.check_id
    AND   ai.set_of_books_id = gl.ledger_id
    AND   ou.organization_id = ai.org_id
    AND   ou.organization_id = outl.organization_id
    AND   ai.vendor_id = pav.vendor_id
    AND   ai.vendor_site_id = pos.vendor_site_id
    AND   hp.party_id = ai.party_id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AND   xah.gl_transfer_status_code &lt;&gt; 'Y'
    AND   xal.displayed_line_number &gt;= 0
    AND   xal.code_combination_id = cc.code_combination_id
    AND   gl.chart_of_accounts_id = cc.chart_of_accounts_id
    AND   cc.enabled_flag = 'Y' AND ( to_date(to_char(ip.last_update_date,'DD-MON-RR HH24:MI:SS'),'DD-MON-RR HH24:MI:SS')   &gt;=  to_date('25-APR-20','DD-MON-RR HH24:MI:SS')
       AND ip.last_update_date &lt; sysdate) )temp
    where temp.language in ('US'))
    PIVOT
    (max(OPERATING_UNIT) as OPERATING_UNIT,
    max(EVENT_STATUS_DESC) as EVENT_STATUS_DESC,
    max(PROCESS_STATUS_DESC) as PROCESS_STATUS_DESC,
    max(GL_TRANSFER_FLAG_DESC) as GL_TRANSFER_FLAG_DESC,
    max(ACCOUNTING_ENTRY_STATUS_DESC) as ACCOUNTING_ENTRY_STATUS_DESC,
    max(ACCOUNTING_ENTRY_TYPE_DESC) as ACCOUNTING_ENTRY_TYPE_DESC,
    max(BALANCE_TYPE_DESC) as BALANCE_TYPE_DESC, max(EVENT_TYPE_DESC) as EVENT_TYPE_DESC,
    max(JE_CATEGORY_DESC) as JE_CATEGORY_DESC,max(PAYMENT_TYPE_DESC) as PAYMENT_TYPE_DESC,
    max(ACCOUNTING_CLASS_CODE_DESC) as ACCOUNTING_CLASS_CODE_DESC,
    max(BUSINESS_CLASS_CODE_DESC) as BUSINESS_CLASS_CODE_DESC,
    max(SUPPLIER_NAME) as SUPPLIER_NAME
	For LANGUAGE in ('US' "US"))</t>
  </si>
  <si>
    <t>select * from (
SELECT
ECC_SPEC_ID,
RECORD_TYPE,
INVOICE_TYPE_LOOKUP_CODE,
ORG_ID,
TRANSACTION_CURRENCY,
VENDOR_ID,
SUPPLIER_NAME,
SUPPLIER_NUMBER,
SITE_CODE,
INVOICE_ID,
TRANSACTION_NUMBER,
TRANSACTION_DATE,
GL_DATE,
APPLICATION_ID,
EVENT_ID,
EVENT_STATUS_CODE,
EVENT_STATUS_DESC,
PROCESS_STATUS_CODE,
PROCESS_STATUS_DESC,
EVENT_TYPE_CODE,
EVENT_TYPE_DESC,
EVENT_NUMBER,
DISPLAYED_LINE_NUMBER,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LINE_DESC,
ACCOUNT_CODE,
ACCOUNT_DESCRIPTION,
LEDGER_ID,
LEDGER_NAME,
CURRENCY_CODE,
PERIOD_NAME,
PERIOD_YEAR,
CLOSING_STATUS,
OPERATING_UNIT,
LANGUAGE
FROM (
SELECT /*+ LEADING(ps) */
    aia.invoice_id
    || '-'
    || xe.event_id
    || '-'
    || xe.event_number
    || '-'
    || xah.ae_header_id
    || '-'
    || xal.ae_line_num ecc_spec_id,
    'INV' AS record_type,
    aia.invoice_type_lookup_code,
	aia.org_id,
	aia.invoice_currency_code as TRANSACTION_CURRENCY,
	aia.VENDOR_ID,
    ap.vendor_name            supplier_name,
    ap.segment1               supplier_number,
	pos.vendor_site_code   site_code,
    aia.invoice_id,
    aia.invoice_num TRANSACTION_NUMBER,
    aia.invoice_date TRANSACTION_DATE,
    aia.gl_date,
    xe.application_id,
    xe.event_id,
    Decode(xe.event_status_code,'Z','I',xe.event_status_code) as EVENT_STATUS_CODE,
    (
        SELECT
            meaning
        FROM
            fnd_lookup_values
        WHERE
            view_application_id = 602
                            AND lookup_type = 'XLA_EVENT_STATUS'
            AND language = outl.language
            AND lookup_code = Decode(xe.event_status_code,'Z','I',xe.event_status_code)
    ) event_status_desc,
	Decode(xe.process_status_code,'Z','I',xe.process_status_code) as 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Decode(xe.process_status_code,'Z','I',xe.process_status_code)
    ) process_status_desc,
    xe.event_type_code,
    (select ett.description from XLA_EVENT_TYPES_TL ett where xe.EVENT_TYPE_CODE = ett. EVENT_TYPE_CODE and xe.application_id = ett.application_id
	AND ett.language = outl.language) as EVENT_TYPE_DESC,
    xe.event_number,
    xal.displayed_line_number,
    xah.ae_header_id,
    xah.gl_transfer_status_code,
    (
        SELECT
            meaning
        FROM
            fnd_lookup_values
        WHERE
            view_application_id = 602
            AND lookup_type = 'GL_TRANSFER_FLAG'
            AND language = outl.language
            AND lookup_code = xah.gl_transfer_status_code
    ) gl_transfer_flag_desc,
    xah.accounting_entry_status_code,
                    (
        SELECT
            meaning
        FROM
            fnd_lookup_values
        WHERE
            view_application_id = 602
            AND lookup_type = 'XLA_ACCOUNTING_ENTRY_STATUS'
            AND language = outl.language
            AND lookup_code = xah.accounting_entry_status_code
    ) accounting_entry_status_desc,
    xah.accounting_entry_type_code,
    (
        SELECT
            meaning
        FROM
            fnd_lookup_values
        WHERE
            view_application_id = 602
            AND lookup_type = 'XLA_ACCOUNTING_ENTRY_TYPE'
            AND language = outl.language
            AND lookup_code = xah.accounting_entry_type_code
    ) accounting_entry_type_desc,
    xah.je_category_name,
	(select DESCRIPTION from GL_JE_CATEGORIES_TL jct Where xah.JE_CATEGORY_NAME = jct.JE_CATEGORY_NAME and language=outl.language)JE_CATEGORY_DESC,
    xah.description,
    xah.balance_type_code,
    (
        SELECT
            meaning
        FROM
            fnd_lookup_values
        WHERE
            view_application_id = 602
                            AND lookup_type = 'XLA_BALANCE_TYPE'
            AND language = outl.language
            AND lookup_code = xah.balance_type_code
    ) balance_type_desc,
    xah.period_name           gl_period_name,
                    xal.ae_line_num,
    xal.accounting_date,
                    xal.accounting_class_code,
    (
        SELECT
            meaning
        FROM
            fnd_lookup_values
        WHERE
            view_application_id = 602
            AND lookup_type = 'XLA_ACCOUNTING_CLASS'
            AND language = outl.language
            AND lookup_code = xal.accounting_class_code
    ) accounting_class_code_desc,
    xal.business_class_code,
    (
        SELECT
            meaning
        FROM
            fnd_lookup_values
        WHERE
            view_application_id = 602
            AND lookup_type = 'XLA_BUSINESS_FLOW_CLASS'
            AND language = outl.language
            AND lookup_code = xal.business_class_code
    ) business_class_code_desc,
    xal.code_combination_id   xla_ccid,
    xal.entered_dr            xla_entered_dr,
    xal.entered_cr            xla_entered_cr,
    xal.accounted_dr          xla_accounted_dr,
    xal.accounted_cr          xla_accounted_cr,
    xal.description           line_desc,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'VALUE')) AS account_code,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'FULL_DESCRIPTION')) AS account_description,
    lgr.ledger_id,
    lgr.name                  ledger_name,
    lgr.currency_code,
    ps.period_name,
    ps.period_year,
    ps.closing_status,
    outl.name                 operating_unit,
    outl.language
FROM
    ap_invoices_all                aia,
    ap_suppliers                   ap,
	ap_supplier_sites_all          pos,
    xla_events                     xe,
    XLA_TRANSACTION_ENTITIES XTE,
    xla_ae_headers                 xah,
    xla_ae_lines                   xal,
    gl_ledgers                     lgr,
    gl_period_statuses             ps,
    gl_code_combinations           cc,
    hr_all_organization_units      ou,
    hr_all_organization_units_tl   outl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    AND ou.organization_id = aia.org_id
    AND ou.organization_id = outl.organization_id
    AND lgr.ledger_id = aia.set_of_books_id
    AND ps.set_of_books_id = aia.set_of_books_id
    AND ps.application_id = xe.application_id
    AND aia.invoice_date BETWEEN ps.start_date AND ps.end_date
    AND ps.closing_status = 'O'
    AND xal.code_combination_id = cc.code_combination_id
    AND lgr.chart_of_accounts_id = cc.chart_of_accounts_id
    AND cc.enabled_flag = 'Y' AND ( to_date(to_char(aia.last_update_date,'DD-MON-RR HH24:MI:SS'),'DD-MON-RR HH24:MI:SS')   &gt;=  to_date('25-APR-20','DD-MON-RR HH24:MI:SS')
       AND aia.last_update_date &lt; sysdate)
    ) temp
    where temp.language in ('US'))
    PIVOT
    ( max(OPERATING_UNIT) as OPERATING_UNIT, max(EVENT_STATUS_DESC) as EVENT_STATUS_DESC, max(PROCESS_STATUS_DESC) as PROCESS_STATUS_DESC,
    max(GL_TRANSFER_FLAG_DESC) as GL_TRANSFER_FLAG_DESC, max(ACCOUNTING_ENTRY_STATUS_DESC) as ACCOUNTING_ENTRY_STATUS_DESC,
    max(ACCOUNTING_ENTRY_TYPE_DESC) as ACCOUNTING_ENTRY_TYPE_DESC, max(BALANCE_TYPE_DESC) as BALANCE_TYPE_DESC, MAX(EVENT_TYPE_DESC) as EVENT_TYPE_DESC,
     max(JE_CATEGORY_DESC) as JE_CATEGORY_DESC, max(ACCOUNTING_CLASS_CODE_DESC) as ACCOUNTING_CLASS_CODE_DESC, max(BUSINESS_CLASS_CODE_DESC) as BUSINESS_CLASS_CODE_DESC
    For LANGUAGE in ('US' "US"))</t>
  </si>
  <si>
    <t>SELECT /*+ LEADING(ps) */
    ip.invoice_payment_id
    || '-'
    || xe.event_id
    || '-'
    || xe.event_number ecc_spec_id ,
    'PAY' AS record_type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&lt;&gt; 'U'
    AND xe.process_status_code &lt;&gt; 'U'
	AND to_date(to_char(ip.last_update_date,'DD-MON-RR HH24:MI:SS'),'DD-MON-RR HH24:MI:SS')   &gt;=  to_date('25-APR-20','DD-MON-RR HH24:MI:SS')
	AND ip.last_update_date &lt; sysdate</t>
  </si>
  <si>
    <t>SELECT /*+ LEADING(ps) */
     aia.invoice_id
    || '-'
    ||aida.invoice_distribution_id
    || '-'
    || xe.event_id
    || '-'
    || xe.event_number ecc_spec_id,
    'INV' AS record_type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&lt;&gt; 'U'
	AND to_date(to_char(aia.last_update_date,'DD-MON-RR HH24:MI:SS'),'DD-MON-RR HH24:MI:SS')   &gt;=  to_date('25-APR-20','DD-MON-RR HH24:MI:SS')
    AND aia.last_update_date &lt; sysdate</t>
  </si>
  <si>
    <t>SELECT
 invoice_payment_id
    || '-'
    || xe.event_id
    || '-'
    || xe.event_number
	|| '-'
	||xal.AE_HEADER_ID
	|| '-'
	||xal.AE_LINE_NUM
	ecc_spec_id,
    'PAY' AS record_type
FROM
    ap_invoices_all ai,
    gl_ledgers gl,
    ap_invoice_payments_all ip,
    ap_checks_all c,
    ap_suppliers pav,
    ap_supplier_sites_all pos,
    xla_events xe,
    xla_transaction_entities xte,
    xla_ae_headers xah,
    xla_ae_lines xal
WHERE
    xe.application_id = 200
    AND   ai.invoice_id = ip.invoice_id
    AND   ip.check_id = c.check_id
    AND   ai.set_of_books_id = gl.ledger_id
    AND   ai.vendor_id = pav.vendor_id
    AND   ai.vendor_site_id = pos.vendor_site_id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--AND   xah.gl_transfer_status_code &lt;&gt; 'Y'
    AND   xal.displayed_line_number &gt;= 0
    AND to_date(to_char(ip.last_update_date,'DD-MON-RR HH24:MI:SS'),'DD-MON-RR HH24:MI:SS')   &gt;=  to_date('25-APR-20','DD-MON-RR HH24:MI:SS')
    AND ip.last_update_date &lt; sysdate</t>
  </si>
  <si>
    <t>SELECT DISTINCT
    'ECC_SPEC_ID' as ATTRIBUTE_NAME,
    aia.invoice_id as ATTRIBUTE_VALUE,
    'LIKE' AS OPERATOR
FROM
    ap_invoices_all                aia,
    ap_suppliers                   ap,
	ap_supplier_sites_all          pos,
    xla_events                     xe,
    XLA_TRANSACTION_ENTITIES XTE,
    xla_ae_headers                 xah,
    xla_ae_lines                   xal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	AND to_date(to_char(aia.last_update_date,'DD-MON-RR HH24:MI:SS'),'DD-MON-RR HH24:MI:SS')   &gt;=  to_date('25-APR-20','DD-MON-RR HH24:MI:SS')
    AND aia.last_update_date &lt; sysdate</t>
  </si>
  <si>
    <t>24m 27s</t>
  </si>
  <si>
    <t>24m 26s</t>
  </si>
  <si>
    <t>select * from (SELECT ECC_SPEC_ID,
ATTRIBUTE_CATEGORY,
ATTRIBUTE1,
ATTRIBUTE2,
ATTRIBUTE3,
ATTRIBUTE4,
ATTRIBUTE5,
ATTRIBUTE6,
ATTRIBUTE7,
ATTRIBUTE8,
ATTRIBUTE9,
ATTRIBUTE10,
ATTRIBUTE11,
ATTRIBUTE12,
ATTRIBUTE13,
ATTRIBUTE14,
ATTRIBUTE15,
    record_type ,
        OPERATING_UNIT,
    ORG_ID ,
    invoice_id,
    invoice_type_lookup_code,
    invoice_type,
    invoice_number,
    legal_entity,
    invoice_amount ,
    inv_currency,
    inv_currency_code,
    invoice_date,
    VOUCHER_NUM,
    SOURCE,
     INSTALLMENT,
    AMOUNT,
    CHECK_NUMBER,
    CHECK_DATE,
    BANK_ACCOUNT_NAME,
    supplier_type,
    supplier_type_code,
    VENDOR_ID,
    Supplier_Name ,
    supplier_number ,
    site_code,
    Ledger,
    gl_currency,
    gl_currency_code,
    CREATION_DATE,
    LANGUAGE
from AP_ECC_PAID_HISTORY_V
Where CREATION_DATE &gt; trunc(sysdate)-7
And ( ( to_date(to_char(CREATION_DATE,'DD-MON-RR HH24:MI:SS'),'DD-MON-RR HH24:MI:SS')   &gt;=  to_date('25-APR-20','DD-MON-RR HH24:MI:SS')
       AND CREATION_DATE &lt; sysdate)) and language in ('US')) PIVOT ( max(SUPPLIER_TYPE) as SUPPLIER_TYPE,max(OPERATING_UNIT) as OPERATING_UNIT,max(INVOICE_TYPE) as INVOICE_TYPE, max (INV_CURRENCY) as INV_CURRENCY,
       max(GL_CURRENCY) as GL_CURRENCY
FOR LANGUAGE in ('US' "US"))</t>
  </si>
  <si>
    <t>SELECT hold.invoice_id || '_' || hold_id AS ECC_SPEC_ID
  FROM ap_holds_all hold
 WHERE HOLD.RELEASE_LOOKUP_CODE IS NOT NULL AND
to_date(to_char(HOLD.LAST_UPDATE_DATE,'DD-MON-RR HH24:MI:SS'),'DD-MON-RR HH24:MI:SS')   &gt;  to_date('25-APR-20','DD-MON-RR HH24:MI:SS')</t>
  </si>
  <si>
    <t>select * from (SELECT ECC_SPEC_ID,
ATTRIBUTE_CATEGORY,
ATTRIBUTE1,
ATTRIBUTE2,
ATTRIBUTE3,
ATTRIBUTE4,
ATTRIBUTE5,
ATTRIBUTE6,
ATTRIBUTE7,
ATTRIBUTE8,
ATTRIBUTE9,
ATTRIBUTE10,
ATTRIBUTE11,
ATTRIBUTE12,
ATTRIBUTE13,
ATTRIBUTE14,
ATTRIBUTE15,
  RECORD_TYPE,
  OPERATING_UNIT,
  ORG_ID,
  INVOICE_ID,
  INVOICE_TYPE_LOOKUP_CODE,
  INVOICE_TYPE,
  INVOICE_NUMBER,
  LEGAL_ENTITY,
  VALIDATION_STATUS,
  INVOICE_AMOUNT,
  INV_CURRENCY,
  INV_CURRENCY_CODE,
  INVOICE_DATE,
  PO_NUMBERS,
  VOUCHER_NUM,
  SOURCE,
  BASE_AMOUNT,
  PAYMENT_TERM,
  GL_DATE,
  EXCHANGE_RATE,
  DUE_DATE,
  PAYMENT_STATUS_FLAG,
  PAYMENT_STATUS,
  AMOUNT_REMAINING,
  AMOUNT_REMAINING_BASE,
  INSTALLMENT,
  SUPPLIER_TYPE,
  SUPPLIER_TYPE_CODE,
  VENDOR_ID,
  SUPPLIER_NAME,
  SUPPLIER_NUMBER,
  SITE_CODE,
  LEDGER_ID,
  LEDGER,
  GL_CURRENCY,
  GL_CURRENCY_CODE,
  LANGUAGE
FROM
  AP_ECC_PREPAYMENT_V pre
WHERE exists (	select 1 from AP_INVOICE_DISTRIBUTIONS_ALL aid where
   pre.INVOICE_ID = aid.invoice_id
     And  (( to_date(to_char(aid.last_update_date,'DD-MON-RR HH24:MI:SS'),'DD-MON-RR HH24:MI:SS')   &gt;=  to_date('25-APR-20','DD-MON-RR HH24:MI:SS')
       AND aid.last_update_date &lt; sysdate) OR
       ( to_date(to_char(ps_last_update_date,'DD-MON-RR HH24:MI:SS'),'DD-MON-RR HH24:MI:SS')   &gt;=  to_date('25-APR-20','DD-MON-RR HH24:MI:SS')
       AND ps_last_update_date &lt; sysdate) OR
       ( to_date(to_char(ai_last_update_date,'DD-MON-RR HH24:MI:SS'),'DD-MON-RR HH24:MI:SS')   &gt;=  to_date('25-APR-20','DD-MON-RR HH24:MI:SS')
       AND ai_last_update_date &lt; sysdate))) and language in ('US'))
PIVOT (max(OPERATING_UNIT) as OPERATING_UNIT , max(INVOICE_TYPE) as INVOICE_TYPE,max(PAYMENT_STATUS) as PAYMENT_STATUS,
 max(SUPPLIER_TYPE) as SUPPLIER_TYPE, max(PAYMENT_TERM) as PAYMENT_TERM,max (INV_CURRENCY) as INV_CURRENCY, max(GL_CURRENCY) as GL_CURRENCY
FOR LANGUAGE in ('US' "US"))</t>
  </si>
  <si>
    <t>select * from (SELECT
			'Asset Transfer' AS RECORD_TYPE ,
			NVL(MT.CONCURRENT_REQUEST_ID, 0)
			||'-'
			||MT.MASS_TRANSFER_ID AS ECC_SPEC_ID ,
			(
			CASE
			WHEN MT.CONCURRENT_REQUEST_ID IS NULL
			THEN MT.DATE_EFFECTIVE
			ELSE RS.ACTUAL_COMPLETION_DATE
			END ) ECC_LAST_UPDATE_DATE ,
			MT.CONCURRENT_REQUEST_ID REQUEST_NUM ,
			MT.MASS_TRANSFER_ID TRANS_NUM ,
			NVL(BC.ORG_ID,-9999) AS ORG_ID ,
			BC.BOOK_TYPE_CODE BOOK_CODE ,
			BC.BOOK_TYPE_NAME BOOK_NAME ,
			MT.TRANSACTION_DATE_ENTERED TRANS_DATE,
			DECODE(FC.CATEGORY_ID,NULL,NULL,
       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MT.DESCRIPTION TRANS_DESCRIPTION,
			(
			CASE
			WHEN RS.USER_CONCURRENT_PROGRAM_NAME = 'Mass Transfers Preview Report'
			THEN
			(SELECT MEANING
			FROM FA_LOOKUPS_TL
			WHERE LOOKUP_TYPE='MASS_TRX_STATUS'
			AND LOOKUP_CODE  ='PREVIEWED'
      AND LANGUAGE = fl.LANGUAGE_CODE
			)
			WHEN RS.USER_CONCURRENT_PROGRAM_NAME ='Mass Transfer'
			THEN
			(SELECT MEANING
			FROM FA_LOOKUPS_TL
			WHERE LOOKUP_TYPE='MASS_TRX_STATUS'
			AND LOOKUP_CODE  ='COMPLETED'
      AND LANGUAGE = fl.LANGUAGE_CODE
			)
			WHEN MT.CONCURRENT_REQUEST_ID IS NULL
			THEN
			(SELECT MEANING
			FROM FA_LOOKUPS_TL
			WHERE LOOKUP_TYPE='MASS_TRX_STATUS'
			AND LOOKUP_CODE  ='NEW'
      AND LANGUAGE = fl.LANGUAGE_CODE
			)
			END) TRANS_STATUS ,
			(
			CASE
			WHEN RS.USER_CONCURRENT_PROGRAM_NAME = 'Mass Transfers Preview Report'
			THEN 'PREVIEWED'
			WHEN RS.USER_CONCURRENT_PROGRAM_NAME ='Mass Transfer'
			THEN 'COMPLETED'
			WHEN MT.CONCURRENT_REQUEST_ID IS NULL
			THEN 'NEW'
			END) TRANS_STATUS_CODE
			,
			(
			CASE
			WHEN MT.FROM_LOCATION_ID &lt;&gt; MT.TO_LOCATION_ID
			THEN
			(SELECT MEANING
			FROM FA_LOOKUPS_TL
			WHERE LOOKUP_TYPE='FA_ECC_MASS_TRANSFER_TYPE'
			AND LOOKUP_CODE  ='LOCATION_TRANSFER'
      AND LANGUAGE = fl.LANGUAGE_CODE
			)
			||'|'
			ELSE ''
			END)
			|| (
			CASE
			WHEN MT.FROM_GL_CCID&lt;&gt; MT.TO_GL_CCID
			THEN
			(SELECT MEANING
			FROM FA_LOOKUPS_TL
			WHERE LOOKUP_TYPE='FA_ECC_MASS_TRANSFER_TYPE'
			AND LOOKUP_CODE  ='DEPRECIATION_EXPENSE_TRANSFER'
      AND LANGUAGE = fl.LANGUAGE_CODE
			)
			||'|'
			ELSE ''
			END)
			|| (
			CASE
			WHEN MT.FROM_EMPLOYEE_ID &lt;&gt; MT.TO_EMPLOYEE_ID
			THEN
			(SELECT MEANING
			FROM FA_LOOKUPS_TL
			WHERE LOOKUP_TYPE='FA_ECC_MASS_TRANSFER_TYPE'
			AND LOOKUP_CODE  ='EMPLOYEE_TRANSFER'
      AND LANGUAGE = fl.LANGUAGE_CODE
			)
			ELSE
			(SELECT MEANING
			FROM FA_LOOKUPS_TL
			WHERE LOOKUP_TYPE='FA_ECC_MASS_TRANSFER_TYPE'
			AND LOOKUP_CODE  ='NO_TRANSFER_DET'
      AND LANGUAGE = fl.LANGUAGE_CODE
			)
			END) AS TRANSFER_TYPE
			/* UNION ATTRIBUTES*/
			,
			''            AS CHANGE_TYPE 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fl.LANGUAGE_CODE AS LANGUAGE
			FROM FA_MASS_TRANSFERS MT,
			FA_BOOK_CONTROLS BC,
			FA_CATEGORIES_B FC,
			FND_CONC_REQ_SUMMARY_V RS ,
			FA_SYSTEM_CONTROLS FSC,
      FND_LANGUAGES fl
			WHERE MT.BOOK_TYPE_CODE                         = BC.BOOK_TYPE_CODE
      AND fl.INSTALLED_FLAG in ('B','I')
			AND BC.BOOK_CLASS                               = 'CORPORATE'
			AND BC.DATE_INEFFECTIVE                        IS NULL
			AND MT.CATEGORY_ID                              = FC.CATEGORY_ID(+)
			AND MT.CONCURRENT_REQUEST_ID                    = RS.REQUEST_ID(+)
			AND NVL(RS.USER_CONCURRENT_PROGRAM_NAME, '$$') &lt;&gt; 'Mass Transfer'
			AND ((MT.CONCURRENT_REQUEST_ID                 IS NULL
			AND ( (to_date(MT.DATE_EFFECTIVE,'DD-MON-RR HH24:MI:SS') &gt;= to_date('25-APR-20','DD-MON-RR HH24:MI:SS')
			AND MT.DATE_EFFECTIVE                           &lt; SYSDATE )))
			OR ( ( to_date(RS.ACTUAL_COMPLETION_DATE,'DD-MON-RR HH24:MI:SS')  &gt;=  to_date('25-APR-20','DD-MON-RR HH24:MI:SS')
			AND RS.ACTUAL_COMPLETION_DATE                   &lt; SYSDATE )))
      UNION ALL
			SELECT 'Asset revaluation' AS RECORD_TYPE,
			NVL(MR.LAST_REQUEST_ID,0)
			||'-'
			||MR.MASS_REVAL_ID
			||'-'
			||MRR.ASSET_ID AS ECC_SPEC_ID,
			MR.LAST_UPDATE_DATE ECC_LAST_UPDATE_DATE,
			MR.LAST_REQUEST_ID REQUEST_NUM,
			MR.MASS_REVAL_ID TRANS_NUM,
			NVL(BC.ORG_ID,-9999) AS ORG_ID,
			BC.BOOK_TYPE_CODE BOOK_CODE,
			BC.BOOK_TYPE_NAME BOOK_NAME,
			MR.REVAL_DATE TRANS_DATE,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'BASED_CATEGORY',
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MR.DESCRIPTION TRANS_DESCRIPTION ,
			LO.MEANING AS TRANS_STATUS ,
			MR.STATUS  AS TRANS_STATUS_CODE ,
			''         AS TRANSFER_TYPE ,
			''         AS CHANGE_TYPE
			/* UNION ATTRIBUTES*/
			,
			AD.ASSET_NUMBER AS ASSET_NUMBER ,
			''              AS ASSET_DESCRIPTION ,
			''              AS ADDITION_ACCOUNTING_YEAR ,
			''              AS ADDITION_MONTH_YEAR ,
			TO_NUMBER('')   AS ADDITION_COST ,
			TO_NUMBER('')   AS ADDITION_UNITS ,
			''              AS ADDITION_SOURCE_NAME ,
			TO_NUMBER('')   AS ADDITION_BATCH_ID ,
			TO_DATE('')     AS ADDITION_BATCH_DATE ,
			''              AS ADDITION_PO_NUMBER ,
			TO_NUMBER('')   AS ADDITION_INV_ID ,
			''              AS ADDITION_INV_NUMBER ,
			TO_DATE('')     AS ADDITION_INV_DATE ,
			TO_NUMBER('')   AS ADDITION_INV_LINE_NUMBER ,
			''              AS ADDITION_INV_DESCRIPTION ,
			''              AS ADDITION_SUPPLIER_NUMBER ,
			''              AS ADDITION_SUPPLIER_NAME ,
			''              AS ADDITION_PROJ_NAME ,
			''              AS ADDITION_PROJ_TASK ,
			''              AS AMORTIZED,
      LO.LANGUAGE
			FROM FA_MASS_REVALUATIONS MR,
			FA_MASS_REVALUATION_RULES MRR,
			FA_BOOK_CONTROLS BC,
			FA_CATEGORIES_B FC ,
			FA_ADDITIONS_B AD,
			FA_SYSTEM_CONTROLS FSC,
      FA_LOOKUPS FL,
			FA_LOOKUPS_TL LO
			WHERE MR.MASS_REVAL_ID       = MRR.MASS_REVAL_ID(+)
			AND MR.BOOK_TYPE_CODE        = BC.BOOK_TYPE_CODE
			AND BC.BOOK_CLASS            = 'CORPORATE'
			AND BC.DATE_INEFFECTIVE     IS NULL
			AND MRR.CATEGORY_ID          = FC.CATEGORY_ID(+)
			AND MRR.ASSET_ID             = AD.ASSET_ID(+)
			AND MR.STATUS               &lt;&gt; ('COMPLETED')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 to_date('25-APR-20','DD-MON-RR HH24:MI:SS')
			AND MR.LAST_UPDATE_DATE      &lt; SYSDATE ))
      UNION ALL
			SELECT 'Asset Change' AS RECORD_TYPE,
			NVL(MC.CONCURRENT_REQUEST_ID,0)
			||'-'
			||MC.MASS_CHANGE_ID AS ECC_SPEC_ID,
			MC.LAST_UPDATE_DATE ECC_LAST_UPDATE_DATE,
			MC.CONCURRENT_REQUEST_ID REQUEST_NUM,
			MC.MASS_CHANGE_ID TRANS_NUM,
			NVL(BC.ORG_ID,-9999) AS ORG_ID,
			BC.BOOK_TYPE_CODE BOOK_CODE,
			BC.BOOK_TYPE_NAME BOOK_NAME,
			MC.TRANSACTION_DATE_ENTERED TRANS_DATE,
			''         AS ASSET_CATEGORY,
			''         AS MAJOR_CATEGORY,
			''         AS MINOR_CATEGORY,
			''         AS TRANS_DESCRIPTION ,
			LO.MEANING AS TRANS_STATUS ,
			MC.STATUS  AS TRANS_STATUS_CODE ,
			''         AS TRANSFER_TYPE ,
			(
			CASE
			WHEN MC.FROM_DATE_PLACED_IN_SERVICE &lt;&gt; MC.TO_DATE_PLACED_IN_SERVICE
			THEN
			(SELECT MEANING
			FROM FA_LOOKUPS_TL
			WHERE LOOKUP_TYPE='FA_ECC_MASS_CHANGE_TYPE'
			AND LOOKUP_CODE  ='DPIS_CHANGE'
      AND LANGUAGE = LO.LANGUAGE
			)
			||'|'
			ELSE ''
			END)
			|| (
			CASE
			WHEN MC.FROM_CONVENTION &lt;&gt; MC.TO_CONVENTION
			THEN
			(SELECT MEANING
			FROM FA_LOOKUPS_TL
			WHERE LOOKUP_TYPE='FA_ECC_MASS_CHANGE_TYPE'
			AND LOOKUP_CODE  ='PRORATE_CONVENTION_CHANGE'
      AND LANGUAGE = LO.LANGUAGE
			)
			||'|'
			ELSE ''
			END)
			|| (
			CASE
			WHEN MC.FROM_LIFE_IN_MONTHS &lt;&gt; MC.TO_LIFE_IN_MONTHS
			THEN
			(SELECT MEANING
			FROM FA_LOOKUPS_TL
			WHERE LOOKUP_TYPE='FA_ECC_MASS_CHANGE_TYPE'
			AND LOOKUP_CODE  ='ASSET_LIFE_CHANGE'
      AND LANGUAGE = LO.LANGUAGE
			)
			||'|'
			ELSE ''
			END)
			|| (
			CASE
			WHEN MC.FROM_METHOD_CODE &lt;&gt; MC.TO_METHOD_CODE
			THEN
			(SELECT MEANING
			FROM FA_LOOKUPS_TL
			WHERE LOOKUP_TYPE='FA_ECC_MASS_CHANGE_TYPE'
			AND LOOKUP_CODE  ='DEPRECIATION_METHOD_CHANGE'
      AND LANGUAGE = LO.LANGUAGE
			)
			||'|'
			ELSE ''
			END)
			|| (
			CASE
			WHEN MC.FROM_BASIC_RATE &lt;&gt; MC.FROM_ADJUSTED_RATE
			THEN
			(SELECT MEANING
			FROM FA_LOOKUPS_TL
			WHERE LOOKUP_TYPE='FA_ECC_MASS_CHANGE_TYPE'
			AND LOOKUP_CODE  ='DEPRECIATION_RATE_CHANGE'
      AND LANGUAGE = LO.LANGUAGE
			)
			||'|'
			ELSE ''
			END)
			|| (
			CASE
			WHEN MC.FROM_PRODUCTION_CAPACITY &lt;&gt; MC.TO_PRODUCTION_CAPACITY
			THEN
			(SELECT MEANING
			FROM FA_LOOKUPS_TL
			WHERE LOOKUP_TYPE='FA_ECC_MASS_CHANGE_TYPE'
			AND LOOKUP_CODE  ='PRODUCTION_CAPACITY_CHANGE'
      AND LANGUAGE = LO.LANGUAGE
			)
			||'|'
			ELSE ''
			END)
			|| (
			CASE
			WHEN MC.FROM_UOM &lt;&gt; MC.TO_UOM
			THEN
			(SELECT MEANING
			FROM FA_LOOKUPS_TL
			WHERE LOOKUP_TYPE='FA_ECC_MASS_CHANGE_TYPE'
			AND LOOKUP_CODE  ='UNIT_CHANGE'
      AND LANGUAGE = LO.LANGUAGE
			)
			||'|'
			ELSE ''
			END )
			|| (
			CASE
			WHEN MC.FROM_GROUP_ASSOCIATION &lt;&gt; MC.TO_GROUP_ASSOCIATION
			THEN
			(SELECT MEANING
			FROM FA_LOOKUPS_TL
			WHERE LOOKUP_TYPE='FA_ECC_MASS_CHANGE_TYPE'
			AND LOOKUP_CODE  ='GROUP_ASSOCIATION_CHANGE'
      AND LANGUAGE = LO.LANGUAGE
			)
			||'|'
			ELSE ''
			END)
			|| (
			CASE
			WHEN MC.FROM_SALVAGE_TYPE        &lt;&gt; MC.TO_SALVAGE_TYPE
			OR MC.FROM_PERCENT_SALVAGE_VALUE &lt;&gt; MC.TO_PERCENT_SALVAGE_VALUE
			OR MC.FROM_SALVAGE_VALUE         &lt;&gt; MC.FROM_SALVAGE_VALUE
			THEN
			(SELECT MEANING
			FROM FA_LOOKUPS_TL
			WHERE LOOKUP_TYPE='FA_ECC_MASS_CHANGE_TYPE'
			AND LOOKUP_CODE  ='SALVAGE_VALUE_CHANGE'
      AND LANGUAGE = LO.LANGUAGE
			)
			||'|'
			ELSE ''
			END)
			|| (
			CASE
			WHEN MC.FROM_DEPRN_LIMIT_TYPE &lt;&gt; MC.TO_DEPRN_LIMIT_TYPE
			OR MC.TO_DEPRN_LIMIT          &lt;&gt; MC.TO_DEPRN_LIMIT
			OR MC.FROM_DEPRN_LIMIT_AMOUNT &lt;&gt; MC.TO_DEPRN_LIMIT_AMOUNT
			THEN
			(SELECT MEANING
			FROM FA_LOOKUPS_TL
			WHERE LOOKUP_TYPE='FA_ECC_MASS_CHANGE_TYPE'
			AND LOOKUP_CODE  ='DEPRECIATION_LIMIT_CHANGE'
      AND LANGUAGE = LO.LANGUAGE
			)
			ELSE
			(SELECT MEANING
			FROM FA_LOOKUPS_TL
			WHERE LOOKUP_TYPE='FA_ECC_MASS_CHANGE_TYPE'
			AND LOOKUP_CODE  ='NO_CHANGE_DET'
      AND LANGUAGE = LO.LANGUAGE
			)
			END )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MC.AMORTIZE_FLAG AMORTIZED,
      LO.LANGUAGE
			FROM FA_MASS_CHANGES MC,
			FA_BOOK_CONTROLS BC,
      FA_LOOKUPS FL,
			FA_LOOKUPS_TL LO
			WHERE MC.BOOK_TYPE_CODE      = BC.BOOK_TYPE_CODE
			AND BC.BOOK_CLASS            = 'CORPORATE'
			AND BC.DATE_INEFFECTIVE     IS NULL
			AND MC.STATUS               &lt;&gt; 'COMPLETED'
			AND LO.LOOKUP_TYPE           ='MASS_TRX_STATUS'
			AND FL.LOOKUP_TYPE = lo.LOOKUP_TYPE
       AND FL.lookup_code = lo.lookup_code
			 and FL.enabled_flag='Y'
			AND MC.STATUS                = LO.LOOKUP_CODE
			AND ( ( to_date(to_char(MC.LAST_UPDATE_DATE,'DD-MON-RR HH24:MI:SS'),'DD-MON-RR HH24:MI:SS')&gt;=  to_date('25-APR-20','DD-MON-RR HH24:MI:SS')
			AND MC.LAST_UPDATE_DATE      &lt; SYSDATE ))
			UNION ALL
			SELECT 'Asset Reclass' AS RECORD_TYPE,
			  NVL(MR.CONCURRENT_REQUEST_ID, 0)
			  ||'-'
			  ||MR.MASS_RECLASS_ID AS ECC_SPEC_ID,
			  MR.LAST_UPDATE_DATE ECC_LAST_UPDATE_DATE,
			  MR.CONCURRENT_REQUEST_ID REQUEST_NUM,
			  MR.MASS_RECLASS_ID TRANS_NUM,
			  NVL(BC.ORG_ID,-9999) AS ORG_ID,
			  MR.BOOK_TYPE_CODE BOOK_CODE,
			  BC.BOOK_TYPE_NAME BOOK_NAME,
			  MR.TRANSACTION_DATE_ENTERED TRANS_DATE,
			  '' AS ASSET_CATEGORY,
			  '' AS MAJOR_CATEGORY,
			  '' AS MINOR_CATEGORY,
			  '' AS TRANS_DESCRIPTION ,
			  LO.MEANING TRANS_STATUS ,
			  MR.STATUS TRANS_STATUS_CODE ,
			  '' AS TRANSFER_TYPE ,
			  '' AS CHANGE_TYPE
			  /* UNION ATTRIBUTES*/
			  ,
			  ''            AS ASSET_NUMBER ,
			  ''            AS ASSET_DESCRIPTION ,
			  ''            AS ADDITION_ACCOUNTING_YEAR ,
			  ''            AS ADDITION_MONTH_YEAR ,
			  TO_NUMBER('') AS ADDITION_COST ,
			  TO_NUMBER('') AS ADDITION_UNITS ,
			  ''            AS ADDITION_SOURCE_NAME ,
			  TO_NUMBER('') AS ADDITION_BATCH_ID ,
			  TO_DATE('')   AS ADDITION_BATCH_DATE ,
			  ''            AS ADDITION_PO_NUMBER ,
			  TO_NUMBER('') AS ADDITION_INV_ID ,
			  ''            AS ADDITION_INV_NUMBER ,
			  TO_DATE('')   AS ADDITION_INV_DATE ,
			  TO_NUMBER('') AS ADDITION_INV_LINE_NUMBER ,
			  ''            AS ADDITION_INV_DESCRIPTION ,
			  ''            AS ADDITION_SUPPLIER_NUMBER ,
			  ''            AS ADDITION_SUPPLIER_NAME ,
			  ''            AS ADDITION_PROJ_NAME ,
			  ''            AS ADDITION_PROJ_TASK ,
			  MR.AMORTIZE_FLAG AMORTIZED,
        LO.LANGUAGE
			FROM FA_MASS_RECLASS MR,
			  FA_BOOK_CONTROLS BC,
        FA_LOOKUPS FL,
			  FA_LOOKUPS_TL LO
			WHERE MR.BOOK_TYPE_CODE      = BC.BOOK_TYPE_CODE
			AND BC.BOOK_CLASS            = 'CORPORATE'
			AND BC.DATE_INEFFECTIVE     IS NULL
			AND MR.STATUS               &lt;&gt; 'COMPLETED'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to_date('25-APR-20','DD-MON-RR HH24:MI:SS')
			AND MR.LAST_UPDATE_DATE      &lt; SYSDATE ))
			UNION ALL
			-- ASSET MASS RETIREMENTS
			SELECT 'Asset Retirement' AS RECORD_TYPE,
			NVL(MT.RETIRE_REQUEST_ID,0)
			||'-'
			||MT.MASS_RETIREMENT_ID AS ECC_SPEC_ID,
			MT.LAST_UPDATE_DATE ECC_LAST_UPDATE_DATE,
			MT.RETIRE_REQUEST_ID REQUEST_NUM,
			MT.MASS_RETIREMENT_ID TRANS_NUM,
			NVL(BC.ORG_ID,-9999) AS ORG_ID,
			MT.BOOK_TYPE_CODE BOOK_CODE,
			BC.BOOK_TYPE_NAME BOOK_NAME,
			MT.RETIREMENT_DATE TRANS_DATE,
			'' AS ASSET_CATEGORY,
			'' AS MAJOR_CATEGORY,
			'' AS MINOR_CATEGORY,
			'' AS TRANS_DESCRIPTION ,
			LO.MEANING TRANS_STATUS ,
			MT.STATUS TRANS_STATUS_CODE ,
			'' AS TRANSFER_TYPE ,
			''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LO.LANGUAGE
			FROM FA_MASS_RETIREMENTS MT,
			FA_BOOK_CONTROLS BC,
      FA_LOOKUPS FL,
			FA_LOOKUPS_TL LO
			WHERE MT.BOOK_TYPE_CODE      = BC.BOOK_TYPE_CODE
			AND BC.BOOK_CLASS            = 'CORPORATE'
			AND BC.DATE_INEFFECTIVE     IS NULL
			AND MT.STATUS               &lt;&gt; 'COMPLETED'
			AND LO.LOOKUP_TYPE           ='MASS_TRX_STATUS'
			AND FL.LOOKUP_TYPE = lo.LOOKUP_TYPE
       AND FL.lookup_code = lo.lookup_code
			 and FL.enabled_flag='Y'
			AND MT.STATUS                = LO.LOOKUP_CODE
			AND ( ( to_date(to_char(MT.LAST_UPDATE_DATE,'DD-MON-RR HH24:MI:SS'),'DD-MON-RR HH24:MI:SS') &gt;=  to_date('25-APR-20' ,'DD-MON-RR HH24:MI:SS')
			AND MT.LAST_UPDATE_DATE      &lt; SYSDATE ))
			UNION ALL
						SELECT 'Mass Additions' AS RECORD_TYPE,
			  MA.MASS_ADDITION_ID
			  || '' AS ECC_SPEC_ID,
			  NVL(MA.LAST_UPDATE_DATE,MA.CREATION_DATE) ECC_LAST_UPDATE_DATE,
			  TO_NUMBER('')         AS REQUEST_NUM,
			  TO_NUMBER('')         AS TRANS_NUM,
			  NVL(FBC.ORG_ID,-9999) AS ORG_ID,
			  MA.BOOK_TYPE_CODE     AS BOOK_CODE,
			  FBC.BOOK_TYPE_NAME BOOK_NAME,
			  MA.ACCOUNTING_DATE AS TRANS_DATE,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P_OUTPUT_TYPE=&gt;'DESCRIPTION') ) MAJOR_CATEGORY 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'MINOR_CATEGORY',
        P_SHOW_PARENT_SEGMENTS =&gt; 'N', P_OUTPUT_TYPE=&gt;'DESCRIPTION')) MINOR_CATEGORY,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'ALL', P_SHOW_PARENT_SEGMENTS =&gt; 'N',
        P_OUTPUT_TYPE=&gt;'DESCRIPTION')) ASSET_CATEGORY ,
			  '' AS TRANS_DESCRIPTION ,
			  LO.MEANING TRANS_STATUS ,
			  MA.QUEUE_NAME                         AS TRANS_STATUS_CODE ,
			  ''                                    AS TRANSFER_TYPE ,
			  ''                                    AS CHANGE_TYPE ,
			  MA.ASSET_NUMBER                       AS ASSET_NUMBER ,
			  MA.DESCRIPTION                        AS ASSET_DESCRIPTION ,
			  TO_CHAR(MA.ACCOUNTING_DATE,'YYYY')    AS ADDITION_ACCOUNTING_YEAR ,
			  TO_CHAR(MA.ACCOUNTING_DATE,'MM-YYYY') AS ADDITION_MONTH_YEAR ,
			  MA.FIXED_ASSETS_COST                  AS ADDITION_COST ,
			  MA.FIXED_ASSETS_UNITS                 AS ADDITION_UNITS ,
			  MA.FEEDER_SYSTEM_NAME                 AS ADDITION_SOURCE_NAME
			  ,
			  MA.CREATE_BATCH_ID     AS ADDITION_BATCH_ID ,
			  MA.CREATE_BATCH_DATE   AS ADDITION_BATCH_DATE ,
			  MA.PO_NUMBER           AS ADDITION_PO_NUMBER ,
			  MA.INVOICE_ID          AS ADDITION_INV_ID ,
			  MA.INVOICE_NUMBER      AS ADDITION_INV_NUMBER ,
			  MA.INVOICE_DATE        AS ADDITION_INV_DATE ,
			  MA.INVOICE_LINE_NUMBER AS ADDITION_INV_LINE_NUMBER ,
			  MA.DESCRIPTION         AS ADDITION_INV_DESCRIPTION ,
			  PO.SEGMENT1            AS ADDITION_SUPPLIER_NUMBER ,
			  PO.VENDOR_NAME         AS ADDITION_SUPPLIER_NAME
			  ,
			  PJ.NAME        AS ADDITION_PROJ_NAME ,
			  PT.TASK_NUMBER AS ADDITION_PROJ_TASK ,
			  MA.AMORTIZE_FLAG AMORTIZED,
        LO.LANGUAGE
			FROM AP_SUPPLIERS PO ,
			  FA_ADDITIONS_B AD ,
			  FA_MASS_ADDITIONS MA ,
			  FA_WARRANTIES WAR ,
			  FA_ADDITIONS_B GAD ,
			  PA_PROJECTS_ALL PJ ,
			  PA_TASKS PT ,
			  FA_CATEGORIES_B FC ,
			  FA_BOOK_CONTROLS FBC ,
			  FA_DEPRN_PERIODS FDP1 ,
			  FA_DEPRN_PERIODS FDP2 ,
			  GL_LEDGERS LGR ,
			  FA_SYSTEM_CONTROLS FSC ,
        FA_LOOKUPS FL,
			  FA_LOOKUPS_TL LO
			WHERE FBC.BOOK_TYPE_CODE        = FDP1.BOOK_TYPE_CODE
			AND FBC.BOOK_CLASS              = 'CORPORATE'
			AND FBC.DATE_INEFFECTIVE       IS NULL
			AND FBC.SET_OF_BOOKS_ID         = LGR.LEDGER_ID
			AND LGR.OBJECT_TYPE_CODE        = 'L'
			AND NVL(LGR.COMPLETE_FLAG, 'Y') = 'Y'
			AND FBC.LAST_PERIOD_COUNTER     = FDP1.PERIOD_COUNTER
			AND FBC.BOOK_TYPE_CODE          = FDP2.BOOK_TYPE_CODE
			AND FBC.LAST_PERIOD_COUNTER+1   = FDP2.PERIOD_COUNTER
			AND FBC.DATE_INEFFECTIVE       IS NULL
			AND MA.BOOK_TYPE_CODE           = FBC.BOOK_TYPE_CODE
			AND MA.ASSET_CATEGORY_ID        = FC.CATEGORY_ID (+)
			AND MA.PROJECT_ID               = PJ.PROJECT_ID ( + )
			AND MA.TASK_ID                  = PT.TASK_ID (    + )
			AND MA.PO_VENDOR_ID             = PO.VENDOR_ID (  + )
			AND MA.PARENT_ASSET_ID          = AD.ASSET_ID (   + )
			AND MA.WARRANTY_ID              = WAR.WARRANTY_ID (+)
			AND GAD.ASSET_ID (+)            = MA.GROUP_ASSET_ID
			AND NVL(MA.POSTING_STATUS, 'A')  not in   ('POSTED','SPLIT')
			 AND ma.queue_name = lo.lookup_code
			 AND lo.LOOKUP_TYPE   = 'QUEUE NAME'
       AND FL.LOOKUP_TYPE = lo.LOOKUP_TYPE
       AND FL.lookup_code = lo.lookup_code
			 and FL.enabled_flag='Y'
			AND MA.POST_BATCH_ID           IS NULL
			And ( (  to_date( to_char(Nvl(Ma.Last_Update_Date,Ma.Creation_Date),'DD-MON-RR HH24:MI:SS'),'DD-MON-RR HH24:MI:SS')    &gt;= to_date('25-APR-20','DD-MON-RR HH24:MI:SS')
			AND  NVL(MA.LAST_UPDATE_DATE,MA.CREATION_DATE)         &lt; SYSDATE )) and LO.language in ('US') )
      PIVOT (max(TRANS_STATUS) as TRANS_STATUS,
             max(TRANSFER_TYPE) as TRANSFER_TYPE,
             max(CHANGE_TYPE) as CHANGE_TYPE
            for LANGUAGE in ('US' "US"))</t>
  </si>
  <si>
    <t>SELECT mt.CONCURRENT_REQUEST_ID
						  ||'-'
						  ||mt.MASS_TRANSFER_ID AS ECC_SPEC_ID
						FROM FA_MASS_TRANSFERS mt,
						  FA_BOOK_CONTROLS bc,
						  FND_CONC_REQ_SUMMARY_V rs
						WHERE mt.book_type_code                         = bc.book_type_code
						AND bc.book_class                               = 'CORPORATE'
						AND bc.date_ineffective                        IS NULL
						AND mt.CONCURRENT_REQUEST_ID                    = rs.request_id
						AND NVL(rs.USER_CONCURRENT_PROGRAM_NAME, '$$') = 'Mass Transfer'
						And ( ( to_date(to_char(Rs.Actual_Completion_Date,'DD-MON-RR HH24:MI:SS'),'DD-MON-RR HH24:MI:SS')  &gt;=  to_date('25-APR-20','DD-MON-RR HH24:MI:SS')
						AND rs.ACTUAL_COMPLETION_DATE                   &lt; sysdate ))
						UNION ALL
						SELECT NVL(mr.last_request_id,0)
						  ||'-'
						  ||mr.mass_reval_id
						  ||'-'
						  ||mrr.ASSET_ID AS ECC_SPEC_ID
						  FROM fa_mass_revaluations mr,
						  FA_BOOK_CONTROLS bc,
						   FA_MASS_REVALUATION_RULES  mrr
						WHERE mr.book_type_code      = bc.book_type_code
						AND bc.book_class            = 'CORPORATE'
						AND bc.date_ineffective     IS NULL
						AND mr.status              = ('COMPLETED')
						and mr.mass_reval_id = mrr.mass_reval_id(+)
						And ( ( to_date(to_char(Mr.Last_Update_Date,'DD-MON-RR HH24:MI:SS'),'DD-MON-RR HH24:MI:SS') &gt;=  to_date('25-APR-20','DD-MON-RR HH24:MI:SS')
						AND mr.last_update_date      &lt; sysdate ))
						UNION ALL
						SELECT
						  NVL(mc.concurrent_request_id,0)
						  ||'-'
						  ||mc.mass_change_id AS ECC_SPEC_ID
						From Fa_Mass_Changes Mc,
						FA_BOOK_CONTROLS bc
						WHERE mc.book_type_code      = bc.book_type_code
						AND bc.book_class            = 'CORPORATE'
						AND bc.date_ineffective     IS NULL
						AND mc.status               = 'COMPLETED'
						And ( ( to_date(to_char(Mc.Last_Update_Date,'DD-MON-RR HH24:MI:SS'),'DD-MON-RR HH24:MI:SS') &gt;=  to_date('25-APR-20','DD-MON-RR HH24:MI:SS')
						AND mc.last_update_date     &lt; sysdate ))
						UNION ALL
						SELECT NVL(mr.concurrent_request_id, 0)
						  ||'-'
						  ||mr.MASS_RECLASS_ID AS ECC_SPEC_ID
						FROM FA_MASS_RECLASS mr,
						  FA_BOOK_CONTROLS bc
						WHERE mr.BOOK_TYPE_CODE      = bc.BOOK_TYPE_CODE
						AND bc.book_class            = 'CORPORATE'
						AND bc.date_ineffective     IS NULL
						AND mr.status              = 'COMPLETED'
						And ( ( to_date(to_char(Mr.Last_Update_Date,'DD-MON-RR HH24:MI:SS'),'DD-MON-RR HH24:MI:SS') &gt;=  to_date('25-APR-20','DD-MON-RR HH24:MI:SS')
						AND mr.last_update_date     &lt; sysdate))
						UNION ALL
						-- Asset Mass Retirements
						SELECT
						  NVL(mt.RETIRE_REQUEST_ID,0)
						  ||'-'
						  ||mt.MASS_RETIREMENT_ID AS ECC_SPEC_ID
						FROM FA_MASS_RETIREMENTS mt,
						  FA_BOOK_CONTROLS bc
						WHERE mt.BOOK_TYPE_CODE      = bc.BOOK_TYPE_CODE
						AND bc.book_class            = 'CORPORATE'
						AND bc.date_ineffective     IS NULL
						AND mt.status               = 'COMPLETED'
						And ( ( to_date(to_char(Mt.Last_Update_Date,'DD-MON-RR HH24:MI:SS'),'DD-MON-RR HH24:MI:SS') &gt;=  to_date('25-APR-20','DD-MON-RR HH24:MI:SS')
						AND mt.last_update_date      &lt; sysdate ))
						UNION ALL
						SELECT distinct ma.MASS_ADDITION_ID
						  || '' AS ECC_SPEC_ID
						FROM fa_mass_additions ma ,
						  FA_BOOK_CONTROLS fbc ,
						  FA_DEPRN_PERIODS fdp1 ,
						  FA_DEPRN_PERIODS fdp2 ,
						  GL_LEDGERS LGR
						WHERE ma.book_type_code         = fbc.book_type_code
						AND MA.POSTING_STATUS              IN  ('POSTED','SPLIT')
						AND fbc.book_class              = 'CORPORATE'
						AND fbc.date_ineffective       IS NULL
						AND fbc.set_of_books_id         = LGR.LEDGER_ID
						AND LGR.OBJECT_TYPE_CODE        = 'L'
						AND NVL(LGR.COMPLETE_FLAG, 'Y') = 'Y'
						AND fbc.last_period_counter     = fdp1.period_counter
						AND fbc.book_type_code          = fdp2.book_type_code
						AND fbc.last_period_counter+1   = fdp2.period_counter
						AND fbc.date_ineffective       IS NULL
            AND MA.post_batch_id           IS NULL
						And ( ( to_date(to_char(Ma.Last_Update_Date,'DD-MON-RR HH24:MI:SS'),'DD-MON-RR HH24:MI:SS')   &gt;=  to_date('25-APR-20','DD-MON-RR HH24:MI:SS')
						AND ma.last_update_date         &lt; sysdate ))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</si>
  <si>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to_date(to_char(to_timestamp('25-APR-20 06.47.46.000000 PM'),'DD-MON-YY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</si>
  <si>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to_date(to_char(to_timestamp('25-APR-20 06.47.46.000000 PM'),'DD-MON-YY HH24.MI.SS'),'DD-MON-YY HH24.MI.SS') </t>
  </si>
  <si>
    <t>select * from (SELECT   ECC_SPEC_ID,
 RECORD_TYPE,
 PERIOD_NAME,
 PERIOD_YEAR,
 CLOSING_STATUS,
 ledger_id,
 ledger_name,
 ledger_currency,
 operating_unit,
 org_id,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 gl_date,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AE_HEADER_ID,
 line_definition_code,
 line_definition_desc,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XLA_ACC_CODE ,
 XLA_ACC_DESCRIPTION,
 CURRENCY_CODE,
 ENTERED_DR,
 ENTERED_CR,
 ACCOUNTED_DR,
 ACCOUNTED_CR,
 LINES_DESCRIPTION,
 ecc_last_update_date,
 language
 FROM  (  select /*+ leading(ps) */
   acra.cash_receipt_id||'-'||acrha.CASH_RECEIPT_HISTORY_ID||'-'||xe.EVENT_ID||'-'||xe.event_number||'-'||XAH.AE_HEADER_ID||'-'||xal.AE_LINE_NUM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acra.RECEIPT_DATE transaction_date,
   acra.STATUS receipt_status,
      (select meaning from fnd_lookup_values where view_application_id =222 and lookup_type = 'PAYMENT_TYPE' and language=org.language and lookup_code = acra.STATUS)   receipt_status_desc,
   acra.TYPE transaction_type,
   acra.currency_code transaction_currency,
   acra.CONFIRMED_FLAG,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acrha.GL_DATE,
   xe.event_id,
    xe.EVENT_NUMBER,
    xe.EVENT_DATE,
   xe.EVENT_STATUS_CODE,
      (select meaning from fnd_lookup_values where view_application_id =602 and lookup_type = 'XLA_EVENT_STATUS' and language=org.language and lookup_code = xe.EVENT_STATUS_CODE)   EVENT_STATUS_DESC,
   DECODE(xe.PROCESS_STATUS_CODE,'Z','I',xe.PROCESS_STATUS_CODE) PROCESS_STATUS_CODE,
      (select meaning from fnd_lookup_values where view_application_id =602 and lookup_type = 'XLA_EVENT_PROCESS_STATUS' and language=org.language and lookup_code = DECODE(xe.PROCESS_STATUS_CODE,'Z','I',xe.PROCESS_STATUS_CODE) )
    	  PROCESS_STATUS_DESC ,
   xah.EVENT_TYPE_CODE,
      (select NAME from XLA_EVENT_TYPES_TL ett where application_id =222 and language=org.language AND xah.EVENT_TYPE_CODE = ett. EVENT_TYPE_CODE AND xte.ENTITY_CODE = ett.ENTITY_CODE)   EVENT_TYPE_DESC,
   xte.ENTITY_ID,
   xte.entity_code,
   xte.SOURCE_ID_INT_1,
     xdl.ACCOUNTING_LINE_CODE,
	  (select NAME from XLA_ACCT_LINE_TYPES_TL alt where application_id =222 and language=org.language AND xdl.ACCOUNTING_LINE_CODE = alt.ACCOUNTING_LINE_CODE)   ACCOUNTING_LINE_DESC,
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xah.AE_HEADER_ID,
   xah.GL_TRANSFER_STATUS_CODE,
       (select meaning from fnd_lookup_values where view_application_id =602 and lookup_type = 'GL_TRANSFER_FLAG' and language=org.language and lookup_code = xah.GL_TRANSFER_STATUS_CODE) GL_TRANSFER_STATUS_DESC,
   xah.ACCOUNTING_ENTRY_STATUS_CODE,
       (select meaning from fnd_lookup_values where view_application_id =602 and lookup_type = 'XLA_ACCOUNTING_ENTRY_STATUS' and language=org.language and lookup_code = xah.ACCOUNTING_ENTRY_STATUS_CODE) ACCOUNTING_ENTRY_STATUS_DESC,
   xah.ACCOUNTING_ENTRY_TYPE_CODE,
       (select meaning from fnd_lookup_values where view_application_id =602 and lookup_type = 'XLA_ACCOUNTING_ENTRY_TYPE' and language=org.language and lookup_code = xah.ACCOUNTING_ENTRY_TYPE_CODE) ACCOUNTING_ENTRY_TYPE_DESC,
   xah.JE_CATEGORY_NAME,
       (select DESCRIPTION from GL_JE_CATEGORIES_TL jct where language=org.language and xah.JE_CATEGORY_NAME = jct.JE_CATEGORY_NAME) JE_CATEGORY_NAME_DESC,
   xah.DESCRIPTION HEADER_DESCRIPTION,
   xah.BALANCE_TYPE_CODE,
       (select meaning from fnd_lookup_values where view_application_id =602 and lookup_type = 'XLA_BALANCE_TYPE' and language=org.language and lookup_code = xah.BALANCE_TYPE_CODE) BALANCE_TYPE_DESC,
   xah.PERIOD_NAME gl_period_name,
   xal.ACCOUNTING_DATE,
   xal.AE_LINE_NUM,
   xal.DISPLAYED_LINE_NUMBER,
   xal.ACCOUNTING_CLASS_CODE,
       (select meaning from fnd_lookup_values where view_application_id =602 and lookup_type = 'XLA_ACCOUNTING_CLASS'  and language=org.language and lookup_code = xal.ACCOUNTING_CLASS_CODE) ACCOUNTING_CLASS_DESC,
   xal.BUSINESS_CLASS_CODE,
       (select meaning from fnd_lookup_values where view_application_id =602 and lookup_type = 'XLA_BUSINESS_FLOW_CLASS'  and language=org.language and lookup_code = xal.BUSINESS_CLASS_CODE) BUSINESS_CLASS_DESC,
   xal.CODE_COMBINATION_ID,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cc,
   hr_all_organization_units_tl org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acra.org_id =org.Organization_Id
  AND xal.CODE_COMBINATION_ID = cc.CODE_COMBINATION_ID
  and led.CHART_OF_ACCOUNTS_ID = cc.CHART_OF_ACCOUNTS_ID
  and cc.ENABLED_FLAG = 'Y'  AND ( xe.last_update_date    &gt;= to_date('25-APR-20','DD-MON-RR HH24:MI:SS') )  ) acc_unappld_rcpt where acc_unappld_rcpt.language in ('US')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EVENT_TYPE_DESC,MAX ( accounting_line_desc ) AS accounting_line_desc,
   max(GL_TRANSFER_STATUS_DESC) as GL_TRANSFER_STATUS_DESC, max(ACCOUNTING_ENTRY_STATUS_DESC) as ACCOUNTING_ENTRY_STATUS_DESC, max(EVENT_CLASS_DESC) as EVENT_CLASS_DESC,MAX ( line_definition_desc ) AS line_definition_desc,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</si>
  <si>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ECC_SPEC_ID,
 RECORD_TYPE,
 PERIOD_NAME,
 PERIOD_YEAR,
 CLOSING_STATUS,
 ledger_id,
 ledger_name,
 ledger_currency,
 org_id,
 operating_unit,
 set_of_books_id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-- RECEIVABLE_APPLICATION_ID,
 GL_DATE,
 XLA_ACC_CODE ,
 XLA_ACC_DESCRIPTION,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LINE_DEFINITION_CODE,
 LINE_DEFINITION_DESC,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ecc_last_update_date,
 language
 FROM (  select  /*+ leading(ps) */
       acra.cash_receipt_id||'-'||acrha.CASH_RECEIPT_HISTORY_ID||'-'||xe.EVENT_ID||'-'||xe.EVENT_NUMBER||'-'||XAl.AE_HEADER_ID||'-'||XAL.AE_LINE_NUM  as ECC_SPEC_ID,
       'RCPT' RECORD_TYPE,
	   ps.PERIOD_NAME,
       ps.PERIOD_YEAR,
       ps.CLOSING_STATUS,
       led.ledger_id,
       led.name ledger_name,
       led.currency_code ledger_currency,
       acra.org_id,
       org.name operating_unit,
       acra.set_of_books_id,
       acra.CASH_RECEIPT_ID,
       acra.AMOUNT,
       acra.amount * Nvl(acra.exchange_rate, 1) accounted_amount,
       acra.RECEIPT_NUMBER transaction_number,
       acra.RECEIPT_DATE transaction_date,
       acra.STATUS receipt_status,
       (select meaning from fnd_lookup_values where view_application_id =222 and lookup_type = 'PAYMENT_TYPE'  and language=org.language and lookup_code = acra.STATUS)   receipt_status_desc,
       acra.TYPE transaction_type,
       acra.currency_code transaction_currency,
       acra.CONFIRMED_FLAG,
       acrha.CASH_RECEIPT_HISTORY_ID,
       acrha.STATUS rcpt_hstry_status,
	   (select meaning from fnd_lookup_values where view_application_id =222 and lookup_type = 'RECEIPT_CREATION_STATUS'  and language=org.language and lookup_code = acrha.STATUS)   rcpt_hstry_status_desc,
       acrha.CREATED_FROM,
       acrha.REVERSAL_CREATED_FROM,
--        arp.RECEIVABLE_APPLICATION_ID,
        acrha.GL_DATE,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xe.event_id,
      xe.EVENT_NUMBER,
      xe.EVENT_DATE,
     xte.ENTITY_ID,
     xte.ENTITY_CODE,
     xte.SOURCE_ID_INT_1,
      xe.EVENT_STATUS_CODE,
      (select meaning from fnd_lookup_values where view_application_id =602 and lookup_type = 'XLA_EVENT_STATUS'
               and language=org.language and lookup_code = xe.EVENT_STATUS_CODE)   EVENT_STATUS_DESC,
      DECODE(xe.PROCESS_STATUS_CODE,'Z','I',xe.PROCESS_STATUS_CODE) PROCESS_STATUS_CODE,
      (select meaning from fnd_lookup_values where view_application_id =602 and lookup_type = 'XLA_EVENT_PROCESS_STATUS'
               and language=org.language and lookup_code = DECODE(xe.PROCESS_STATUS_CODE,'Z','I',xe.PROCESS_STATUS_CODE) )   PROCESS_STATUS_DESC ,
    xah.EVENT_TYPE_CODE,
      (select NAME from XLA_EVENT_TYPES_TL ett where application_id =222 and language=org.language AND xah.EVENT_TYPE_CODE = ett. EVENT_TYPE_CODE AND xte.ENTITY_CODE = ett.ENTITY_CODE)   EVENT_TYPE_DESC,
 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(select meaning from fnd_lookup_values where view_application_id =602 and lookup_type = 'GL_TRANSFER_FLAG'  and language=org.language and lookup_code = xah.GL_TRANSFER_STATUS_CODE) GL_TRANSFER_STATUS_DESC,
    xah.ACCOUNTING_ENTRY_STATUS_CODE,
      (select meaning from fnd_lookup_values where view_application_id =602 and lookup_type = 'XLA_ACCOUNTING_ENTRY_STATUS'  and language=org.language and lookup_code = xah.ACCOUNTING_ENTRY_STATUS_CODE) ACCOUNTING_ENTRY_STATUS_DESC,
    xah.ACCOUNTING_ENTRY_TYPE_CODE,
      (select meaning from fnd_lookup_values where view_application_id =602 and lookup_type = 'XLA_ACCOUNTING_ENTRY_TYPE'  and language=org.language and lookup_code = xah.ACCOUNTING_ENTRY_TYPE_CODE) ACCOUNTING_ENTRY_TYPE_DESC,
    xah.JE_CATEGORY_NAME,
      (select DESCRIPTION from GL_JE_CATEGORIES_TL jct where language=org.language and xah.JE_CATEGORY_NAME = jct.JE_CATEGORY_NAME) JE_CATEGORY_NAME_DESC,
    xah.DESCRIPTION HEADER_DESCRIPTION,
    xah.BALANCE_TYPE_CODE,
      (select meaning from fnd_lookup_values where view_application_id =602 and lookup_type = 'XLA_BALANCE_TYPE' and language=org.language and lookup_code = xah.BALANCE_TYPE_CODE) BALANCE_TYPE_DESC,
    xah.PERIOD_NAME gl_period_name,
    xal.ACCOUNTING_DATE,
    xal.AE_LINE_NUM,
    xal.DISPLAYED_LINE_NUMBER,
    xal.ACCOUNTING_CLASS_CODE,
      (select meaning from fnd_lookup_values where view_application_id =602 and lookup_type = 'XLA_ACCOUNTING_CLASS'  and language=org.language and lookup_code = xal.ACCOUNTING_CLASS_CODE) ACCOUNTING_CLASS_DESC,
    xal.BUSINESS_CLASS_CODE,
      (select meaning from fnd_lookup_values where view_application_id =602 and lookup_type = 'XLA_BUSINESS_FLOW_CLASS' 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   GL_CODE_COMBINATIONS cc,
   -- XLA
   xla_distribution_links xdl,
   xla_transaction_entities xte,
   xla_events xe,
   xla_ae_headers xah,
   xla_ae_lines xal,
   gl_ledgers led,
   hr_all_organization_units_tl org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 -- new condition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   AND xah.GL_TRANSFER_STATUS_CODE &lt;&gt; 'Y'
   AND XAH.EVENT_ID = XE.EVENT_ID
   AND XAH.APPLICATION_ID = XE.APPLICATION_ID
   and xal.DISPLAYED_LINE_NUMBER &gt;=0 -- new concition
   AND Led.Ledger_Id  = acra.Set_Of_Books_Id
   and acra.org_id =ORG.Organization_Id
   AND xal.CODE_COMBINATION_ID = cc.CODE_COMBINATION_ID
   and led.CHART_OF_ACCOUNTS_ID = cc.CHART_OF_ACCOUNTS_ID
   and cc.ENABLED_FLAG = 'Y'  AND ( xe.last_update_date    &gt;= to_date('25-APR-20','DD-MON-RR HH24:MI:SS') )  ) acc_appld_rcpt where acc_appld_rcpt.language in ('US') 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
   max(ACCOUNTING_LINE_DESC) as ACCOUNTING_LINE_DESC, max(EVENT_CLASS_DESC) as EVENT_CLASS_DESC, max(LINE_DEFINITION_DESC) as LINE_DEFINITION_DESC,
  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</si>
  <si>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 ECC_SPEC_ID,
 RECORD_TYPE,
 PERIOD_NAME,
 PERIOD_YEAR,
 CLOSING_STATUS,
 ledger_id,
 ledger_name,
 ledger_currency,
 org_id,
 operating_unit,
 set_of_books_id,
 CASH_RECEIPT_ID,
 AMOUNT,
 accounted_amount,
 transaction_number,
 transaction_date,
 receipt_status,
 receipt_status_desc,
  transaction_type,
 transaction_currency,
 CONFIRMED_FLAG,
 GL_DATE,
 cash_receipt_history_id,
 rcpt_hstry_status,
 rcpt_hstry_status_desc,
 CREATED_FROM,
 REVERSAL_CREATED_FROM,
 event_id,
 EVENT_NUMBER,
 EVENT_DATE,
 EVENT_TYPE_CODE,
 EVENT_TYPE_DESC,
 EVENT_STATUS_CODE,
 EVENT_STATUS_DESC,
 PROCESS_STATUS_CODE ,
 PROCESS_STATUS_DESC,
 ENTITY_ID,
 ENTITY_CODE,
 source_id_int_1,
 ecc_last_update_date,
 language
 FROM  (  select  /*+ leading(ps)*/
   acra.cash_receipt_id||'-'||acrha.CASH_RECEIPT_HISTORY_ID||'-'||xe.EVENT_ID||'-'||xe.EVENT_NUMBER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acra.currency_code transaction_currency,
   acra.receipt_date transaction_date,
   acra.STATUS receipt_status,
       (select meaning from fnd_lookup_values where view_application_id =222 and lookup_type = 'PAYMENT_TYPE'  and language=org.language and lookup_code = acra.STATUS)   receipt_status_desc,
   acra.TYPE transaction_type,
   acra.CONFIRMED_FLAG,
   acrha.GL_DATE,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xe.event_id,
   xe.EVENT_NUMBER,
   xe.EVENT_DATE,
   xe.EVENT_TYPE_CODE,
   	   (select NAME from XLA_EVENT_TYPES_TL ett where application_id =222 and language=org.language AND xe.EVENT_TYPE_CODE = ett. EVENT_TYPE_CODE AND xte.ENTITY_CODE = ett.ENTITY_CODE)   EVENT_TYPE_DESC,
   xe.EVENT_STATUS_CODE,
      (select meaning from fnd_lookup_values where view_application_id =602 and lookup_type = 'XLA_EVENT_STATUS' and language=org.language and lookup_code = xe.EVENT_STATUS_CODE)   EVENT_STATUS_DESC,
   xe.PROCESS_STATUS_CODE,
      (select meaning from fnd_lookup_values where view_application_id =602 and lookup_type = 'XLA_EVENT_PROCESS_STATUS'  and language=org.language and lookup_code = xe.PROCESS_STATUS_CODE )   PROCESS_STATUS_DESC ,
   xte.ENTITY_ID,
   xte.ENTITY_CODE,
   xte.SOURCE_ID_INT_1,
 --  arp.RECEIVABLE_APPLICATION_ID
   xe.last_update_date ecc_last_update_date,
   org.language
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	AND xe.event_status_code = 'U'
    and xe.PROCESS_STATUS_CODE = 'U'
    AND xte.ENTITY_ID = xe.ENTITY_ID
    AND Led.Ledger_Id  = acra.Set_Of_Books_Id
    and acra.org_id =org.Organization_Id
	and xe.application_id  = xte.application_id  AND ( xe.last_update_date    &gt;= to_date('25-APR-20','DD-MON-RR HH24:MI:SS') )  )  unacc_rcpt where unacc_rcpt.language in ('US')  )
	 PIVOT(max(OPERATING_UNIT) as OPERATING_UNIT, max(EVENT_STATUS_DESC) as EVENT_STATUS_DESC, max(PROCESS_STATUS_DESC) as PROCESS_STATUS_DESC,max(EVENT_TYPE_DESC) as EVENT_TYPE_DESC,
  max(receipt_status_desc) as receipt_status_desc, max(rcpt_hstry_status_desc) as rcpt_hstry_status_desc
  for LANGUAGE in ('US' "US"))</t>
  </si>
  <si>
    <t>select * from (SELECT  ECC_SPEC_ID,
 RECORD_TYPE,
 PERIOD_NAME,
 PERIOD_YEAR,
 CLOSING_STATUS,
 ledger_id,
 ledger_name,
 ledger_currency,
 org_id,
operating_unit,
 set_of_books_id,
 customer_trx_id,
 amount,
 accounted_amount,
 transaction_number,
 transaction_date,
 transaction_currency,
 transaction_type,
 invoicing_rule_id,
 invoicing_rule,
 XLA_ACC_CODE ,
 XLA_ACC_DESCRIPTION,
 CUST_TRX_LINE_GL_DIST_ID,
 bill_to_customer_id,
 account_number,
 bill_to_customer,
 bill_to_location,
 payment_schedule_id,
 gl_date,
 event_id,
 event_number,
 event_date,
 EVENT_STATUS_CODE,
 EVENT_STATUS_DESC,
 PROCESS_STATUS_CODE,
 PROCESS_STATUS_DESC,
 ACCOUNTING_LINE_CODE,
 ACCOUNTING_LINE_DESC,
 SOURCE_DISTRIBUTION_TYPE,
 EVENT_CLASS_CODE,
 EVENT_CLASS_DESC,
 LINE_DEFINITION_CODE,
 LINE_DEFINITION_DESC,
 EVENT_TYPE_CODE,
 EVENT_TYPE_DESC,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ENTITY_ID,
 ENTITY_CODE,
 SOURCE_ID_INT_1,
 ecc_last_update_date,
 language
 FROM ( select  /*+ leading (ps)*/
       rct.customer_trx_id||'-'||ragd.CUST_TRX_LINE_GL_DIST_ID||'-'||xe.EVENT_ID||'-'||xe.EVENT_NUMBER||'-'||XAL.AE_HEADER_ID||'-'||XAL.AE_LINE_NUM as ECC_SPEC_ID,
       'TRX' RECORD_TYPE,
       ps.PERIOD_NAME,
       ps.PERIOD_YEAR,
       ps.CLOSING_STATUS,
       led.ledger_id,
       led.name ledger_name,
       led.currency_code ledger_currency,
       rct.org_id,
       org.name operating_unit,
       rct.set_of_books_id,
       rct.customer_trx_id,
       arp.AMOUNT_DUE_ORIGINAL amount,
       arp.amount_due_original*nvl(arp.exchange_rate,1) ACCOUNTED_AMOUNT,
       rct.TRX_NUMBER transaction_number,
       rct.TRX_DATE transaction_date,
       rctt.name transaction_type,
       rct.INVOICE_CURRENCY_CODE transaction_currency,
       rct.INVOICING_RULE_ID,
	   rr.NAME invoicing_rule,
      rct.bill_to_customer_id,
      b_bill.account_number account_number,
      b_bill_party.party_name bill_to_customer,
      u_bill.location bill_to_location,
      arp.PAYMENT_SCHEDULE_ID,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ragd.CUST_TRX_LINE_GL_DIST_ID,
      arp.gl_date,
      xe.event_id,
    xe.EVENT_NUMBER,
    xe.EVENT_DATE,
    xe.EVENT_STATUS_CODE,
      (select meaning from fnd_lookup_values where view_application_id =602 and lookup_type = 'XLA_EVENT_STATUS'  and language=org.language and lookup_code = xe.EVENT_STATUS_CODE)   EVENT_STATUS_DESC,
    DECODE(xe.PROCESS_STATUS_CODE,'Z','I',xe.PROCESS_STATUS_CODE) PROCESS_STATUS_CODE,
      (select meaning from fnd_lookup_values where view_application_id =602 and lookup_type = 'XLA_EVENT_PROCESS_STATUS'  and language=org.language and lookup_code = DECODE(xe.PROCESS_STATUS_CODE,'Z','I',xe.PROCESS_STATUS_CODE))
    	  PROCESS_STATUS_DESC ,
    xah.EVENT_TYPE_CODE,
      (select NAME from XLA_EVENT_TYPES_TL ett where application_id =222 and language=org.language AND xah.EVENT_TYPE_CODE = ett. EVENT_TYPE_CODE AND xte.ENTITY_CODE = ett.ENTITY_CODE)   EVENT_TYPE_DESC,
    xte.ENTITY_ID,
    xte.ENTITY_CODE,
    xte.SOURCE_ID_INT_1,
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 (select meaning from fnd_lookup_values where view_application_id =602 and lookup_type = 'GL_TRANSFER_FLAG' and language=org.language and lookup_code = xah.GL_TRANSFER_STATUS_CODE) GL_TRANSFER_STATUS_DESC,
    xah.ACCOUNTING_ENTRY_STATUS_CODE,
       (select meaning from fnd_lookup_values where view_application_id =602 and lookup_type = 'XLA_ACCOUNTING_ENTRY_STATUS' and language=org.language and lookup_code = xah.ACCOUNTING_ENTRY_STATUS_CODE) ACCOUNTING_ENTRY_STATUS_DESC,
    xah.ACCOUNTING_ENTRY_TYPE_CODE,
       (select meaning from fnd_lookup_values where view_application_id =602 and lookup_type = 'XLA_ACCOUNTING_ENTRY_TYPE' and language=org.language and lookup_code = xah.ACCOUNTING_ENTRY_TYPE_CODE) ACCOUNTING_ENTRY_TYPE_DESC,
    xah.JE_CATEGORY_NAME,
       (select DESCRIPTION from GL_JE_CATEGORIES_TL jct where language=org.language and xah.JE_CATEGORY_NAME = jct.JE_CATEGORY_NAME) JE_CATEGORY_NAME_DESC,
    xah.DESCRIPTION HEADER_DESCRIPTION,
    xah.BALANCE_TYPE_CODE,
       (select meaning from fnd_lookup_values where view_application_id =602 and lookup_type = 'XLA_BALANCE_TYPE'   and language=org.language and lookup_code = xah.BALANCE_TYPE_CODE) BALANCE_TYPE_DESC,
    xah.PERIOD_NAME gl_period_name,
    xal.ACCOUNTING_DATE,
    xal.AE_LINE_NUM,
    xal.DISPLAYED_LINE_NUMBER,
    xal.ACCOUNTING_CLASS_CODE,
        (select meaning from fnd_lookup_values where view_application_id =602 and lookup_type = 'XLA_ACCOUNTING_CLASS'  and language=org.language and lookup_code = xal.ACCOUNTING_CLASS_CODE) ACCOUNTING_CLASS_DESC,
    xal.BUSINESS_CLASS_CODE,
        (select meaning from fnd_lookup_values where view_application_id =602 and lookup_type = 'XLA_BUSINESS_FLOW_CLASS'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 gl_period_statuses ps,
    -- Receivables Tables
    ra_customer_trx_all rct,
    ra_cust_trx_line_gl_dist_all ragd,
	ra_cust_trx_types_all rctt,
    AR_PAYMENT_SCHEDULES_ALL arp,
    -- XLA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hr_all_organization_units_tl org,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   AND xah.GL_TRANSFER_STATUS_CODE &lt;&gt; 'Y'
	and xah.ACCOUNTING_ENTRY_STATUS_CODE &lt;&gt; 'N'
    and xal.DISPLAYED_LINE_NUMBER &gt;=0
    AND XE.EVENT_ID = XAH.EVENT_ID
    AND XAH.APPLICATION_ID = XE.APPLICATION_ID
    AND Led.Ledger_Id  = rct.Set_Of_Books_Id
    and rct.org_id =org.Organization_Id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to_date('25-APR-20','DD-MON-RR HH24:MI:SS') )  )  acc_trx where acc_trx.language in ('US')  )
    PIVOT(max(OPERATING_UNIT) as OPERATING_UNIT, max(EVENT_STATUS_DESC) as EVENT_STATUS_DESC, max(PROCESS_STATUS_DESC) as PROCESS_STATUS_DESC,
   max(ACCOUNTING_LINE_DESC) as ACCOUNTING_LINE_DESC, max(EVENT_CLASS_DESC) as EVENT_CLASS_DESC, max(LINE_DEFINITION_DESC) as LINE_DEFINITION_DESC,
   max(EVENT_TYPE_DESC) as EVENT_TYPE_DESC,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</si>
  <si>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 xml:space="preserve">select * from (SELECT ECC_SPEC_ID,
RECORD_TYPE,
PERIOD_NAME,
PERIOD_YEAR,
CLOSING_STATUS,
LEDGER_ID,
LEDGER_NAME,
LEDGER_CURRENCY,
ORG_ID,
OPERATING_UNIT,
set_of_books_id,
BILL_TO_CUSTOMER_ID,
ACCOUNT_NUMBER,
BILL_TO_CUSTOMER,
BILL_TO_LOCATION,
CUSTOMER_TRX_ID,
PAYMENT_SCHEDULE_ID,
TRANSACTION_TYPE,
transaction_number,
transaction_date,
transaction_currency,
INVOICING_RULE_ID,
INVOICING_RULE,
AMOUNT,
ACCOUNTED_AMOUNT,
GL_DATE,
EVENT_ID,
EVENT_NUMBER,
EVENT_DATE,
EVENT_TYPE_CODE,
EVENT_TYPE_DESC,
EVENT_STATUS_DESC,
EVENT_STATUS_CODE,
PROCESS_STATUS_CODE,
PROCESS_STATUS_DESC,
ENTITY_ID,
ENTITY_CODE,
SOURCE_ID_INT_1,
ECC_LAST_UPDATE_DATE,
LANGUAGE
FROM (  select -- /*+ leading (ps)*/
    rct.customer_trx_id||'-'||arp.PAYMENT_SCHEDULE_ID||'-'||xe.event_id||'-'||xe.EVENT_NUMBER as ECC_SPEC_ID,
	'TRX' RECORD_TYPE,
    ps.PERIOD_NAME,
    ps.PERIOD_YEAR,
    ps.CLOSING_STATUS,
    led.ledger_id,
    led.name ledger_name,
    led.currency_code ledger_currency,
    rct.org_id,
    ORG.name operating_unit,
    rct.bill_to_customer_id,
    b_bill.account_number,
    b_bill_party.party_name bill_to_customer,
    u_bill.location bill_to_location,
    rct.customer_trx_id,
    arp.PAYMENT_SCHEDULE_ID,
    rctt.name transaction_type,
    rct.set_of_books_id,
    rct.TRX_NUMBER transaction_number,
    rct.TRX_DATE transaction_date,
    rct.INVOICE_CURRENCY_CODE transaction_currency,
    rct.INVOICING_RULE_ID,
    rr.NAME invoicing_rule,
    arp.AMOUNT_DUE_ORIGINAL amount,
    arp.amount_due_original*nvl(arp.exchange_rate,1) ACCOUNTED_AMOUNT,
    arp.gl_date,
    xe.event_id,
    xe.EVENT_NUMBER,
    xe.EVENT_DATE,
    xe.EVENT_TYPE_CODE,
	   (select NAME from XLA_EVENT_TYPES_TL ett where application_id =222 and language=org.language AND xe.EVENT_TYPE_CODE = ett. EVENT_TYPE_CODE AND xte.ENTITY_CODE = ett.ENTITY_CODE)   EVENT_TYPE_DESC,
	xe.EVENT_STATUS_CODE,
    EVENT_STATUS.meaning EVENT_STATUS_DESC,
	xe.PROCESS_STATUS_CODE,
    PROCESS_STATUS.meaning PROCESS_STATUS_DESC,
    xte.ENTITY_ID,
    xte.ENTITY_CODE,
    xte.SOURCE_ID_INT_1,
    xe.last_update_date ecc_last_update_date,
    ORG.LANGUAGE
from
    gl_period_statuses ps,
    ra_customer_trx_all rct,
    ra_cust_trx_types_all rctt,
    AR_PAYMENT_SCHEDULES_ALL arp,
    xla_transaction_entities xte,
    xla_events xe,
    gl_ledgers led,
    hr_all_organization_units_tl org,
    hz_cust_accounts b_bill,
    hz_parties b_bill_party,
    HZ_CUST_SITE_USES_ALL u_bill,
    RA_RULES rr  ,
    FND_LOOKUP_VALUES    EVENT_STATUS,
    FND_LOOKUP_VALUES    PROCESS_STATUS
where
    ps.application_id=222
    AND ps.SET_OF_BOOKS_ID = rct.SET_OF_BOOKS_ID
    AND xe.EVENT_DATE between ps.START_DATE and ps.END_DATE
    AND ps.CLOSING_STATUS = 'O'
    and rct.complete_flag = 'Y'
    and rct.CUSTOMER_TRX_ID = arp.CUSTOMER_TRX_ID
    AND rct.cust_trx_type_id = rctt.cust_trx_type_id
    and rr.RULE_ID (+)= rct.INVOICING_RULE_ID
    AND rct.org_id = rctt.org_id
    and xe.application_id = 222
    AND xte.ENTITY_ID = xe.ENTITY_ID
    and xe.application_id = xte.application_id
    AND xe.EVENT_STATUS_CODE  = 'U'
    AND xe.PROCESS_STATUS_CODE = 'U'
    and xte.source_application_id = 222
    AND rct.CUSTOMER_TRX_ID = xte.SOURCE_ID_INT_1
    AND Led.Ledger_Id  = rct.Set_Of_Books_Id
    and rct.org_id = ORG.Organization_Id
    AND rct.bill_to_customer_id = b_bill.cust_account_id
    AND b_bill.party_id = b_bill_party.party_id
    AND rct.bill_to_site_use_id = u_bill.site_use_id
    AND rct.org_id = u_bill.org_id
    AND EVENT_STATUS.lookup_code = XE.EVENT_STATUS_CODE
    and EVENT_STATUS.language = ORG.language
    and EVENT_STATUS.VIEW_APPLICATION_ID  = 602
    and EVENT_STATUS.lookup_type = 'XLA_EVENT_STATUS'
    and process_status.lookup_code = xe.PROCESS_STATUS_CODE
    and PROCESS_STATUS.language = ORG.language
    and PROCESS_STATUS.VIEW_APPLICATION_ID  = 602
    and process_status.lookup_type = 'XLA_EVENT_PROCESS_STATUS'  AND ( xe.last_update_date    &gt;= to_date('25-APR-20','DD-MON-RR HH24:MI:SS') )  ) unacc_trx where unacc_trx.language in ('US')  )
    	PIVOT(max(OPERATING_UNIT) as OPERATING_UNIT, max(EVENT_STATUS_DESC) as EVENT_STATUS_DESC, max(PROCESS_STATUS_DESC) as PROCESS_STATUS_DESC
        , max(EVENT_TYPE_DESC) as EVENT_TYPE_DESC
  for LANGUAGE in ('US' "US"))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</si>
  <si>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--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xal.CODE_COMBINATION_ID = cc.CODE_COMBINATION_ID
  and led.CHART_OF_ACCOUNTS_ID = cc.CHART_OF_ACCOUNTS_ID
  and cc.ENABLED_FLAG = 'Y' AND ( xe.last_update_date    &gt;= to_date('25-APR-20','DD-MON-RR HH24:MI:SS') 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</si>
  <si>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   GL_CODE_COMBINATIONS cc,
   xla_distribution_links xdl,
   xla_transaction_entities xte,
   xla_events xe,
   xla_ae_headers xah,
   xla_ae_lines xal,
   gl_ledgers led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--   AND xah.GL_TRANSFER_STATUS_CODE &lt;&gt; 'Y'
   AND XAH.EVENT_ID = XE.EVENT_ID
   AND XAH.APPLICATION_ID = XE.APPLICATION_ID
   and xal.DISPLAYED_LINE_NUMBER &gt;=0
   AND Led.Ledger_Id  = acra.Set_Of_Books_Id
   AND xal.CODE_COMBINATION_ID = cc.CODE_COMBINATION_ID
   and led.CHART_OF_ACCOUNTS_ID = cc.CHART_OF_ACCOUNTS_ID
   and cc.ENABLED_FLAG = 'Y'  AND ( xe.last_update_date    &gt;= to_date('25-APR-20','DD-MON-RR HH24:MI:SS') ) </t>
  </si>
  <si>
    <t xml:space="preserve"> SELECT acra.cash_receipt_id||'-'||acrha.CASH_RECEIPT_HISTORY_ID||'-'||xe.EVENT_ID||'-'||xe.EVENT_NUMBER as ECC_SPEC_ID
    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--	AND xe.event_status_code = 'U'
    AND xe.process_status_code &lt;&gt; 'U'
    AND xte.ENTITY_ID = xe.ENTITY_ID
    AND Led.Ledger_Id  = acra.Set_Of_Books_Id
    and acra.org_id =org.Organization_Id
	and xe.application_id  = xte.application_id  AND ( xe.last_update_date    &gt;= to_date('25-APR-20','DD-MON-RR HH24:MI:SS') ) </t>
  </si>
  <si>
    <t xml:space="preserve">SELECT /*+ LEADING(ps) */
                                 'ECC_SPEC_ID' as ATTRIBUTE_NAME,
                                   rct.customer_trx_id as ATTRIBUTE_VALUE,
                                  'LIKE' AS OPERATOR  from
    gl_period_statuses ps,
    ra_customer_trx_all rct,
    ra_cust_trx_line_gl_dist_all ragd,
	ra_cust_trx_types_all rctt,
    AR_PAYMENT_SCHEDULES_ALL arp,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--   AND xah.GL_TRANSFER_STATUS_CODE &lt;&gt; 'Y'
	and xah.ACCOUNTING_ENTRY_STATUS_CODE &lt;&gt; 'N'
    and xal.DISPLAYED_LINE_NUMBER &gt;=0
    AND XE.EVENT_ID = XAH.EVENT_ID
    AND XAH.APPLICATION_ID = XE.APPLICATION_ID
    AND Led.Ledger_Id  = rct.Set_Of_Books_Id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to_date('25-APR-20','DD-MON-RR HH24:MI:SS') ) </t>
  </si>
  <si>
    <t xml:space="preserve">SELECT
                      rct.customer_trx_id||'-'||arp.PAYMENT_SCHEDULE_ID||'-'||xe.event_id||'-'||xe.EVENT_NUMBER as ECC_SPEC_ID
                    FROM
                    gl_period_statuses             ps,
                    ra_customer_trx_all            rct,
                    ra_cust_trx_types_all          rctt,
                    ar_payment_schedules_all       arp,
                    xla_transaction_entities   xte,
                    xla_events                 xe,
                    gl_ledgers                     led,
                    hz_cust_accounts               b_bill,
                    hz_parties                     b_bill_party,
                    hz_cust_site_uses_all          u_bill,
                    ra_rules                       rr
                WHERE
                    ps.application_id = 222
                    AND ps.set_of_books_id = rct.set_of_books_id
                    AND xe.event_date BETWEEN ps.start_date AND ps.end_date
                    AND ps.closing_status = 'O'
                    AND rct.complete_flag = 'Y'
                    AND rct.customer_trx_id = arp.customer_trx_id
                    AND rct.cust_trx_type_id = rctt.cust_trx_type_id
                    AND rr.rule_id (+) = rct.invoicing_rule_id
                    AND rct.org_id = rctt.org_id
                    AND xe.application_id = 222
                    AND xte.entity_id = xe.entity_id
                    AND xe.application_id = xte.application_id
                 --   AND xe.event_status_code = 'U'
                    AND xe.process_status_code &lt;&gt; 'U'
                    AND xte.source_application_id = 222
                    AND rct.customer_trx_id = xte.source_id_int_1
                    AND led.ledger_id = rct.set_of_books_id
                    AND rct.bill_to_customer_id = b_bill.cust_account_id
                    AND b_bill.party_id = b_bill_party.party_id
                    AND rct.bill_to_site_use_id = u_bill.site_use_id
                    AND rct.org_id = u_bill.org_id  AND ( xe.last_update_date    &gt;= to_date('25-APR-20','DD-MON-RR HH24:MI:SS') ) </t>
  </si>
  <si>
    <t>select * from (SELECT  /*+ leading(cmreq_v.temp.process_t) full(cmreq_v.temp.process_t) */ DISPUTE_NUMBER
, DISPUTE_REASON
, DISPUTE_REASON_CODE
, DISPUTE_STATUS
, DISPUTE_REQUESTOR
, CURRENCY
, CURRENCY_CODE
, TRANSACTION_NUMBER
, SALESPERSON
, SALES_ORDER
, OPERATING_UNIT
, ACCOUNT_NUMBER
, BILL_TO_CUSTOMER
, BILL_TO_LOCATION
, COLLECTOR
, PROFILE_CLASS
, DISPUTE_DATE
, TRANSACTION_DATE
, DUE_DATE
, ECC_SPEC_ID
, DISPUTE_STATUS_CODE
, DISPUTE_AMOUNT
, TRANSACTION_CLASS
, TRANSACTION_CLASS_CODE
, TRANSACTION_ID
, ECC_LAST_UPDATE_DATE
, ORG_ID
, STATUS
, BILL_TO_CUSTOMER_ID
, BILL_TO_SITE_USE_ID
, TRANSACTION_AMOUNT
, BILL_TO_CONTACT
, SHIP_TO_CUSTOMER
, SHIP_TO_LOCATION
, PURCHASE_ORDER_NUMBER
, DUE_AMOUNT
, PURCHASE_ORDER_DATE
, RECORD_TYPE
, LANGUAGE
  FROM ari_ecc_cmreq_v
  WHERE ( ( to_date(to_char(ECC_LAST_UPDATE_date,'DD-MON-RR HH24:MI:SS'),'DD-MON-RR HH24:MI:SS')   &gt;=  to_date('25-APR-20','DD-MON-RR HH24:MI:SS')
       AND ECC_LAST_UPDATE_DATE &lt; sysdate)) and language in ('US'))
PIVOT(max(SALESPERSON) as SALESPERSON, max(OPERATING_UNIT) as OPERATING_UNIT, max(CURRENCY) as CURRENCY, max(DISPUTE_REASON) as DISPUTE_REASON,
   max(DISPUTE_STATUS) as DISPUTE_STATUS,max(TRANSACTION_CLASS) as TRANSACTION_CLASS
   for LANGUAGE in ('US' "US"))</t>
  </si>
  <si>
    <t>select * from (SELECT ERROR_COUNT
, TYPE
, MESSAGE
, ORG_ID
, OPERATING_UNIT
, LEDGER_CURRENCY
, LEDGER
, ECC_SPEC_ID
, RECORD_TYPE
, LANGUAGE
  FROM ar_ecc_interface_error_v
 WHERE EXISTS
 (SELECT 1
          FROM fnd_concurrent_requests
         WHERE concurrent_program_id = 33048
           AND program_application_id = 222
And ( ( to_date(to_char(actual_completion_date,'DD-MON-RR HH24:MI:SS'),'DD-MON-RR HH24:MI:SS')   &gt;=  to_date('25-APR-20','DD-MON-RR HH24:MI:SS')
       AND actual_completion_date &lt; sysdate))
) and language in ('US')) PIVOT(max(OPERATING_UNIT) as OPERATING_UNIT, max(LEDGER_CURRENCY) as LEDGER_CURRENCY
   for LANGUAGE in ('US' "US"))</t>
  </si>
  <si>
    <t xml:space="preserve">There is SQLException while applying load rule for dataset okl-cash for job 60,469.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</si>
  <si>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 *
FROM    ( SELECT  DISTINCT
                to_char (a.id)
                || to_char (a.ocr_id)
                || to_char (a.error_seq_number) ecc_spec_id
               ,a.error_seq_number
               ,a.error_type
               ,a.error_code
               ,CASE
                WHEN    b.trx_status_code = 'DISCARDED'
                        THEN    NULL
                ELSE    a.error_current_yn END error_current_yn
               ,a.message_text
               ,(SELECT  batch_name
                FROM    okl_ctr_reading_batches_all
                WHERE   id = b.ocb_id) batch_name
               ,(SELECT  source_type_code
                FROM    okl_ctr_reading_batches_all
                WHERE   id = b.ocb_id) channel
               ,b.contract_number
               ,cct.name counter_name
               ,to_char (nvl (okl_meter_util_pvt.get_usage_end_period_date (b.counter_id
                                                                           ,b.khr_id
                                                                           ,b.kle_id
                                                                           ,b.value_timestamp)
                             ,b.value_timestamp)
                        ,'yyyy-mm') reading_period
               ,(SELECT  vendor_name
                FROM    po_vendors
                WHERE   vendor_id = oeu.vendor_id) vendor_name
               ,mit.description usage_item_name
               ,mit.language language_code
               ,mit.organization_id org_id
               ,(
                SELECT  fa.manufacturer_name manufacturer_name
                FROM    fa_categories_b cat
                       ,fa_book_controls fbc
                       ,fa_books fb
                       ,fa_additions_b fa
                       ,fa_methods fm
                       ,okc_k_lines_b cle
                       ,okc_k_items item
                WHERE   item.cle_id = cle.id
                AND     fa.asset_id = to_number (item.object1_id1)
                AND     cat.category_id = fa.asset_category_id
                AND     fbc.book_type_code = fb.book_type_code
                AND     nvl (trunc (fbc.date_ineffective)
                            ,trunc (sysdate) + 1) &gt; trunc (sysdate)
                AND     fb.asset_id = fa.asset_id
                AND     fb.transaction_header_id_out IS NULL
                AND     fb.date_ineffective IS NULL
                AND     fb.deprn_method_code = fm.method_code
                AND     fb.life_in_months = fm.life_in_months
                AND     book_class = 'CORPORATE'
                AND     cle.cle_id = b.kle_id
                ) manufacturer_name
        FROM    okl_ctr_reading_errors a
               ,okl_counter_readings b
               ,okl_ecc_usage_vendor_v oeu
               ,csi_counters_tl cct
               ,mtl_system_items_tl mit
        WHERE   a.ocr_id = b.id
        AND     b.khr_id = oeu.contract_id (+)
        AND     nvl(b.value_timestamp,sysdate)&gt;(sysdate -365*nvl(fnd_profile.value ('OKL_ECC_MM_HIST_YEARS'),1))
        AND     cct.counter_id = b.counter_id
        AND     mit.inventory_item_id = b.usage_item_id
        AND     mit.language = cct.language
	AND     mit.language in ('US')
        AND     (((oeu.asset_line_id IS NULL) OR (b.kle_id = oeu.asset_line_id)) AND
                ((oeu.usage_item_id IS NULL) OR (b.usage_item_id = oeu.usage_item_id)))
        AND     a.ocr_id IN (
                SELECT  oce.ocr_id
                FROM    okl_ctr_reading_errors oce
                       ,okl_counter_readings ocr
                WHERE   oce.ocr_id = ocr.id
		AND   (to_Date(oce.last_update_Date,'dd-mon-yyyy') &gt;=  to_Date('25-APR-20','dd-mon-yyyy') or to_Date(ocr.last_update_Date,'dd-mon-yyyy') &gt;=  to_Date('25-APR-20','dd-mon-yyyy') or (SELECT max(to_date(last_update_date,'dd-mon-yyyy')) FROM csi_counter_readings WHERE counter_id = ocr.counter_id) &gt;=to_Date('25-APR-20','dd-mon-yyyy')
         ))
        ORDER BY ecc_spec_id ASC
                ,error_seq_number ASC
        ) pivot (max(usage_item_name) as usage_item_name, max(counter_name) as counter_name for language_code in('US' "US"))</t>
  </si>
  <si>
    <t>select * from (
				SELECT  'OKL - '|| to_char (ccr.khr_id)|| to_char (crb.id) ecc_spec_id
				       ,'OKL' record_type
				       ,ccr.contract_number
				       ,ccr.khr_id
				       ,crb.id batch_id
				       ,crb.batch_name
				       ,crb.batch_reference_external
				       ,crb.batch_date
				       ,flv.meaning batch_status_code
                		       ,decode (crb.batch_reference_external,NULL,flv2.lookup_code ,crb.batch_reference_external) reading_source_code
				       ,crb.batch_status_code batch_status
				       ,decode(crb.batch_reference_external,null,flv2.meaning,crb.batch_reference_external) source_type_code
				       ,pov.vendor_name
				       ,oeu.vendor_id vendor_id
				       ,pov.segment1 vendor_number
				       ,(SELECT count(1) FROM okl_counter_readings ccr WHERE ccr.ocb_id = crb.id) total_reads
				       ,(SELECT count(1) FROM okl_counter_readings ccr WHERE ccr.ocb_id = crb.id AND ccr.trx_status_code = 'PROCESSED') total_passed
				       ,(SELECT count(1) FROM okl_counter_readings ccr WHERE ccr.ocb_id = crb.id AND ccr.trx_status_code = 'ERROR') total_error
				       ,(SELECT count(1) FROM okl_counter_readings ccr WHERE ccr.ocb_id = crb.id AND ccr.trx_status_code IN ('PASSED','PENDING')) total_pending
				       ,(SELECT count(1) FROM okl_counter_readings ccr WHERE ccr.ocb_id = crb.id AND ccr.trx_status_code = ('DISCARDED')) total_discarded
				       ,(SELECT count(1) FROM okl_counter_readings ccr WHERE ccr.ocb_id = crb.id AND ccr.trx_status_code = ('WARNING')) total_warning
				       ,flv1.description update_reads
				       ,(SELECT  inv_organization_id FROM    okc_k_headers_all_b  WHERE   id = ccr.khr_id) org_id
				        ,flv.language language_code
				FROM    okl_ctr_reading_batches_all crb
				       ,okl_counter_readings ccr
				       ,okl_ecc_usage_vendor_v oeu
				       ,po_vendors pov
				       ,fnd_lookup_values flv
				       ,fnd_lookup_values flv1
				       ,fnd_lookup_values flv2
				WHERE   crb.id (+) = ccr.ocb_id
				AND     oeu.contract_id (+) = ccr.khr_id
				AND     oeu.asset_line_id (+) = ccr.kle_id
				AND     pov.vendor_id (+) = oeu.vendor_id
				AND     flv.LOOKUP_TYPE ='OKL_METER_READS_STATUS_TYPE'
				AND     flv.LOOKUP_CODE = crb.batch_status_code
				and     nvl(flv.END_DATE_ACTIVE,sysdate+1) &gt;= sysdate
				AND     flv1.LOOKUP_TYPE ='OKL_ECC_ACTION_EVENTS'
				AND     flv1.LOOKUP_CODE = 'UPDATE'
				and     nvl(flv1.END_DATE_ACTIVE,sysdate+1) &gt;= sysdate
				AND     flv2.LOOKUP_TYPE = 'OKL_ECC_MM_SRC_MAPING'
				AND     flv2.LOOKUP_CODE = crb.source_type_code
				and     nvl(flv2.END_DATE_ACTIVE,sysdate+1) &gt;= sysdate
				AND     flv2.language = flv1.language
				AND     flv.language = flv1.language(+)
				AND     flv.language in ('US')
                                AND     nvl (ccr.value_timestamp,batch_date)&gt; (sysdate -365*nvl(fnd_profile.value ('OKL_ECC_MM_HIST_YEARS'),1))
				AND (to_date(CRB.last_update_Date,'dd-mon-yyyy') &gt;=  to_Date('25-APR-20','dd-mon-yyyy') or to_date(CCR.last_update_Date,'dd-mon-yyyy') &gt; to_date('25-APR-20','dd-mon-yyyy') or (select max(to_Date(last_update_Date,'dd-mon-yyyy')) from csi_counter_Readings where counter_id = ccr.counter_id) &gt;=  to_date('25-APR-20','dd-mon-yyyy') or (select max( to_Date(last_update_Date,'dd-mon-yyyy')) from okl_ctr_reading_errors where ocr_id = ccr.id)&gt;=  to_date('25-APR-20','dd-mon-yyyy'))
				GROUP BY ccr.contract_number
				        ,ccr.khr_id
				        ,crb.id
				        ,crb.batch_name
				        ,crb.batch_reference_external
				        ,crb.batch_date
				        ,flv.meaning
				        ,crb.source_type_code
				        ,pov.vendor_name
				        ,oeu.vendor_id
				       ,flv1.description
				       ,flv2.meaning
				       ,crb.batch_status_code
				       ,flv2.lookup_code
				       ,pov.segment1,flv.language)
					pivot
					(max(batch_status_code) as batch_status_code,
					max(source_type_code) as source_type_code ,
					max(update_reads) as update_reads for language_code in('US' "US"))</t>
  </si>
  <si>
    <t xml:space="preserve">select * from
	(SELECT
        'PSI_PROJ_TASK_DS_SETUP' record_type,
        'PSI_PROJ_TASK_'
        || TO_CHAR(accum.org_id)
        || '-'
        || TO_CHAR(accum.project_id)
        || '-'
        || TO_CHAR(accum.task_id) ecc_spec_id,
        accum.project_id,
        accum.segment1 project_number,
        accum.name project_name,
        accum.org_id,
        accum.operating_unit,
        (
            SELECT
                name
            FROM
                hr_all_organization_units_tl o2
            WHERE
                o2.language = accum.language
                AND o2.organization_id = accum.proj_carry_out_org_id
        ) project_organization,
        accum.projfunc_currency_code currency,
        accum.project_status_name project_status,
        pa_utils.get_lookup_values('PROJECT_SYSTEM_STATUS',accum.project_system_status_code,accum.language) project_status_code,
        accum.project_type project_type,
        pa_utils.get_lookup_values('PROJECT TYPE CLASS',accum.project_type_class_code,accum.language) project_type_class,
        accum.project_type_class_code project_type_class_code,
        pa_project_parties_utils.get_project_manager_name(accum.project_id) project_manager,
        accum.start_date project_start_date,
        accum.completion_date project_completion_date,
        DECODE(accum.task_id,0,NULL,accum.task_id) task_id,
        accum.task_number,
        accum.task_name,
        accum.top_task_id,
        (
            SELECT
                task_name
            FROM
                pa_tasks pt1
            WHERE
                pt1.task_id = accum.top_task_id
        ) top_task_name,
        (
            SELECT
                task_number
            FROM
                pa_tasks pt1
            WHERE
                pt1.task_id = accum.top_task_id
        ) top_task_number,
        accum.parent_task_id,
        (
            SELECT
                task_number
            FROM
                pa_tasks pt2
            WHERE
                pt2.task_id = accum.parent_task_id
        ) parent_task_number,
        (
            SELECT
                task_name
            FROM
                pa_tasks pt2
            WHERE
                pt2.task_id = accum.parent_task_id
        ) parent_task_name,
        accum.wbs_level,
        DECODE(accum.task_id,0,NULL,DECODE(pa_task_utils.check_child_exists(accum.task_id),1,'Y',0,'N')) check_child_exists,
        accum.task_start_date,
        accum.task_completion_date,
        (
            SELECT
                per.full_name
            FROM
                per_all_people_f per
            WHERE
                per.person_id (+) = accum.task_manager_person_id
                AND trunc(SYSDATE) BETWEEN per.effective_start_date (+) AND per.effective_end_date (+)
        ) task_manager,
        (
            SELECT
                name
            FROM
                hr_all_organization_units_tl o3
            WHERE
                o3.language = accum.language
                AND o3.organization_id = accum.task_carry_out_org_id
        ) task_organization,
        accum.billable_flag billable_flag,
        (
            SELECT
                ind_rate_sch_name
            FROM
                pa_ind_rate_schedules
            WHERE
                ind_rate_sch_id = accum.cost_ind_rate_sch_id
        ) burden_schedule,
        DECODE(accum.project_type_class_code,'CONTRACT',pa_utils.get_lookup_values('YES_NO',accum.billable_flag,accum.language) ) is_task_billable,
        DECODE(accum.project_type_class_code,'CAPITAL',pa_utils.get_lookup_values('YES_NO',accum.billable_flag,accum.language) ) is_task_capitalizable,
        nvl(accum.expenditure_budget_tot,0) expenditure_budget_tot,
        nvl(accum.expenditure_budget_itd,0) expenditure_budget_itd,
        nvl(accum.raw_cost,0) raw_cost,
        nvl(accum.burdened_cost,0) burdened_cost,
        accum.labor_hrs labor_hours,
        DECODE(accum.project_type_class_code,'CAPITAL',DECODE(accum.capital_cost_type_code,'R',nvl(accum.billable_raw_cost,0),nvl(accum.billable_brdn_cost,0)) ) capitalizable_cost,
        nvl(accum.revenue_budget_tot,0) revenue_budget_tot,
        nvl(accum.revenue_budget_itd,0) revenue_budget_itd,
		nvl(accum.commitment_amount,0) commitment_amount,
        nvl(accum.billable_raw_cost,0) billable_raw_cost,
        nvl(accum.billable_brdn_cost,0) billable_burden_cost,
        DECODE(accum.capital_cost_type_code,'R',nvl(accum.billable_raw_cost,0),nvl(accum.billable_brdn_cost,0)) billable_cost,
        accum.fin_perc_cmplt,
        accum.est_to_cmplt,
        accum.budget_cost_variance,
        accum.summarization_exception,
		accum.last_update_date,
        accum.language
      FROM
     (
 SELECT
            p.org_id,
            p.project_id,
            p.project_type,
            p.name,
            p.segment1,
            p.pji_source_flag,
            p.project_status_code,
            p.carrying_out_organization_id proj_carry_out_org_id,
            p.start_date,
            p.completion_date,
            p.projfunc_currency_code,
            pah.task_id,
            NULL task_number,
            NULL task_name,
            NULL top_task_id,
            NULL parent_task_id,
            0 wbs_level,
            NULL task_start_date,
            NULL task_completion_date,
            NULL task_manager_person_id,
            NULL task_carry_out_org_id,
            NULL billable_flag,
            NULL 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            AND p.project_id = pah.project_id
            AND pah.resource_list_id = 0
			AND pah.task_id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(greatest(pah.last_update_date, nvl(paa.last_update_date,pah.last_update_date), nvl(m.last_update_date,pah.last_update_date),
			         nvl(pabc.last_update_date,pah.last_update_date), nvl(pabr.last_update_date,pah.last_update_date)) &gt;= '25-APR-20'
				OR exists (select 1 from pa_expenditure_items_all ei where ei.project_id = p.project_id and ei.last_update_date &gt;= '25-APR-20'))
        UNION
 SELECT
            p.org_id,
            p.project_id,
            p.project_type,
            p.name,
            p.segment1,
            p.pji_source_flag,
            p.project_status_code,
            p.carrying_out_organization_id,
            p.start_date,
            p.completion_date,
            p.projfunc_currency_code,
            t.task_id,
            t.task_number,
            t.task_name,
            t.top_task_id,
            t.parent_task_id,
            t.wbs_level,
            t.start_date task_start_date,
            t.completion_date task_completion_date,
            t.task_manager_person_id,
            t.carrying_out_organization_id task_carry_out_org_id,
            t.billable_flag billable_flag,
            t.cost_ind_rate_sch_id,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			pa_tasks t,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			AND p.project_id = t.project_id
            AND t.project_id = pah.project_id (+)
            AND t.task_id = pah.task_id (+)
            AND pah.resource_list_id (+)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(exists ( SELECT 1
						  FROM
						      pa_project_accum_headers pah1,
						      pa_project_accum_budgets pab1,
						      pa_project_accum_actuals paa1,
						      pa_project_accum_commitments m1
						  WHERE
						      pah1.project_id = p.project_id
						      AND pah1.resource_list_id = 0
						      AND pah1.task_id = 0
						      AND pah1.project_accum_id = pab1.project_accum_id (+)
						      AND pah1.project_accum_id = paa1.project_accum_id (+)
						      AND pah1.project_accum_id = m1.project_accum_id (+)
						      AND pab1.budget_type_code (+) in ('AC','AR')
						      AND greatest(pah1.last_update_date, nvl(paa1.last_update_date,pah1.last_update_date), nvl(m1.last_update_date,pah1.last_update_date),
						  	         nvl(pab1.last_update_date,pah1.last_update_date)) &gt;= '25-APR-20')
				OR exists (select 1 from pa_expenditure_items_all ei where ei.project_id = p.project_id and ei.last_update_date &gt;= '25-APR-20'))
			) accum
) PIVOT (
max(OPERATING_UNIT) as OPERATING_UNIT,
max(PROJECT_ORGANIZATION) as PROJECT_ORGANIZATION,
max(PROJECT_STATUS_CODE) as PROJECT_STATUS_CODE,
max(PROJECT_TYPE_CLASS) as PROJECT_TYPE_CLASS,
max(TASK_ORGANIZATION) as TASK_ORGANIZATION,
max(IS_TASK_BILLABLE) as IS_TASK_BILLABLE,
max(IS_TASK_CAPITALIZABLE) as IS_TASK_CAPITALIZABLE
for LANGUAGE in ('US' "US")) 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</si>
  <si>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to_timestamp('25-APR-20 03.55.36.000000 PM')
     OR ppa.last_update_date &gt;= to_timestamp('25-APR-20 03.55.36.000000 PM')
     OR ppal.last_update_date &gt;= to_timestamp('25-APR-20 03.55.36.000000 PM')
	 OR EXISTS (select 1 from pa_expenditure_items_all peial
	            where peial.project_id = pp.project_id
				and peial.last_update_date &gt; to_timestamp('25-APR-20 03.55.36.000000 PM'))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to_timestamp('25-APR-20 03.55.36.000000 PM')
    OR EXISTS (select 1 from pa_expenditure_items_all peial
	           where peial.project_id = pp.project_id
			   and peial.last_update_date &gt; to_timestamp('25-APR-20 03.55.36.000000 PM'))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</si>
  <si>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SELECT
                            AH.AUCTION_HEADER_ID||'-'||NEG_TEAM.USER_ID||'-'||PITMDS.LINE_NUMBER||'-'
                            ||pbh.bid_number||'-'||pbip.LINE_NUMBER AS ecc_spec_id
                            FROM
                              pon_auction_headers_all AH,
                              pon_auction_item_prices_all PITMDS,
                              pon_neg_team_members NEG_TEAM,
                              pon_bid_headers pbh,
                              pon_bid_item_prices pbip
                            WHERE
                            PITMDS.auction_header_id(+)= AH.auction_header_id
                            AND NEG_TEAM.auction_header_id(+)= AH.auction_header_id
                            AND pbh.auction_header_id(+)= AH.auction_header_id
                            AND pbip.bid_number(+)=pbh.bid_number
                            AND pbh.bid_status &lt;&gt; 'ACTIVE'
                            AND greatest(AH.last_update_date,PITMDS.last_update_date,NEG_TEAM.last_update_date,pbh.last_update_date) &gt;
                            to_date(to_char(to_timestamp('25-APR-20'),'DD-MON-YY HH24.MI.SS'),'DD-MON-YY HH24.MI.SS')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</si>
  <si>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to_date(to_char(to_timestamp('25-APR-20'),'DD-MON-YY HH24.MI.SS'),'DD-MON-YY HH24.MI.SS'))
          or (AH.CLOSE_BIDDING_DATE between to_date(to_char(to_timestamp('25-APR-20'),'DD-MON-YY HH24.MI.SS'),'DD-MON-YY HH24.MI.SS')
                                      and to_date(to_char(to_timestamp('26-APR-20'),'DD-MON-YY HH24.MI.SS'),'DD-MON-YY HH24.MI.SS'))
         or (AH.OPEN_BIDDING_DATE between to_date(to_char(to_timestamp('25-APR-20'),'DD-MON-YY HH24.MI.SS'),'DD-MON-YY HH24.MI.SS')
                                      and to_date(to_char(to_timestamp('26-APR-20'),'DD-MON-YY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</si>
  <si>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to_date(to_char(to_timestamp('25-APR-20'),'DD-MON-YY HH24.MI.SS'),'DD-MON-YY HH24.MI.SS'))
          or (AH.CLOSE_BIDDING_DATE between to_date(to_char(to_timestamp('25-APR-20'),'DD-MON-YY HH24.MI.SS'),'DD-MON-YY HH24.MI.SS')
                                      and to_date(to_char(to_timestamp('26-APR-20'),'DD-MON-YY HH24.MI.SS'),'DD-MON-YY HH24.MI.SS'))
         or (AH.OPEN_BIDDING_DATE between to_date(to_char(to_timestamp('25-APR-20'),'DD-MON-YY HH24.MI.SS'),'DD-MON-YY HH24.MI.SS')
                                      and to_date(to_char(to_timestamp('26-APR-20'),'DD-MON-YY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</si>
  <si>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
select * from (
SELECT
auction_header_id||'-'||duration_code  ECC_SPEC_ID,
auction_header_id,
document_number,
auction_status_code,
duration_type,
duration,
org_id,
SECURITY_LEVEL_CODE as SECURITY_LEVEL_CODE_CODE,
CURRENCY_CODE,
PON_PCC_NEGOTIATIONS_UTIL_PVT.GET_NEG_TOTAL_AMOUNT(auction_header_id) NEGOTIATION_AMOUNT,
PON_PCC_NEGOTIATIONS_UTIL_PVT.get_authorized_userids(auction_header_id) AS AUTHORIZED_USER_IDS,
language
FROM (
SELECT
ah.auction_header_id,
ah.document_number,
ah.auction_status auction_status_code,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pon_pcc_negotiations_util_pvt.get_fnd_message('PON_PCC_DRAFT_TIME','396',HROU.language) as draft_type,
'DRAFT_TIME' as draft_type_code,
pon_pcc_negotiations_util_pvt.get_fnd_message('PON_PCC_BID_TIME','396',HROU.language) as bid_Type,
'BID_TIME' as bid_Type_code,
pon_pcc_negotiations_util_pvt.get_fnd_message('PON_PCC_ANALYZE_TIME','396',HROU.language) as analyze_type,
'ANALYZE_TIME' as analyze_type_code,
pon_pcc_negotiations_util_pvt.get_fnd_message('PON_PCC_AWARD_TIME','396',HROU.language) as award_type,
'AWARD_TIME' as award_type_code,
ah.org_id,
ah.SECURITY_LEVEL_CODE,
ah.currency_code,
hrou.language
FROM
pon_auction_headers_all ah,
PON_AUC_DOCTYPES DOC,
HR_ALL_ORGANIZATION_UNITS_TL HROU
where
hrou.organization_id (+) = ah.org_id
AND HROU.LANGUAGE IN ('US')
AND AH.DOCTYPE_ID = DOC.DOCTYPE_ID
AND DOC.INTERNAL_NAME &lt;&gt; 'SOLICITATION'
AND Decode(Nvl(AH.SUPP_REG_QUAL_FLAG, 'N'), 'Y', 'Y','N',
Nvl(AH.SUPP_EVAL_FLAG, 'N'), 'Y', 'Y','N') ='N'
AND AH.CREATION_DATE &gt;= nvl(fnd_date.Canonical_to_date(fnd_profile.Value('PO_PSC_ITEM_SUPP_LOAD_CUT_OFF')),AH.CREATION_DATE)
  AND  AH.LAST_UPDATE_DATE &gt; to_date(to_char(to_timestamp('25-APR-20'),'DD-MON-YY HH24.MI.SS'),'DD-MON-YY HH24.MI.SS')
) ah
unpivot ((duration_type,duration,duration_code) FOR  sol_duration IN ((draft_type,TOTAL_DRAFT_TIME,draft_type_code)AS '1',
                                                           (bid_Type,TOTAL_BID_TIME,bid_Type_code) AS '2',
                                                           (analyze_type,TOTAL_ANALYSE_TIME,analyze_type_code) AS '3' ,
                                                            (award_type,TOTAL_AWARD_TIME,award_type_code ) AS '4'
                                                            ) ) )pivot(Max(duration_type) AS duration_type FOR LANGUAGE IN ('US' "US"))</t>
  </si>
  <si>
    <t>select * from (
SELECT
ecc_spec_id||'-'||duration_type as ecc_spec_id,
grh_po_header_id,
grh_po_num,
grh_buyer_name,
language,
DOC_AUTHORIZED_USER_IDS,
SECURITY_LEVEL_CODE,
ORG_ID,
duration_type,
duration
FROM (
select poh.po_header_id                       AS ecc_spec_id,
poh.po_header_id                                                    AS grh_po_header_id,
poh.segment1    grh_po_num,
(SELECT emp.full_name
 FROM   per_all_people_f emp
 WHERE  emp.person_id = poh.agent_id
 AND ( ( emp.effective_end_date IS NULL )
       OR ( emp.effective_end_date =(SELECT Max(c.effective_end_date)
                                     FROM   per_all_people_f c
                                     WHERE  emp.person_id = c.person_id)
			    )
		  )) 	                                                          AS grh_buyer_name,
houtl.language                                                      AS language,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ORG_ID,
po_pcc_orders_util_pvt.GET_TIME_IN_POOL(poh.po_header_id)           AS time_in_pool,
po_pcc_orders_util_pvt.GET_TIME_IN_SOURCING(poh.po_header_id)       AS time_in_sourcing,
po_pcc_orders_util_pvt.GET_TIME_IN_ORDER_DRAFTING(poh.po_header_id) AS time_in_ord_drafting,
po_pcc_orders_util_pvt.GET_TIME_IN_ORDER_APPROVAL(poh.po_header_id) AS time_in_ord_approval,
po_pcc_orders_util_pvt.get_fnd_message('PO_PCC_ORD_TIME_IN_POOL','201',houtl.language) AS time_in_pool_msg,
po_pcc_orders_util_pvt.get_fnd_message('PO_PCC_ORD_TIME_IN_NEG','201',houtl.language) AS time_in_sourcing_msg,
po_pcc_orders_util_pvt.get_fnd_message('PO_PCC_ORD_TIME_IN_ORD_DRAFT','201',houtl.language) AS time_in_ord_drafting_msg,
po_pcc_orders_util_pvt.get_fnd_message('PO_PCC_ORD_TIME_IN_ORD_APP','201',houtl.language) AS time_in_ord_approval_msg
FROM po_headers_all poh,po_doc_style_headers doc_style, PO_DOCUMENT_TYPES_ALL pdt,
hr_all_organization_units_tl houtl
WHERE poh.type_lookup_code IN ('STANDARD')
AND doc_style.style_id = poh.style_id
AND nvl(doc_style.clm_flag,'N') = 'N'
AND pdt.org_id = poh.org_id
AND pdt.DOCUMENT_TYPE_CODE = 'PO'
AND pdt.DOCUMENT_SUBTYPE = poh.TYPE_LOOKUP_CODE
and houtl.LANGUAGE IN ('US')
AND houtl.organization_id (+) = poh.org_id  and poh.last_update_date &gt; to_date(to_char(to_timestamp('25-APR-20'),'DD-MON-YY HH24.MI.SS'),'DD-MON-YY HH24.MI.SS') ) grp_poh unpivot ((duration_type,duration) FOR  req_duration IN ((time_in_pool_msg,time_in_pool)AS '1',
                                                           (time_in_sourcing_msg,time_in_sourcing) AS '2',
                                                           (time_in_ord_drafting_msg,time_in_ord_drafting) AS '3' ,
                                                            (time_in_ord_approval_msg,time_in_ord_approval ) AS '4'
                                                            ))) pivot(Max(duration_type) AS duration_type FOR LANGUAGE IN ('US' "US"))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</si>
  <si>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gt.KEY=3138046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</si>
  <si>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gt.KEY=3138046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</si>
  <si>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gt.KEY=3138046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</si>
  <si>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gt.KEY=3138046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</si>
  <si>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gt.KEY=3138046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</si>
  <si>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'SUGGESTIONS'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review.review_id suggestion_id,
    review.reviewer_id suggester_id,
    (select full_name from per_all_people_f
      where person_id = review.reviewer_id
        and trunc(sysdate) BETWEEN effective_start_date
                               and effective_end_date) suggester_name,
    review.creation_date suggestion_date,
    review.review_title suggestion_title,
    REPLACE(review.review_comments,'|',',') suggestion_comments,
    nvl(review.status,'O') suggestion_status,
    (select meaning from fnd_lookup_values
      where lookup_type = 'ICX_REVIEW_STATUS_TYPE' and lookup_code = nvl(review.status,'O') AND language= houtl.language) suggestion_status_code,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suggestion_responses,
	(select count(action_id) from po_buyer_actions where entity_type = 'SUGGESTION' and entity_id = review.review_id and status &lt;&gt; 'CLOSED') open_suggestion_action_count,
    (select count(response_id) from icx_rvw_responses where review_id = review.review_id) suggestion_response_count,
	review.purchased_from suggestion_item_purchased_from,
    'No'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'No' has_review_responses,
    decode(
    (select count(action_id) from po_buyer_actions where entity_type = 'SUGGESTION' and entity_id = review.review_id and status &lt;&gt; 'CLOSED'),
    0, 'No', 'Yes') has_suggestion_action_flag,
    decode(
    (select count(response_id) from icx_rvw_responses where review_id = review.review_id),
    0, 'No', 'Yes') has_suggestion_responses,
    --iExpense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fnd_lookup_values_vl
      where lookup_type = 'PO_BUYER_ACTION_STATUS' and lookup_code = pba.status)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PO_PCC_IND_PROC_UTIL_PVT.get_cost_center_for_employee(review.reviewer_id) cost_center,
    review.org_id,
    --(select name from hr_all_organization_units_tl where organization_id = review.org_id and language = userenv('LANG')) org_name,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review.item_id inventory_item_id,
    (select concatenated_segments
       from mtl_system_items_kfv
      where review.item_id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review.vendor_id supplier_id,
    (select VENDOR_NAME from ap_suppliers aps where aps.VENDOR_ID = review.vendor_id) supplier,
    'N'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'NULL' DOC_AUTHORIZED_USER_IDS,
       'Manage Feedback' MANAGE_FEEDBACK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	   po_doc_style_headers doc_style
 where review.review_entity                                         = 'SG'
   and review.org_id                                                = fsp.org_id(+)
   and review.org_id                                                = ctxh.owning_org_id(+)
   --and ctxh.language                                                = houtl.LANGUAGE
   and review.po_line_id                                            = ctxh.po_line_id(+)
   and review.req_template_name                                     = ctxh.req_template_name(+)
   and review.req_template_line_num                                 = ctxh.req_template_line_num(+)
   and review.item_id                                               = ctxh.inventory_item_id(+)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pba.entity_type(+)                                           = 'SUGGESTION'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houtl.organization_id (+) = review.org_id
   AND doc_style.style_id(+) = apoh.style_id
   AND nvl(doc_style.clm_flag,'N') = 'N'
and houtl.language IN ('US')
--Load CutOff Condition
   and review.last_update_date &gt;= nvl(fnd_date.Canonical_to_date(fnd_profile.Value('PO_PSC_ITEM_SUPP_LOAD_CUT_OFF')),review.last_update_date)  AND (pba.last_update_date &gt; '25-APR-20'
                            OR ctxh.last_update_date &gt; '25-APR-20'
                            OR av.last_update_date &gt; '25-APR-20'
                            OR avtlp.last_update_date &gt;  '25-APR-20'
                            OR review.last_update_date &gt;  '25-APR-20'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 ,
        max(suggestion_status_code) AS suggestion_status_code,
        max(CAT_IP_CATEGORY_NAME) AS   CAT_IP_CATEGORY_NAME
        for LANGUAGE in ('US' "US"))</t>
  </si>
  <si>
    <t>select * from (select NULL
    || '-'
    || NULL
    || '-'
    || NULL
    || '-'
    || NULL
    || '-'
    || NULL
    || '-'
    || NULL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replace(PO_PCC_IND_PROC_UTIL_PVT.remove_stop_words(pla.item_description), ' ', UNISTR('|')) std_po_line_desc_for_tag,
    pla.from_header_id std_po_from_header_id,
    pla.from_line_id std_po_from_line_id,
    decode(nvl(pla.from_header_id, pla.contract_id), null, 'Yes', 'No') std_po_line_off_contract,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pla.unit_price std_po_loc_unit_price,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std_po_loc_amount,
    decode(nvl(pla.from_header_id, pla.contract_id), null,
       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    (select min(need_by_date) from po_line_locations_all where po_line_id = pla.po_line_id)  std_po_loc_need_by_date,
    pha.approved_date std_po_loc_approved_date,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spend_amount,
    decode(nvl(pla.from_header_id, pla.contract_id), null, 'Off-Contract', 'Contract') spend_type,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PO_PCC_IND_PROC_UTIL_PVT.get_cost_center_for_po(pla.po_line_id)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PO_PCC_IND_PROC_UTIL_PVT.get_doc_authorized_userIds('POPA', pha.TYPE_LOOKUP_CODE, pha.AUTHORIZATION_STATUS,
	pha.org_id, pha.AGENT_ID, pha.PO_HEADER_ID)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extract(YEAR from pha.approved_date) spend_year
  from po_buyer_actions pba,
       po_lines_all pla,
       po_headers_all pha,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
 where (
             ( pba.entity_type                                      = 'PO_HEADER'
           and pba.entity_id                                        = pla.po_header_id
             )
    or       ( pba.entity_type                                      = 'PO_LINE'
           and pba.entity_id                                        = pla.po_line_id
             )
       )
   and pha.po_header_id                                             = pla.po_header_id
   and pha.type_lookup_code                                         = 'STANDARD'
   and pla.org_id                                                   = fsp.org_id(+)
   and pla.from_header_id                                           = ctxh.po_header_id(+)
   and pla.from_line_id                                             = ctxh.po_line_id(+)
   and pla.org_id                                                   = ctxh.org_id(+)
   and ctxh.req_template_name(+)                                    = '-2'
   and ctxh.req_template_line_num(+)                                = -2
   and ctxh.language                                            = houtl.LANGUAGE(+)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pla.from_header_id                                           = apol.po_header_id(+)
   and pla.from_line_id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 houtl.organization_id (+) = ctxh.owning_org_id
   AND doc_style.style_id(+) = pha.style_id
   AND nvl(doc_style.clm_flag,'N') = 'N'
   and houtl.language IN ('US')
--Load CutOff Condition
   and pha.last_update_date &gt;= nvl(fnd_date.Canonical_to_date(fnd_profile.Value('PO_PSC_ITEM_SUPP_LOAD_CUT_OFF')),pha.last_update_date)  AND (pba.last_update_date &gt; '25-APR-20'
                            OR ctxh.last_update_date &gt; '25-APR-20'
                            OR av.last_update_date &gt; '25-APR-20'
                            OR avtlp.last_update_date &gt;  '25-APR-20'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</si>
  <si>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||'...',ctxh.req_template_name),'INTERNAL_TEMPLATE',DECODE(least(LENGTH(ctxh.req_template_name) , 20),20,SUBSTR(ctxh.req_template_name,1,17)
        ||'...',ctxh.req_template_name),'QUOTATION',ICX_CAT_UTIL_PVT.get_message('ICX_CAT_QUOTATION_SOURCE','NUMBER',ctxh.document_number) ,
        'BLANKET',ICX_CAT_UTIL_PVT.get_message('ICX_CAT_BLANKET_SOURCE','NUMBER',ctxh.document_number),'GLOBAL_BLANKET',
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Least(pha.end_date, pla.expiration_date),
         Nvl(pha.end_date, pla.expiration_date)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pha.amount_limit agreement_amount_limit,
    NVL(pha.blanket_total_amount,0) agreed_agreement_amount,
    NVL(pla.committed_amount,0)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ctxh.org_id,
    --(select name from hr_all_organization_units_tl where organization_id = ctxh.org_id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 houtl.language) line_type,
    pha.currency_code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  PO_PCC_IND_PROC_UTIL_PVT.get_doc_authorized_userIds('POPA', pha.TYPE_LOOKUP_CODE, pha.AUTHORIZATION_STATUS,
	pha.org_id, pha.AGENT_ID, pha.PO_HEADER_ID) DOC_AUTHORIZED_USER_IDS,
    NULL project_ids,
    'N' is_proj_ref_on_po,
	(SELECT lkp.meaning
          FROM   fnd_lookup_values lkp
          WHERE  lkp.lookup_type = 'PO_DOCUMENT_CREATION_METHOD'
                 AND lkp.LANGUAGE =  houtl.language
                 AND lkp.lookup_code = pha.document_creation_method) document_creation_method,
    (CASE
	 WHEN NVL(pha.authorization_status,'INCOMPLETE') IN ('INCOMPLETE','IN PROCESS','PRE-APPROVED')
		OR EXISTS (SELECT 1
				  FROM po_change_requests
				  WHERE document_header_id = pha.po_header_id
				  and request_status = 'PENDING')
		OR 	SYSDATE  &gt;= pha.end_date - 30
		OR PO_CORE_S.get_total(Decode(pha.type_lookup_code,'BLANKET','GA','GC'), pha.po_header_id) &gt;=
		   (pha.amount_limit * 0.9)
		OR pha.end_date &lt;= SYSDATE
		OR  PO_CORE_S.get_total(Decode(pha.type_lookup_code,'BLANKET','GA','GC'), pha.po_header_id) =
		    pha.amount_limit
		OR exists (select 1 from po_buyer_actions
	             WHERE Trunc(Nvl(completion_date,SYSDATE )) - Trunc(TARGET_DATE)   &gt; 0
                 and status  &lt;&gt; 'CLOSED'  and entity_type = 'PA_HEADER' and entity_id =pha.po_header_id)
     THEN  'Y'
	 ELSE 'N'
 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null performance_date,
	   null ontime_delivery_rating,
       null quality_rating,
       null price_comp_rating ,
    houtl.language
  from po_buyer_actions pba,
       icx_cat_items_ctx_hdrs_tlp ctxh,
       icx_cat_attribute_values av,
       icx_cat_attribute_values_tlp avtlp,
       po_lines_all pla,
       po_headers_all pha,
       financials_system_params_all fsp,
       hr_all_organization_units_tl houtl,
	   po_doc_style_headers doc_style
 where (
             ( pba.entity_type                                      = 'PA_HEADER'
           and pba.entity_id                                        = pla.po_header_id
             )
    or       ( pba.entity_type                                      = 'PA_LINE'
           and pba.entity_id                                        = pla.po_line_id
             )
       )
   and 'Y'                                                          = pha.global_agreement_flag
   and pha.po_header_id                                             = pla.po_header_id
   and pla.org_id                                                   = fsp.org_id(+)
   and ctxh.po_line_id(+)                                           = pla.po_line_id
   and ctxh.po_header_id(+)                                         = pla.po_header_id
   and ctxh.org_id(+)                                               = pla.org_id
   and ctxh.language                                                = houtl.LANGUAGE(+)
   and ctxh.req_template_name(+)                                    = '-2'
   and ctxh.req_template_line_num(+)                                = -2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AND houtl.organization_id (+) = ctxh.owning_org_id
   AND doc_style.style_id(+) = pha.style_id
   AND nvl(doc_style.clm_flag,'N') = 'N'
   and houtl.language IN ('US')
 --Load CutOff Condition
   and pha.last_update_date &gt;= nvl(fnd_date.Canonical_to_date(fnd_profile.Value('PO_PSC_ITEM_SUPP_LOAD_CUT_OFF')),pha.last_update_date)  AND (pba.last_update_date &gt; '25-APR-20'
                              OR ctxh.last_update_date &gt; '25-APR-20'
                              OR av.last_update_date &gt; '25-APR-20'
                              OR avtlp.last_update_date &gt;  '25-APR-20'
                              OR pla.last_update_date &gt; '25-APR-20'
                              OR pha.last_update_date &gt; '25-APR-20'
              ))
     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    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</si>
  <si>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plla.line_location_id
    || '-'
    || NULL
    || '-'
    || NULL
    || '-'
    || NULL
    || '-'
    || NULL
    || '-'
    || NULL
    || '-'
    || NULL
    || '-'
    || 'STANDARD_PO'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VENDOR_NAME from ap_suppliers aps where aps.VENDOR_ID = pha.VENDOR_ID)  review_supplier,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replace(psgt.char1, ' ', UNISTR('|')) std_po_line_desc_for_tag,
    pla.from_header_id std_po_from_header_id,
    pla.from_line_id std_po_from_line_id,
    decode(nvl(pla.from_header_id, pla.contract_id), null, 'Yes', 'No') std_po_line_off_contract,
    plla.line_location_id std_po_line_location_id,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plla.quantity_cancelled std_po_loc_quantity_cancelled,
    plla.unit_meas_lookup_code std_po_loc_uom,
    (select uom_code from mtl_units_of_measure_tl WHERE unit_of_measure = plla.unit_meas_lookup_code and language =  houtl.language) std_po_loc_uom_code,
    pla.unit_price std_po_loc_unit_price,
    psgt.num1 std_po_loc_amount,
    decode(nvl(pla.from_header_id, pla.contract_id), null,
           psgt.num1,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	(select min(need_by_date) from po_line_locations_all where po_line_id = pla.po_line_id)  std_po_loc_need_by_date,
    plla.ship_to_location_id std_po_ship_location_id,
    (select loc_tl.location_code
       from hr_locations_all_tl loc_tl
      where plla.ship_to_location_id = loc_tl.location_id
        and loc_tl.language =  houtl.language
    ) std_po_ship_location,
	plla.quantity_received  std_po_loc_received_quantity,
	plla.quantity_rejected  std_po_loc_rejected_quantity,
    pha.approved_date std_po_loc_approved_date,
     psgt.num1 spend_amount,
    decode(nvl(pla.from_header_id, pla.contract_id), null, 'Off-Contract', 'Contract') spend_type,
    --action items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psgt.char2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psgt.char3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 houtl.language
                 AND lkp.lookup_code = pha.document_creation_method 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 THEN  'Y'
	 ELSE 'N'
    END )   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 houtl.language,
        extract(YEAR from pha.approved_date) spend_year
  from po_lines_all pla,
       po_headers_all pha,
       po_line_locations_all plla,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 ,
     po_session_gt psgt
 where pha.po_header_id                                             = pla.po_header_id
   and pla.po_line_id                                               = plla.po_line_id(+)
   and pha.type_lookup_code                                         = 'STANDARD'
   and pla.from_header_id                                           = ctxh.po_header_id(+)
   and pla.from_line_id                                             = ctxh.po_line_id(+)
   and pla.org_id                                                   = fsp.org_id(+)
   and pla.org_id                                                   = ctxh.org_id(+)
   and ctxh.req_template_name(+)                                    = '-2'
   and ctxh.req_template_line_num(+)                                = -2
   and Nvl(ctxh.LANGUAGE,houtl.LANGUAGE)                            = houtl.LANGUAGE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pla.from_header_id                                           = apol.po_header_id(+)
   and pla.from_line_id                                             = apol.po_line_id(+)
   and apol.po_header_id                                            = apoh.po_header_id(+)
and houtl.language IN ('US')
and (ctxh.po_header_id is null
         or 'Y' = (SELECT global_agreement_flag FROM po_headers_all WHERE po_header_id = ctxh.po_header_id))
   AND houtl.organization_id (+) = pha.org_id
   AND doc_style.style_id(+) = pha.style_id
   AND nvl(doc_style.clm_flag,'N') = 'N'
   AND psgt.index_char1(+) = 'IND_PROC_PO_' || pla.po_header_id ||'_'||  pla.po_line_id
   --Load CutOff Condition
   and pha.last_update_date &gt;= nvl(fnd_date.Canonical_to_date(fnd_profile.Value('PO_PSC_ITEM_SUPP_LOAD_CUT_OFF')),pha.last_update_date)  AND ( ctxh.last_update_date &gt; '25-APR-20'
                        OR av.last_update_date &gt; '25-APR-20'
                        OR avtlp.last_update_date &gt;  '25-APR-20'
                        OR plla.last_update_date &gt; '25-APR-20'
                        OR pla.last_update_date &gt;  '25-APR-20'
                        OR pha.last_update_date &gt;  '25-APR-20'
         ) )
   PIVOT (max(org_name) as Org_name,
        max(cat_source_type_code) as cat_source_type_code,
        max(cat_uom_code) as cat_uom_code,
        max(line_type) as line_type,
        max(cat_manufacturer) AS cat_manufacturer ,
        max(cat_item_description) AS cat_item_description,
        max(cat_long_description) AS cat_long_description,
        max(std_po_loc_uom_code) AS std_po_loc_uom_code,
        max(document_creation_method) AS document_creation_method,
        max(CAT_IP_CATEGORY_NAME) AS   CAT_IP_CATEGORY_NAME,
        max(STD_PO_SHIP_LOCATION) AS   STD_PO_SHIP_LOCATION
        for LANGUAGE in ('US' "US"))</t>
  </si>
  <si>
    <t>select * from (select NULL
       || '-'
       || NULL
       || '-'
       || NULL
       || '-'
       || NULL
       || '-'
       || NULL
       || '-'
       || NULL
       || '-'
       || NULL
       || '-'
       || ai.invoice_id
       || '-'
       || ail.line_number
       || '-'
       || ai.source
       || '-'
       || NULL
       || '-'
       || NULL
       || '-'
       || NULL
       || '-'
       || pba.action_id
       || '-'
       || pba.entity_id
       || '-'
       || pba.entity_type
       || '-'
       || NULL
       || '-'
       || NULL
       || '-'
       || NULL
       || '-'
       || 'iEXPENSE' ecc_spec_id,
       --catalog items
       --iExpense
       ai.invoice_id,
       ai.invoice_num invoice_number,
       ai.invoice_amount,
       ail.line_number invoice_line_number,
       ai.source invoice_source,
       ail.description invoice_description,
       ail.justification invoice_justification,
	     replace(PO_PCC_IND_PROC_UTIL_PVT.remove_stop_words(ail.justification) ,' ',UNISTR('|')) inv_just_split_words_tag,
       nvl(ail.base_amount, ail.amount) invoice_line_amount,
       ail.creation_date invoice_date,
       ail.merchant_name invoice_merchant_name,
       --standard po
       nvl(ail.base_amount, ail.amount) AS spend_amount,
       'iExpense' AS spend_type,
       --action items
       pba.action_id,
       pba.entity_id action_entity_id,
       pba.entity_type action_entity_type,
	   (select meaning from fnd_lookup_values
        where lookup_type = 'PO_BUYER_ACTION_ENTITY_TYPE' and lookup_code = pba.entity_type AND language= houtl.language) action_entity_type_code,
       pba.action_type,
       (select meaning
          from fnd_lookup_values_vl
         where lookup_type = decode(pba.entity_type, 'REVIEW',     'PO_BUYER_REVIEW_ACTIONS',
		                                             'SUGGESTION', 'PO_BUYER_SUGGESTION_ACTIONS',
                                                     'REQ_LINE',   'PO_BUYER_REQ_LINE_ACTIONS',
                                                     'PO_HEADER',  'PO_BUYER_PO_HEADER_ACTIONS',
                                                     'PO_LINE',    'PO_BUYER_PO_LINE_ACTIONS',
                                                     'PA_HEADER',  'PO_BUYER_PA_HEADER_ACTIONS',
                                                     'PA_LINE',    'PO_BUYER_PA_LINE_ACTIONS',   null)
           and lookup_code = pba.action_type
       ) action_type_code,
       pba.description action_description,
       pba.assignee_per_id,
       (select full_name from per_all_people_f
         where person_id = pba.assignee_per_id
           and trunc(sysdate) BETWEEN effective_start_date
                                  and effective_end_date) action_assignee,
       pba.target_date action_due_date,
       pba.status action_status,
       (select meaning from fnd_lookup_values
         where lookup_type = 'PO_BUYER_ACTION_STATUS' and lookup_code = pba.status AND language= houtl.language) action_status_code,
       pba.comments action_comments,
	   (case
		   when Trunc(Nvl(pba.COMPLETION_DATE,SYSDATE )) - Trunc(pba.TARGET_DATE)   &gt; 0
				 and pba.STATUS  &lt;&gt; 'CLOSED'
		   then
			 Trunc(Nvl(pba.COMPLETION_DATE,SYSDATE )) - Trunc(pba.TARGET_DATE)
		   else null
	   end ) action_days_remaining,
       --common
       ail.creation_date spend_date,
       (
       select REPLACE (ppg.group_name,'|',',')
         from per_all_assignments_f paf, pay_people_groups ppg
        where paf.people_group_id = ppg.people_group_id
          and paf.primary_flag = 'Y'
          and trunc(sysdate) between trunc(effective_start_date)
                                 and trunc(effective_end_date)
          and person_id = decode(ai.invoice_type_lookup_code, 'EXPENSE REPORT', (select employee_id from ap_suppliers where vendor_id = ai.vendor_id),
                                                              'PAYMENT REQUEST', ai.paid_on_behalf_employee_id, null)
          and rownum = 1
       ) employee_group,
       PO_PCC_IND_PROC_UTIL_PVT.get_cost_center_for_expense(ail.invoice_id, ail.line_number) cost_center,
       ail.org_id,
       --(select name from hr_all_organization_units_tl where organization_id = ail.org_id and language = userenv('LANG')) org_name,
       houtl.name org_name,
       (select currency_code from gl_sets_of_books where ail.set_of_books_id = set_of_books_id) functional_currency,
       ai.exchange_rate rate,
       ai.exchange_rate_type rate_type,
       ai.exchange_date rate_date,
       ai.invoice_currency_code transaction_currency,
       'N' is_proj_ref_on_po,
    houtl.language,
    extract(YEAR from ail.creation_date) spend_year,
    'NULL' DOC_AUTHORIZED_USER_IDS
  from ap_invoices_all ai,
       ap_invoice_lines_all ail,
       po_buyer_actions pba ,
       hr_all_organization_units_tl houtl
 where ai.source IN ('SelfService', 'XpenseXpress')
   and ai.invoice_id                                                = ail.invoice_id
   and pba.entity_type(+)                                           = 'EXPENSE'
   and pba.entity_id(+)                                             = ai.invoice_id
   AND houtl.organization_id (+) = ail.org_id
   and houtl.language IN ('US')
   --Load CutOff Condition
   and ail.last_update_date &gt;= nvl(fnd_date.Canonical_to_date(fnd_profile.Value('PO_PSC_ITEM_SUPP_LOAD_CUT_OFF')),ail.last_update_date) AND (pba.last_update_date &gt; '25-APR-20'
                            OR ai.last_update_date &gt; '25-APR-20'
                            OR ail.last_update_date &gt; '25-APR-20'
            ) )
   PIVOT (max(org_name) as Org_name,
        max(action_entity_type_code) as action_entity_type_code,
        max(action_type_code) as action_type_code,
        max(action_status_code) as action_status_code
 for LANGUAGE in ('US' "US"))</t>
  </si>
  <si>
    <t xml:space="preserve">select * from (select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'CATALOG_ITEMS'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review.review_id,
    review.reviewer_id,
    (select full_name from per_all_people_f
      where person_id = review.reviewer_id
        and trunc(sysdate) BETWEEN effective_start_date
                               and effective_end_date) reviewer_name,
    review.creation_date review_date,
    review.review_title,
    REPLACE(review.review_comments,'|',',') review_comments,
    review.rating review_rating,
    decode(review.review_entity, 'I', rating, null) review_item_rating,
    decode(review.review_entity, 'S', rating, null) review_supplier_rating,
    review.review_entity,
    (select meaning from fnd_lookup_values
      where lookup_type = 'ICX_REVIEW_ENTITY_TYPE' and lookup_code = review.review_entity AND language= houtl.language) review_for,
    (select VENDOR_NAME from ap_suppliers aps where aps.VENDOR_ID = review.vendor_id) review_supplier,
	review.vendor_id review_supplier_id,
    nvl(review.status,'O') review_status,
    (select meaning from fnd_lookup_values
      where lookup_type = 'ICX_REVIEW_STATUS_TYPE' and lookup_code = nvl(review.status,'O')
        AND language= houtl.language AND view_application_id = 3) review_status_code,
    review.purchased_from review_item_purchased_from,
	(select meaning from fnd_lookup_values
      where lookup_type = 'PO_REVIEW_PURCHASED_FROM_TYPES' and lookup_code = review.purchased_from AND language= houtl.language) review_purchased_from_code,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review_responses,
	(select count(usefull_flag) from icx_review_usefull_dtls where review_id = review.review_id and usefull_flag = 'Y') review_useful_count,
	REPLACE (psgt.char1,' ',UNISTR('|')) review_keywords,
	NVL(
        (SELECT 'Yes'
		   FROM icx_rvw_reviews
		  WHERE review_id    = review.review_id
			AND review_entity IN ('I', 'S')
			AND rating         &lt; 3
        ), 'No') open_poor_rating,
    (select count(action_id) from po_buyer_actions where entity_type = 'REVIEW' and entity_id = review.review_id and status &lt;&gt; 'CLOSED') open_review_action_count,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(select count(response_id) from icx_rvw_responses where review_id = review.review_id) review_response_count,
    (select count(usefull_flag) from icx_review_usefull_dtls where review_id = review.review_id and usefull_flag = 'Y')
    || '/'
    ||
    (select count(usefull_flag) from icx_review_usefull_dtls where review_id = review.review_id and usefull_flag = 'N') usefull_useless,
    apoh.amount_limit agreement_amount_limit,
    NVL(apoh.blanket_total_amount,0) agreed_agreement_amount,
    NVL(apol.committed_amount,0) agreed_line_amount,
    extract(YEAR from review.creation_date) review_year,
    --suggestions
    decode(
    (select count(action_id) from po_buyer_actions where entity_type = 'REVIEW' and entity_id = review.review_id and status &lt;&gt; 'CLOSED'),
    0, 'No', 'Yes')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decode(
    (select count(response_id) from icx_rvw_responses where review_id = review.review_id),
    0, 'No', 'Yes') has_review_responses,
    --iExpense
    --standard po
    --action items
    pba.action_id,
    pba.entity_id action_entity_id,
    pba.entity_type action_entity_type,
	(select meaning from fnd_lookup_values
      where lookup_type = 'PO_BUYER_ACTION_ENTITY_TYPE' and lookup_code = pba.entity_type AND language= houtl.language) action_entity_type_code,
    pba.action_type,
    (select meaning
       from fnd_lookup_values_vl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psgt.char2 cost_center,
    ctxh.org_id,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'N' is_proj_ref_on_po,
  (SELECT lkp.meaning
          FROM   fnd_lookup_values lkp
          WHERE  lkp.lookup_type = 'PO_DOCUMENT_CREATION_METHOD'
                 AND lkp.LANGUAGE = houtl.language
                 AND lkp.lookup_code = apoh.document_creation_method) document_creation_method,
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(SELECT MAX(poh.approved_date)
     FROM   po_headers_all poh,
            po_lines_all pol
     WHERE ctxh.po_line_id = pol.from_line_id
     AND poh.po_header_id    = pol.po_header_id
     and poh.type_lookup_code  = 'STANDARD'
    ) cat_last_used_on,
   psgt.date1 performance_date,
   psgt.num2 ontime_delivery_rating,
   psgt.num3 quality_rating,
   psgt.num4 price_comp_rating,
   houtl.LANGUAGE ,
    psgt.char3 DOC_AUTHORIZED_USER_IDS,
    psgt.num5 purchased_agreement_amount,
    psgt.num6 purchased_line_amount,
    'Update Catalog Item' UPDATE_CATALOG_ITEM,
    'Renegotiate Agreement' RENEGOTIATE_AGREEMENT,
    'Manage Review' MANAGE_REVIEW,
    'View Agreement' VIEW_AGREEMENT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    po_session_gt psgt
 where ctxh.owning_org_id                                           = fsp.org_id
   and ctxh.language                                                = houtl.LANGUAGE(+)
   and ctxh.owning_org_id                                           = review.org_id(+)
   and ctxh.po_line_id                                              = review.po_line_id(+)
   and ctxh.req_template_name                                       = review.req_template_name(+)
   and ctxh.req_template_line_num                                   = review.req_template_line_num(+)
   and ctxh.inventory_item_id                                       = review.item_id(+)
   and review.review_entity(+) &lt;&gt; 'Q'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pba.entity_type(+)                                           = 'REVIEW'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houtl.language IN ('US')
and (ctxh.po_header_id is null
         or 'Y' = (SELECT global_agreement_flag FROM po_headers_all WHERE po_header_id = ctxh.po_header_id))
	AND houtl.organization_id (+) = ctxh.org_id
  AND psgt.index_char1(+) = 'IND_PROC_ITEMS_' || ctxh.po_header_id ||'_'||  ctxh.po_line_id
  AND (psgt.num7 = review.review_id OR psgt.num7 IS NULL)
   --Load CutOff Condition
   and ctxh.last_update_date &gt;= nvl(fnd_date.Canonical_to_date(fnd_profile.Value('PO_PSC_ITEM_SUPP_LOAD_CUT_OFF')),ctxh.last_update_date)  AND (pba.last_update_date &gt; '25-APR-20'
                        OR ctxh.last_update_date &gt; '25-APR-20'
                        OR av.last_update_date &gt; '25-APR-20'
                        OR avtlp.last_update_date &gt;  '25-APR-20'
                        OR review.last_update_date &gt; '25-APR-20'
         ))
   PIVOT (max(org_name) as Org_name,
        max(cat_source_type_code) as cat_source_type_code,
        max(cat_uom_code) as cat_uom_code,
        max(review_for) as review_for,
        max(review_status_code) as review_status_code,
        max(review_purchased_from_code) as review_purchased_from_code,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for LANGUAGE in ('US' "US")) </t>
  </si>
  <si>
    <t>SELECT
          req_header.requisition_header_id || '-' || req_line.requisition_line_id || '-' || req_dist.distribution_Id AS ecc_spec_id
          FROM
          po_requisition_headers_all req_header,
          po_requisition_lines_all req_line,
          po_req_distributions_all req_dist
          WHERE
          req_header.requisition_header_id = req_line.requisition_header_id
          and (nvl(req_header.closed_code,'NO') = 'FINALLY CLOSED'
          or NVL(req_header.cancel_flag, 'N') = 'Y'
          or nvl(req_line.cancel_flag,'N') = 'Y'
          or Nvl(req_line.modified_by_agent_flag,'N') = 'Y'
          or Nvl(req_line.closed_code,'NO') IN ('CLOSED','FINALLY CLOSED')
          or  (nvl(req_header.AUTHORIZATION_STATUS,'NO') = 'RETURNED'
                  AND req_line.line_location_id IS NULL AND
                  nvl(req_line.reqs_in_pool_flag,'N')='N')
	  )
          AND req_line.requisition_line_id = req_dist.requisition_line_id(+)
          and req_header.last_update_date &gt; to_date(to_char(to_timestamp('25-APR-20'),'DD-MON-YY HH24.MI.SS'),'DD-MON-YY HH24.MI.SS')</t>
  </si>
  <si>
    <t xml:space="preserve">select * from (
SELECT
req_header.requisition_header_id || '-' || req_line.requisition_line_id || '-' || req_dist.distribution_Id  AS ecc_spec_id,
DFV_H.*, DFV_L.*, DFV_D.*,
req_header.requisition_header_id requisition_header_id,
req_header.segment1 requisition,
req_header.description description,
CASE
  WHEN req_header.closed_code = 'CLOSED'
  THEN fnd_message.Get_string('PO', 'PO_STATUS_CLOSED')
  WHEN req_header.closed_code = 'FINALLY CLOSED'
  THEN fnd_message.Get_string('PO', 'PO_STATUS_FINALLY_CLOSED')
  WHEN NVL(req_header.cancel_flag, 'N') = 'Y'
  THEN fnd_message.Get_string('PO', 'PO_STATUS_CANCELED')
  ELSE status_lkup.meaning
END  status,
status_lkup.lookup_code requisition_status_code,
status_lkup.LANGUAGE status_language,
nvl((SELECT emp.full_name FROM per_all_people_f emp WHERE emp.person_id = req_line.suggested_buyer_id
AND ( ( emp.effective_end_date IS NULL )
OR ( emp.effective_end_date =
  (SELECT Max(c.effective_end_date)
  FROM   per_all_people_f c
  WHERE  emp.person_id = c.person_id
) ) )),po_pcc_agreements_util_pvt.get_fnd_message ('PO_PCC_BUYER_UNASSIGNED', '201',status_lkup.language)) buyer_name,
req_header.preparer_id,
( SELECT emp.full_name
  FROM   per_all_people_f emp
  WHERE  emp.person_id = req_header.preparer_id
  AND ( ( emp.effective_end_date IS NULL )
  OR ( emp.effective_end_date =
    (SELECT Max(c.effective_end_date)
    FROM   per_all_people_f c
    WHERE  emp.person_id = c.person_id
  ) ) )
  ) 	preparer	,
por_view_reqs_pkg.get_req_total(req_header.requisition_header_id) amount	,
(SELECT sob.currency_code
FROM gl_sets_of_books sob,financials_system_params_all fsp
WHERE sob.set_of_books_id = fsp.set_of_books_id
AND fsp.org_id = req_header.org_id)
AS currency , -- functional currency
(SELECT description
  FROM   fnd_lookup_values
  WHERE  lookup_type = 'REQUISITION TYPE'
  AND lookup_code = req_header.type_lookup_code
  AND LANGUAGE = status_lkup.LANGUAGE
) 	requisition_type	,
req_header.creation_date 	creation_date	,
req_header.approved_date 	approved_date	,
EXTRACT( YEAR FROM approved_date ) approved_date_year,
To_Char(approved_date,'Month') approved_date_month,
To_Char(NULL) approved_date_range,
(SELECT houtl.name
  FROM   hr_all_organization_units_tl houtl
  WHERE  houtl.organization_id (+) = req_header.org_id
  AND houtl.LANGUAGE = status_lkup.LANGUAGE
) 	operating_unit	,
  req_header.org_id org_id,
  req_line.requisition_line_id requisition_line_id,
req_line.item_id,
req_line.line_num 	line_number,
  mtl_sys_item.concatenated_segments item,
req_line.item_description item_description,
req_line.category_id,
req_mtl_cat.concatenated_segments category,
req_line.quantity quantity,
req_line.quantity - req_line.quantity_cancelled requested_quantity,
req_line.need_by_date need_by_date,
(req_line.need_by_date -
         nvl(((SELECT nvl(lead_time,0)
          FROM icx_cat_attribute_values
          WHERE po_line_id = (SELECT po_line_id
                              FROM po_lines_all
                              WHERE po_header_id = req_line.BLANKET_PO_HEADER_ID
                              AND line_num = req_line.BLANKET_PO_LINE_NUM
                              AND ROWNUM =1) )), 0)) order_by_date,
EXTRACT( YEAR FROM need_by_date ) need_by_date_year,
To_Char(need_by_date,'Month') need_by_date_month,
NVL(req_line.REQS_IN_POOL_FLAG,'N') reqs_in_pool_flag,
req_line.unit_meas_lookup_code uom_code,
req_line.unit_meas_lookup_code uom,
req_line.unit_price unit_price,
req_line.line_type_id,
(SELECT line_type
FROM po_line_types_tl
WHERE line_type_id = req_line.line_type_id
AND LANGUAGE = status_lkup.language)	line_type	,
req_line.matching_basis,
req_line.item_revision  item_revision	,
  DECODE(req_line.matching_basis,
        'AMOUNT', req_line.amount,
		(req_line.quantity-NVL(req_line.quantity_cancelled,0)) * req_line.unit_price
  ) 	line_amount	,
    Nvl2(req_line.currency_code,req_line.currency_code,
    (SELECT sob.currency_code
    FROM gl_sets_of_books sob,financials_system_params_all fsp
    WHERE sob.set_of_books_id = fsp.set_of_books_id
    AND fsp.org_id = req_header.org_id)) line_currency,
(SELECT gsb.currency_code
  FROM   financials_system_params_all fsp,
        gl_sets_of_books gsb
  WHERE  fsp.set_of_books_id = gsb.set_of_books_id
  AND fsp.org_id = req_line.org_id
) 	line_functional_currency	,
(CASE WHEN req_line.MODIFIED_BY_AGENT_FLAG = 'Y' THEN 0
    WHEN req_line.currency_code IS NOT NULL AND req_line.matching_basis = 'AMOUNT'  THEN Nvl(req_line.currency_amount, req_line.amount)
    WHEN req_line.currency_code IS NOT NULL AND req_line.matching_basis &lt;&gt; 'AMOUNT'
     THEN (Nvl(req_line.currency_unit_price,req_line.unit_price) * (req_line.quantity - nvl(req_line.quantity_cancelled,0)))
    WHEN req_line.matching_basis = 'AMOUNT' THEN req_line.amount
    ELSE
          req_line.unit_price *(req_line.quantity - nvl(req_line.quantity_cancelled,0))
  END) 	line_currency_amount	,
  req_header.cancel_flag,
req_line.cancel_flag line_cancel_flag,
  req_header.closed_code,
req_line.closed_code line_closed_code,
req_line.modified_by_agent_flag,
( CASE
  WHEN req_line.cancel_flag='Y'
    THEN po_pcc_agreements_util_pvt.get_fnd_message ('PO_PCC_REQ_CANCELLED', '201',status_lkup.language)
  WHEN req_line.urgent_flag = 'Y' AND req_line.REQS_IN_POOL_FLAG='Y'
    THEN po_pcc_agreements_util_pvt.get_fnd_message ('PO_PCC_REQLINE_URGENT', '201',status_lkup.language)
  WHEN  req_line.REQS_IN_POOL_FLAG='Y' AND Trunc(req_line.need_by_date) &lt;
            Trunc(SYSDATE + (SELECT nvl(lead_time,0)
                            FROM icx_cat_attribute_values
                            WHERE po_line_id = (SELECT po_line_id
                                                FROM po_lines_all
                                                WHERE po_header_id = req_line.BLANKET_PO_HEADER_ID
                                                AND line_num = req_line.BLANKET_PO_LINE_NUM
                                                AND ROWNUM =1) ) )
    THEN po_pcc_agreements_util_pvt.get_fnd_message ('PO_PCC_REQLINE_LATE2', '201',status_lkup.language)
  WHEN req_line.REQS_IN_POOL_FLAG='Y' AND req_line.need_by_date &lt;= SYSDATE
    THEN po_pcc_agreements_util_pvt.get_fnd_message ('PO_PCC_REQLINE_LATE', '201',status_lkup.language)
  WHEN req_line.reqs_in_pool_flag = 'Y'
    THEN po_pcc_agreements_util_pvt.get_fnd_message ('PO_PCC_REQLINE_POOL', '201',status_lkup.language)
  WHEN req_line.at_sourcing_flag = 'Y'
    THEN po_pcc_agreements_util_pvt.get_fnd_message ('PO_PCC_REQLINE_NEG', '201',status_lkup.language)
    WHEN (SELECT Count(1)
      FROM
      po_distributions_all pod
      WHERE pod.REQ_DISTRIBUTION_ID IN (SELECT distribution_Id FROM po_req_distributions_all WHERE requisition_line_id = req_line.requisition_line_id)
      AND ROWNUM &lt; 2) &gt; 0
    THEN po_pcc_agreements_util_pvt.get_fnd_message ('PO_PCC_REQLINE_ORDER', '201',status_lkup.language)
  ELSE
    (SELECT meaning
    FROM   fnd_lookup_values
    WHERE  lookup_type = 'AUTHORIZATION STATUS'
    AND lookup_code = req_header.authorization_status
    AND LANGUAGE = status_lkup.language)
  END
)  line_status	,
req_line.to_person_id requester_id,
( SELECT emp.full_name
	FROM   per_all_people_f emp
	WHERE  emp.person_id = req_line.to_person_id
	AND ( ( emp.effective_end_date IS NULL )
	OR ( emp.effective_end_date =
		(SELECT Max(c.effective_end_date)
		FROM   per_all_people_f c
		WHERE  emp.person_id = c.person_id))
)) requester,
(SELECT SUM(Nvl(prd1.recoverable_tax,0))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	recoverable_tax	,
(SELECT SUM(Nvl(prd1.nonrecoverable_tax,0))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 	non_recoverable_tax	,
req_line.suggested_buyer_id,
( SELECT emp.full_name
  FROM   per_all_people_f emp
  WHERE  emp.person_id =req_line.suggested_buyer_id
  AND ( ( emp.effective_end_date IS NULL )
        OR ( emp.effective_end_date =
                  (SELECT Max(c.effective_end_date)
                  FROM   per_all_people_f c
                  WHERE  emp.person_id = c.person_id  )
			)
	)
) 	suggested_buyer	,
req_line.note_to_agent note_to_buyer,
req_line.suggested_vendor_name suggested_supplier	,
(SELECT description
  FROM   hr_locations_all_tl
  WHERE  location_id = req_line.deliver_to_location_id
        AND LANGUAGE = status_lkup.language
) 	deliver_to_location	,
req_line.deliver_to_location_id,
(SELECT LOCATION_CODE FROM HR_LOCATIONS_ALL_TL WHERE location_id = req_line.deliver_to_location_id
and language = status_lkup.language)  ship_to_location,
req_line.destination_type_code,
(SELECT meaning
  FROM   fnd_lookup_values
  WHERE  lookup_type = 'DESTINATION TYPE'
  AND lookup_code = req_line.destination_type_code
  AND LANGUAGE = status_lkup.language
)  destination_type	,
req_line.urgent_flag urgent_flag,
req_line.last_update_date req_last_upd_date,
Decode(req_header.type_lookup_code,
                  'INTERNAL',TO_CHAR(OE_ORDER_IMPORT_INTEROP_PUB.Get_Order_Number(PSP.order_source_id,req_line.requisition_header_id,req_line.requisition_line_id)),
                    po_v.segment1) AS purchase_order,
po_v.po_header_id,
req_line.blanket_po_header_id,
(SELECT segment1 FROM po_headers_all WHERE po_header_id = req_line.blanket_po_header_id) AS agreement,
(SELECT document_number FROM pon_auction_Headers_all WHERE auction_header_id = req_line.auction_header_id) AS negotiation,
To_Char(NULL) next_action_owner,
To_Char(NULL) next_action_type,
  DECODE (po_pcc_requisitions_util_pvt.is_fully_reserved('REQUISITION','LINE',req_line.requisition_line_id),'Y',
	           (SELECT meaning
               FROM fnd_lookup_values POLC
               WHERE POLC.lookup_type = 'DOCUMENT STATE'
               AND POLC.lookup_code = 'RESERVED'
               AND LANGUAGE = status_lkup.language),
			   (SELECT meaning
               FROM fnd_lookup_values POLC
               WHERE POLC.lookup_type = 'DOCUMENT STATE'
               AND POLC.lookup_code = 'NOT RESERVED'
               AND LANGUAGE = status_lkup.language)) AS reservation_status,
req_dist.distribution_id distribution_id,
req_header.segment1 || ', ' || req_line.line_Num requisition_line,
req_dist.distribution_num distribution_number,
req_dist.req_line_quantity distribution_quantity,
req_dist.code_combination_id,
(SELECT  concatenated_segments
  FROM gl_code_combinations_kfv  gl_code_kfv
  WHERE code_combination_id = req_dist.code_combination_id
)   	charge_account	,
req_dist.expenditure_type expenditure_type,
(SELECT name
FROM hr_all_organization_units_tl
WHERE organization_id=req_dist.expenditure_organization_id
AND LANGUAGE = status_lkup.language) expenditure_org,
req_dist.expenditure_item_date expenditure_item_date,
pa_project.name project ,
pa_project.project_id,
pa_project.project_currency_code project_currency_code,
pa_project.segment1 project_number,
pa_task.task_number task_number,
pa_task.task_id,
To_Char(NULL) project_status,
DECODE(req_line.requisition_line_id,NULL,NULL,pa_task.task_name ) task_name
FROM
po_requisition_headers_all req_header,
po_requisition_lines_all req_line,
po_req_distributions_all req_dist,
pa_projects_all pa_project,
pa_tasks  pa_task,
mtl_system_items_b_kfv mtl_sys_item,
ap_suppliers ap_supplier,
mtl_categories_kfv req_mtl_cat,
fnd_lookup_values status_lkup,
(SELECT poh.segment1,poh.po_header_id, pod.REQ_DISTRIBUTION_ID
FROM
po_distributions_all pod,
po_headers_all poh
WHERE pod.po_header_id = poh.po_header_id
AND poh.type_lookup_code = 'STANDARD'
) po_v,
ORG_ORGANIZATION_DEFINITIONS OOD,
PO_SYSTEM_PARAMETERS_ALL PSP,
 (select 'PO_REQ_H_ROW_ID','PO_REQ_H_CONTEXT','PO_REQ_H_CONCATENATED_SEGMENTS' from dual where 1=2  union select ROWIDTOCHAR(ROW_ID),CONTEXT,CONCATENATED_SEGMENTS from PO_REQUISITION_HEADERS_ALL_DFV) DFV_H, (select 'PO_REQ_L_ROW_ID','PO_REQ_L_CONTEXT','PO_REQ_L_CONCATENATED_SEGMENTS' from dual where 1=2  union select ROWIDTOCHAR(ROW_ID),CONTEXT,CONCATENATED_SEGMENTS from PO_REQUISITION_LINES_ALL3_DFV) DFV_L, (select 'PO_REQ_D_ROW_ID','PO_REQ_D_CONTEXT_VALUE','PO_REQ_D_CONCATENATED_SEGMENTS' from dual where 1=2  union select ROWIDTOCHAR(ROW_ID),CONTEXT_VALUE,CONCATENATED_SEGMENTS from PO_REQ_DISTRIBUTIONS_ALL1_DFV) DFV_D
WHERE
req_header.authorization_status = 'APPROVED'
and nvl(req_header.closed_code,'NO') &lt;&gt; 'FINALLY CLOSED'
and NVL(req_header.cancel_flag, 'N') &lt;&gt; 'Y'
and nvl(req_header.federal_flag,'N') = 'N'
AND req_header.requisition_header_id = req_line.requisition_header_id
and nvl(req_line.cancel_flag,'N') &lt;&gt; 'Y'
AND Nvl(req_line.modified_by_agent_flag,'N') &lt;&gt; 'Y'
AND Nvl(req_line.closed_code,'NO') NOT IN ('CLOSED','FINALLY CLOSED')
AND req_line.requisition_line_id = req_dist.requisition_line_id(+)
and req_dist.task_id  = pa_task.task_id (+)
and req_dist.project_id = 	pa_task.project_id (+)
and pa_task.project_id = pa_project.project_id(+)
AND NVL(req_header.authorization_status,'INCOMPLETE') = status_lkup.lookup_code
AND status_lkup.lookup_type = 'AUTHORIZATION STATUS'
AND status_lkup.LANGUAGE IN ('US')
and req_line.vendor_id = ap_supplier.vendor_id(+)
and req_line.category_id = req_mtl_cat.category_id(+) --req line category to req mtl category
and req_line.item_id = mtl_sys_item.inventory_item_id(+) --req line item to mtl system inv item
and req_line.destination_organization_id = mtl_sys_item.organization_id(+)
AND po_v.REQ_DISTRIBUTION_ID(+) = req_dist.distribution_id
AND      OOD.ORGANIZATION_ID(+) = req_line.SOURCE_ORGANIZATION_ID
AND      PSP.ORG_ID(+) = OOD.OPERATING_UNIT
AND (nvl(req_header.CONTRACTOR_REQUISITION_FLAG,'N')='N'
or (req_header.AUTHORIZATION_STATUS='APPROVED'  and
req_header.CONTRACTOR_STATUS='ASSIGNED'))
AND req_header.rowid = dfv_h."'PO_REQ_H_ROW_ID'" (+)
AND req_line.rowid = dfv_l."'PO_REQ_L_ROW_ID'" (+)
AND req_dist.rowid = dfv_d."'PO_REQ_D_ROW_ID'" (+) and Greatest(req_header.last_update_date, req_line.last_update_date) &gt; to_date(to_char(to_timestamp('25-APR-20'),'DD-MON-YY HH24.MI.SS'),'DD-MON-YY HH24.MI.SS')
               ) pivot(Max(status) AS status,
                                     Max(operating_unit) AS operating_unit,
                                     Max(buyer_name) AS buyer_name,
                                     Max(line_type) AS line_type,
                                     Max(line_status) AS line_status,
                                     Max(requisition_type) AS requisition_type,
                                     Max(deliver_to_location) AS deliver_to_location,
                                     Max(ship_to_location) AS ship_to_location,
                                     Max(destination_type) AS destination_type,
                                     Max(expenditure_org) AS expenditure_org,
                                     Max(reservation_status) AS reservation_status
                                     FOR status_language IN ('US' "US")) </t>
  </si>
  <si>
    <t>select aha.INVOICE_ID  ||'-'|| aha.LINE_LOCATION_ID ||'-'||REPLACE(aha.HOLD_LOOKUP_CODE,' ','_') ECC_SPEC_ID,
aha.invoice_id, aha.line_location_id, aha.HOLD_ID, aha.release_lookup_code, nvl(aha.release_lookup_code,'Yes') as on_hold_flag,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
  from ap_holds_all aha,po_line_locations_all po_lineloc,po_headers_all poh,PO_DOCUMENT_TYPES_ALL pdt,
  po_doc_style_headers doc_style
  where aha.line_location_id = po_lineloc.line_location_id
  AND aha.hold_lookup_code in
       (select hold_lookup_code
        from ap_hold_codes
        where hold_type = 'MATCHING HOLD REASON'
        and NVL(inactive_date, trunc(sysdate) + 1) &gt;= trunc(sysdate))
  AND pdt.org_id = poh.org_id
  AND pdt.DOCUMENT_TYPE_CODE = 'PO'
  AND pdt.DOCUMENT_SUBTYPE = poh.TYPE_LOOKUP_CODE
  AND po_lineloc.po_header_id = poh.po_header_id
  and poh.type_lookup_code IN ('STANDARD')
  AND doc_style.style_id = poh.style_id
  AND nvl(doc_style.clm_flag,'N') = 'N' and aha.last_update_date &gt; to_date(to_char(to_timestamp('25-APR-20'),'DD-MON-YY HH24.MI.SS'),'DD-MON-YY HH24.MI.SS')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</si>
  <si>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gt.KEY=3138041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</si>
  <si>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gt.KEY=3138041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</si>
  <si>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gt.KEY=3138041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</si>
  <si>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 xml:space="preserve">There is SQLException while applying load rule for dataset po-clm-solicitations for job 60,247.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</si>
  <si>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3138040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</si>
  <si>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60,247.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</si>
  <si>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3138039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</si>
  <si>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3138039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</si>
  <si>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3138039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</si>
  <si>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3138039 )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</si>
  <si>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3138039 )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</si>
  <si>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3138039 )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</si>
  <si>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3138038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</si>
  <si>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3138038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</si>
  <si>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3138038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</si>
  <si>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3138038 )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</si>
  <si>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3138038 )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</si>
  <si>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3138038 )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</si>
  <si>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3138037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</si>
  <si>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60,247.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</si>
  <si>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select * from (select
          orc.contract_id||'-'||ord.deliverable_id as ecc_spec_id,
          orc.contract_id acquisition_plan_summary,
          orc.contract_number acquisition_plan_number,
          orc.contract_name name,
          lkup1.meaning status,
          lkup1.language doc_language,
          orc.contract_status_code,
          orc.latest_signed_ver_number,
          orc.contract_version_num version,
          orc.version_comments,
          orc.contract_desc as description,
          orc.org_id,
          ou.name   operating_unit,
          orc.contract_type contract_type_code,
          docs.name contract_type,
          orc.owner_id,
          (select nvl(pf.full_name, fu.user_name)
          from   per_all_people_f   pf,
                  fnd_user    fu
          where  fu.user_id = orc.owner_id
          and    pf.person_id (+) = fu.employee_id
          and   (fu.employee_id is null or pf.effective_start_date = (select max(effective_start_date)
                                                                      from   per_all_people_f
                                                                      where  person_id = fu.employee_id)))  administrator,
          orc.currency_code currency,
          orc.amount,
          orc.contract_effective_date as effective_date,
          orc.contract_expiration_date as expiration_date,
          orc.reference_document_type source_doc_type,
          orc.reference_document_number source_doc_reference,
          orc.reference_document_id source_doc_id,
          (select nvl(pf.full_name, fu.user_name)
                  from   per_all_people_f   pf,
                        fnd_user    fu
                  where  fu.user_id = orc.contract_last_updated_by
                  and    pf.person_id (+) = fu.employee_id
                  and   (fu.employee_id is null or pf.effective_start_date = (select max(effective_start_date)
                                                                              from   per_all_people_f
                                                                              where  person_id = fu.employee_id))) last_updated_by,
          trunc(orc.contract_last_update_date) as last_updated_date,
          PO_ACQUISITION_ECC_UTIL_PVT.get_next_approver(orc.contract_id) AS next_approver_id,
          orc.authoring_party_code,
          orc.overall_risk_code,
          orc.cancellation_comments,
          orc.cancellation_date,
          orc.termination_comments,
          orc.termination_date,
          orc.keywords,
          orc.object_version_number,
          Trunc(orc.contract_expiration_date) - Trunc(orc.contract_effective_date) planned_duration,
          CASE
            when orc.contract_status_code &lt;&gt; 'APPROVED'
              THEN null
            when trunc(orc.contract_effective_date) &lt; trunc(sysdate)
              THEN Decode(
                  (SELECT 'INCOMPLETE' FROM okc_deliverables WHERE business_document_id=orc.contract_id AND deliverable_status&lt;&gt;'COMPLETED'
                    AND ROWNUM &lt;2),
                  'INCOMPLETE', (Trunc(SYSDATE) - Trunc(contract_effective_date)),
                  --NULL )
                  (SELECT Max(Trunc(completion_date)) FROM okc_deliverables WHERE orc.contract_id = business_document_id AND deliverable_status='COMPLETED'
                    --AND (business_document_version(+) = Decode(t1.contract_status_code,'APPROVED',t1.contract_version_num,-99))
                    ) - Trunc(orc.contract_effective_date))
            ELSE null
          end elapsed_duration,
          (SELECT
                LISTAGG(replace(wfn.TO_USER,',',''),'|') WITHIN GROUP  (ORDER BY orc.contract_id) AS approval_pending_with
                  FROM
                  wf_notifications wfn,
                  wf_item_activity_statuses wfa
                WHERE
                          wfn.notification_id = wfa.notification_id
                         AND wfa.item_type         = 'OKCREPMA'
                         AND SUBSTR(wfa.item_key, 0, INSTR(wfa.item_key, '_')-1) =  orc.WF_ITEM_KEY
                         AND wfn.status            = 'OPEN'
                  GROUP BY orc.contract_id) current_approvers,
          ord.deliverable_id milestone,
          ord.deliverable_type,
          ord.deliverable_name milestone_name,
          ord.description milestone_description,
          ord.fixed_due_date_yn,
          ord.actual_due_date due_date,
          ord.internal_party_contact_id,
          (select buyer_contact.full_name
            from   per_all_people_f buyer_contact
            where  buyer_contact.person_id = ord.internal_party_contact_id
            and  buyer_contact.effective_start_date &lt;= sysdate
            and (buyer_contact.effective_end_date is null or buyer_contact.effective_end_date&gt; sysdate)
          ) milestone_owner,
          ord.schedule_type,
          ord.fixed_start_date,
          ord.fixed_end_date,
          ord.internal_party_id,
          ord.deliverable_status milestone_status_code,
          CASE
            WHEN orc.contract_status_code='REJECTED' THEN lkup1.meaning
            WHEN ord.DELIVERABLE_STATUS='INACTIVE' THEN fnd_message.get_string('PO','PO_ECC_ACQUISITION_DRAFT')
            WHEN ord.DELIVERABLE_STATUS='COMPLETED' THEN PO_PON_ECC_UTIL_PVT.get_lookup_meaning(ord.deliverable_status,'OKC_DELIVERABLE_STATUS',0,lkup1.language)
            WHEN ord.DELIVERABLE_STATUS='FAILED_TO_PERFORM' THEN  PO_PON_ECC_UTIL_PVT.get_lookup_meaning(ord.deliverable_status,'OKC_DELIVERABLE_STATUS',0,lkup1.language)
            WHEN trunc(ord.actual_due_date) &gt;= SYSDATE and trunc(ord.actual_due_date) &lt; Trunc(NEXT_DAY(sysdate, 'SUNDAY')) AND ord.deliverable_status='OPEN'
            THEN  fnd_message.get_string('PO','PO_ECC_ACQUISITION_DUE')
            WHEN trunc(ord.actual_due_date) &lt; SYSDATE AND ord.deliverable_status='OPEN' THEN
            fnd_message.get_string('PO','PO_ECC_ACQUISITION_OVERDUE')
            ELSE fnd_message.get_string('PO','PO_ECC_ACQUISITION_OPEN')
          END milestone_status_derived,
          PO_PON_ECC_UTIL_PVT.get_lookup_meaning(ord.deliverable_status,'OKC_DELIVERABLE_STATUS',0,lkup1.language) milestone_status,
          ord.business_document_version,
          ord.start_event_date,
          ord.end_event_date,
          ord.del_category_code,
          ord.external_party_id,
          ord.external_party_contact_id,
          ord.external_party_role,
          ord.comments milestone_comments,
          ord.completion_date,
          Trunc(ord.actual_due_date) - Trunc(orc.contract_effective_date) milestone_planned_duration,
          CASE
          WHEN ord.deliverable_status='COMPLETED' THEN Trunc(ord.completion_date) -Trunc(orc.contract_effective_date)
          WHEN trunc(orc.contract_effective_date) &gt; trunc(sysdate) THEN null
          WHEN Trunc(orc.contract_effective_date) &lt; Trunc(SYSDATE) AND ord.actual_due_date IS NOT null THEN
               Trunc(SYSDATE) - Trunc(orc.contract_effective_date)
          end milestone_elapsed_duration
          FROM OKC_REP_CONTRACTS_ALL orc,
          okc_deliverables ord,
          FND_LOOKUP_VALUES  lkup1,
          HR_ALL_ORGANIZATION_UNITS_tl ou,
          okc_bus_doc_types_tl docs
          WHERE
          CONTRACT_TYPE='REP_ACQ'
          AND orc.creatioN_date &gt;= nvl(fnd_date.Canonical_to_date(fnd_profile.Value('PO_CLM_DASHBOARD_CUT_OFF')),orc.creation_date)
          AND orc.contract_id = ord.business_document_id(+)
          AND lkup1.lookup_type = 'OKC_REP_CONTRACT_STATUSES'
          AND   lkup1.lookup_code = orc.contract_status_code
          AND lkup1.language in ('US')
          and ou.organization_id = orc.org_id
          and ou.language = lkup1.language
          and docs.document_type = orc.contract_type
          and docs.language = lkup1.language
          AND ord.business_document_version(+) = Decode(orc.contract_status_code,'APPROVED',orc.contract_version_num,-99)
          AND orc.creatioN_date &gt;= nvl(fnd_date.Canonical_to_date(fnd_profile.Value('PO_CLM_DASHBOARD_CUT_OFF')),orc.creation_date)
          AND (Greatest(orc.last_update_date,Nvl(ord.last_update_date,orc.last_update_date)) &gt; to_date(to_char(to_timestamp('25-APR-20'),'DD-MON-YY HH24.MI.SS'),'DD-MON-YY HH24.MI.SS')
               OR
               orc.contract_effective_date &lt;= sysdate )
          ) pivot(Max(status) AS status,
                                     Max(milestone_status) AS milestone_status,
                                     Max(operating_unit) AS operating_unit,
                                     Max(contract_type) AS contract_type,
                                     Max(milestone_status_derived) AS milestone_status_derived
                                     FOR doc_language IN ('US' "US")) </t>
  </si>
  <si>
    <t>SELECT * from (select pah.auction_header_id||'-'|| prt.protest_id ECC_SPEC_ID,
        pah.auction_header_id,
        pah.document_number SOLICITATION_NUMBER,
        po_pon_ecc_util_pvt.get_auction_status(pah.auction_header_id, hrou.language) document_status,
        pon_locale_pkg.get_party_display_name(pah.trading_partner_contact_id,12,hrou.language) buyer,
        prt.protest_id
      ,prt.protest_number
      ,prt.description protest_description
      ,prt.protest_category protest_category_code
      ,PO_PON_ECC_UTIL_PVT.get_lookup_meaning(prt.protest_category,'PO_PROTEST_CATEGORY',201,HROU.LANGUAGE) protest_category
      ,prt.protest_status protest_status_code
      ,PO_PON_ECC_UTIL_PVT.get_lookup_meaning(prt.protest_status,'PO_PROTEST_STATUS',201,HROU.LANGUAGE) protest_status
      ,DECODE(prt.protest_status, 'CLOSED', 'No', 'Yes') pending_solicitation_protests
      ,prt.document_id protest_document_id
      ,prt.document_type protest_document_type_code
      ,prt.created_by protest_created_by_id
      ,pon_locale_pkg.get_party_display_name(users.person_party_id) protest_created_by
      ,PO_PON_ECC_UTIL_PVT.get_lookup_meaning(prt.document_type,'DOCUMENT TYPE',201,HROU.LANGUAGE) protest_Document_Type
      ,prt.protest_case_number
      ,prt.filing_date protest_filing_date
      ,prt.resolution_date protest_resolution_date
      ,decode(nvl(prt.protestor_in_system,'N'),'Y',PO_PON_ECC_UTIL_PVT.get_fnd_message ('PO_YES', '201',hrou.language),PO_PON_ECC_UTIL_PVT.get_fnd_message ('PO_NO', '201',hrou.language)) protestor_in_system
       ,prt.supplier_id protest_supplier_id,
        prt.supplier_contact_name protest_Supplier_User,
        prt.supplier_name protest_Supplier_Organization,
        prt.supplier_contact_id protest_supp_contact_id,
        prt.address protest_address,
        prt.phone protest_telephone_number,
        prt.email protest_email,
        prt.fax protest_fax,
        prt.cage_code protest_CAGE_NCAGE_Code,
        prt.duns protest_duns_number,
        HROU.LANGUAGE LANGUAGE,
        pah.org_id,
     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    po_protests prt,
        fnd_user users,
        pon_auction_headers_all pah,
        HR_ALL_ORGANIZATION_UNITS_TL HROU
WHERE   prt.document_type = 'SOLICITATION'
        AND pah.auction_status NOT IN ('APPLIED','DELETED')
        AND users.user_id=    prt.created_by
        AND pah.auction_header_id= prt.document_id
        AND HROU.ORGANIZATION_ID = pah.ORG_ID
        and HROU.language in ( 'US')
         AND prt.last_update_date &gt; to_date(to_char(to_timestamp('25-APR-20'),'DD-MON-YY HH24.MI.SS'),'DD-MON-YY HH24.MI.SS')) PIVOT (max(protest_category) as protest_category,
                         max(protest_status) as protest_status,
                         max(protest_Document_Type) as protest_Document_Type,
                         max(buyer) as buyer,
                         max(document_status) as document_status,
                         max(protestor_in_system) as  protestor_in_system
                         FOR LANGUAGE in ('US' "US"))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</si>
  <si>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3138035 )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</si>
  <si>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3138035 )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</si>
  <si>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3138035 )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</si>
  <si>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3138035 )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</si>
  <si>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3138035 ) PIVOT ( max(protest_document_type) as protest_document_type
                                             FOR language in ( 'US' "US"))</t>
  </si>
  <si>
    <t xml:space="preserve">There is SQLException while applying load rule for dataset po-clm-idv for job 60,247.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</si>
  <si>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 select pah.auction_header_id||'-'||deliverable.deliverable_id as ECC_SPEC_ID,
       deliverable.deliverable_id,
       pah.auction_header_id,
       pah.document_number solicitation_number,
       deliverable.business_document_id,
       deliverable.BUSINESS_DOCUMENT_NUMBER,
       deliverable.business_document_version,
       'Y' AS deliverables_record,
       deliverable.deliverable_name,
       deliverable.deliverable_status deliverable_status_code,
       PO_PON_ECC_UTIL_PVT.get_lookup_meaning(deliverable.deliverable_status,'OKC_DELIVERABLE_STATUS',0,deliverabletypes_tl.language) deliverable_status,
       deliverable.del_category_code,
       PO_PON_ECC_UTIL_PVT.get_lookup_meaning(deliverable.del_category_code,'OKC_DEL_CATEGORIES',0,deliverabletypes_tl.language) deliverable_category,
       deliverable.deliverable_type deliverable_type_code,
       deliverabletypes_tl.name deliverable_type,
       resp_party_tl.name responsible_party,
              (CASE deliverable.responsible_party WHEN 'INTERNAL_ORG' THEN
                org.name
               ELSE
                okc_deliverable_process_pvt.get_party_name(deliverable.external_party_id,deliverable.responsible_party)
               END) party_name,
               deliverable.description,
               (SELECT Name
              FROM   HR_ALL_ORGANIZATION_UNITS_TL  hrou
              WHERE  deliverable.internal_party_id = hrou.organization_id
                      and hrou.language = deliverabletypes_tl.language) Internal_Organization,
               (SELECT distinct buyer_contact.full_name
              FROM   per_all_people_f buyer_contact
              WHERE  buyer_contact.person_id = deliverable.internal_party_contact_id
               AND  buyer_contact.effective_start_date &lt;= SYSDATE
      AND (buyer_contact.effective_end_date is NULL OR buyer_contact.effective_end_date&gt; sysdate)
       )  Internal_Contact,
       (SELECT party_name
              FROM   hz_parties
              WHERE  party_id = deliverable.external_party_contact_id)  supplier_contact,
       (SELECT distinct requester_contact.full_name
              FROM   per_all_people_f requester_contact
              WHERE  deliverable.requester_id = requester_contact.person_id
              AND requester_contact.effective_start_date &lt;= SYSDATE
             AND (requester_contact.effective_end_date is NULL OR requester_contact.effective_end_date&gt; sysdate)
      ) requestor_name ,
      busdoc_tl.name Document_Type,
      deliverable.completion_date actual_date_of_completion,
      deliverable.actual_due_date due_date,
      deliverable.comments notes,
      deliverable.description deliverable_description,
   DECODE(deliverable.deliverable_status, 'OPEN', 'Yes', 'SUBMITTED', 'Yes', 'No') deliverable_due_flag,
   CASE
	 WHEN
	   deliverable.actual_due_date &lt; sysdate and deliverable.deliverable_status = 'OPEN'
	 THEN 'OA_MEDIA/warningind_status.gif'
   else
   null
   end deliverable_alert,
case
   when deliverable.completion_date is not null and deliverable.deliverable_status = 'COMPLETED' then
     case
       when deliverable.completion_date &lt;= deliverable.actual_due_date  then
        PO_PON_ECC_UTIL_PVT.get_fnd_message ('PO_YES', '201',deliverabletypes_tl.language)
       else
        PO_PON_ECC_UTIL_PVT.get_fnd_message ('PO_NO', '201',deliverabletypes_tl.language)
       end
     else
      null
     end as on_time_completion,
   deliverabletypes_tl.language language ,
   pah.org_id,
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  okc_deliverables deliverable,
  okc_deliverable_types_tl deliverabletypes_tl,
  hr_all_organization_units org,
  okc_resp_parties_tl resp_party_tl,
  okc_bus_doc_types_b busdoc,
  okc_bus_doc_types_tl busdoc_tl,
  pon_bid_headers pbh,
  pon_auction_headers_all pah
WHERE
  pah.auction_status NOT IN ('APPLIED','DELETED')
  AND pbh.auction_header_id=pah.auction_header_id
  AND deliverable.business_document_type='SOLICITATION_RESPONSE'
  AND deliverable.deliverable_status &lt;&gt; 'INACTIVE'
  AND deliverable.business_document_id=pbh.bid_number
  AND deliverable.deliverable_type = deliverabletypes_tl.deliverable_type_code
  AND deliverabletypes_tl.language = deliverabletypes_tl.language
  and deliverable.internal_party_id = org.organization_id (+)
  and deliverable.responsible_party = resp_party_tl.resp_party_code
  and busdoc.document_type_class = resp_party_tl.document_type_class
  and busdoc.intent = resp_party_tl.intent
  and resp_party_tl.language = deliverabletypes_tl.language
  and deliverable.business_document_type = busdoc.document_type
  and busdoc.intent = resp_party_tl.intent
  and busdoc.document_type = busdoc_tl.document_type
  AND busdoc_tl.language = deliverabletypes_tl.language
  and deliverabletypes_tl.language in ( 'US')
  AND (deliverable.last_update_date &gt; to_date(to_char(to_timestamp('25-APR-20'),'DD-MON-YY HH24.MI.SS'),'DD-MON-YY HH24.MI.SS')
                OR (trunc(deliverable.creation_date) &gt;= trunc(to_date(to_char(to_timestamp(nvl(fnd_date.Canonical_to_date(fnd_profile.Value('PO_CLM_DASHBOARD_CUT_OFF')),deliverable.creation_date)),'DD-MON-YY HH24.MI.SS'),'DD-MON-YY HH24.MI.SS'))
                     and deliverable.actual_due_date &lt; sysdate and deliverable.deliverable_status = 'OPEN'
                     and to_date(to_char(to_timestamp('25-APR-20'),'DD-MON-YY HH24.MI.SS'),'DD-MON-YY HH24.MI.SS')&lt;=deliverable.actual_due_date))) PIVOT (max(deliverable_status) as deliverable_status,
                         max(deliverable_category) as deliverable_category,
                         max(deliverable_type) as deliverable_type,
                         max(responsible_party) as responsible_party,
                         max(Document_Type) as Document_Type,
                         max(Internal_Organization) as Internal_Organization,
                         max(on_time_completion) as on_time_completion
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</si>
  <si>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3138034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3138034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</si>
  <si>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3138033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3138033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</si>
  <si>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60,247.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</si>
  <si>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Another job is already pending for this dataset po-item-asl. These jobs ids are 60225</t>
  </si>
  <si>
    <t>SELECT * FROM (
  SELECT /*+ leading(apl) cardinality(apl 10) index(apl PO_APPROVED_SUPPLIER_LIST_EN1) */
						DISTINCT
							'ASL_LIST' RECORD_TYPE,
							pov.segment1 || ' - ' || msi.concatenated_segments || psa.vendor_site_code ECC_SPEC_ID,
							pov.segment1 || ' - ' || msi.concatenated_segments || psa.vendor_site_code RECORD_IDENTIFIER,
							pov.segment1  supplier_number,
							pov.vendor_name supplier_name,
							psa.vendor_site_code supplier_site,
							msi.concatenated_segments  item_number,
							msi.description item_description,
							cat.concatenated_segments category_item,
							plc.meaning business_type,
							pst.status asl_status,
							apl.primary_vendor_item supplier_item,
							mma.manufacturer_name manufacturer,
							ORG.ORGANIZATION_ID as ORG_ID,
							1 amount9,
              lang.language_code language
						from
							MTL_SYSTEM_ITEMS_B_KFV msi,
							MTL_CATEGORIES_B_KFV cat,
							po_approved_supplier_list apl,
							AP_SUPPLIERS pov,
							AP_SUPPLIER_SITES_ALL psa,
							mtl_manufacturers mma,
							FND_LOOKUP_VALUES plc,
							po_asl_statuses pst,
							hz_parties hp,
							HZ_PARTY_SITES HPS,
							hz_organization_profiles org_profile	,
							HZ_LOCATIONS HL,
							hz_geo_struct_map_dtl dtl,
							hz_geo_struct_map map,
							HR_ALL_ORGANIZATION_UNITS ORG,
              FND_LANGUAGES lang
						where
							pst.status_id = apl.asl_status_id
							and plc.lookup_type = 'ASL_VENDOR_BUSINESS_TYPE'
							and plc.lookup_code = apl.vendor_business_type
							and plc.VIEW_APPLICATION_ID = 201
              and lang.installed_flag in ('I', 'B')
							and nvl(plc.language, lang.language_code) = lang.language_code
							and SECURITY_GROUP_ID = fnd_global.lookup_security_group(plc.LOOKUP_TYPE,plc.VIEW_APPLICATION_ID)
							and mma.manufacturer_id (+) = apl.manufacturer_id
							and psa.vendor_site_id = apl.vendor_site_id
							and pov.vendor_id = apl.vendor_id
							and psa.org_id = org.organization_id(+)
							and cat.CATEGORY_ID (+) = apl.category_id
							and msi.inventory_item_id = apl.item_id
							and msi.INVENTORY_ITEM_ID(+)  = apl.ITEM_ID
							and msi.ORGANIZATION_ID(+) = apl.OWNING_ORGANIZATION_ID
							AND hp.party_id = pov.party_id
							AND HPS.PARTY_SITE_ID(+) = psa.PARTY_SITE_ID
							AND org_profile.party_id(+)           = pov.party_id
							AND org_profile.effective_end_date(+) IS NULL
							AND dtl.map_id(+)                         = map.map_id
							AND NVL(hl.address_style, 'XX')        = NVL(map.address_style, NVL(hl.address_style, 'XX'))
							AND NVL(map.loc_tbl_name, 'HZ_LOCATIONS')                   = 'HZ_LOCATIONS'
							AND map.country_code(+)                   = hl.country
							AND nvl(dtl.loc_seq_num, 2)                    = 2
							AND HL.LOCATION_ID(+) = HPS.LOCATION_ID
              AND apl.last_update_date &gt;= to_date(to_char(to_timestamp('25-APR-20'),'DD-MON-YY HH24.MI.SS'),'DD-MON-YY HH24.MI.SS') AND  LANG.LANGUAGE_CODE in ('US')
				) PIVOT (
				 MAX(BUSINESS_TYPE) AS BUSINESS_TYPE
				for LANGUAGE in ('US' "US")
				 )</t>
  </si>
  <si>
    <t xml:space="preserve">  SELECT * FROM
	                       (SELECT  DELDATA AS ECC_SPEC_ID,
								 DELDATA AS RECORD_IDENTIFIER,
								 PROJECT_NAME ,
								 ORDER_NUMBER,
								 DELDATA,
								 BUSINESS_DOCUMENT_TYPE,
								 BUSINESS_DOCUMENT_TYPE_CODE,
								 DELIVERABLE_TYPE,
								 DELIVERABLE_TYPE_CODE,
								 DELIVERABLE_STATUS,
								 DELIVERABLE_STATUS_CODE,
								 RESPONSIBLE_PARTY_CODE,
								 RESPONSIBLE_PARTY,
								 DELIVERABLE_NAME,
								 DELIVERABLE_DESCRIPTION,
								 DISPLAY_SEQUENCE,
								 FIXED_DUE_DATE_YN,
								 ACTUAL_DUE_DATE,
								 RECURRING_YN,
								 AMENDMENT_NOTES,
								 STATUS_CHANGE_NOTES,
								 VENDOR_CONTACT_ID,
								 PARTY_NAME,
								 CONTACT,
								 PO_HEADER_ID,
								 DELIVERABLE_HOLD,
								 HOLD_AMOUNT,
								 DAYS_ON_HOLD,
								 ORG_ID,
								 PROJECT_ID,
								 PROJECT_NUMBER,
								 HOLD_DATE,
								 MANAGE_DELIVERABLE,
                                 LANGUAGE
                                 FROM (
										SELECT  pap.name project_name
											   ,poh.segment1 order_number
											   ,del.deliverable_id deldata
											   ,busdoctypes_tl.name business_document_type
											   ,del.business_document_type business_document_type_code
											   ,deliverabletypes_tl.name deliverable_type
											   ,del.deliverable_type deliverable_type_code
											   ,status_lookup.meaning deliverable_status
											   ,del.deliverable_status deliverable_status_code
											   ,del.responsible_party responsible_party_code
											   ,reptl.name responsible_party
											   ,del.deliverable_name
											   ,del.description deliverable_description
											   ,del.display_sequence
											   ,del.fixed_due_date_yn
											   ,del.actual_due_date
											   ,del.recurring_yn
											   ,del.amendment_notes
											   ,del.status_change_notes
											   ,poh.vendor_contact_id
											   ,CASE
												WHEN    del.deliverable_type = 'CONTRACTUAL'
												AND     responsible_party = 'SUPPLIER_ORG'
														THEN
																(
																SELECT  vendor_name
																FROM    ap_suppliers
																WHERE   vendor_id = poh.vendor_id
																)
												ELSE
														(
														SELECT  DISTINCT
																name
														FROM    hr_all_organization_units_tl
														WHERE   organization_id = poh.org_id
														AND     language (+) = lang.language_code
														) END party_name
											   ,CASE
												WHEN    del.deliverable_type = 'CONTRACTUAL'
												AND     responsible_party = 'SUPPLIER_ORG'
														THEN
																(
																SELECT  DISTINCT
																		party_name
																FROM    hz_parties
																WHERE   party_id = poh.vendor_contact_id
																)
												ELSE
														(
														SELECT  DISTINCT
																full_name
														FROM    per_all_people_f
														WHERE   person_id = del.internal_party_contact_id
														) END contact
											   ,poh.po_header_id
											   ,decode (nvl (holds.hold
															,0)
													   ,0
													   ,'N'
													   ,'Y') deliverable_hold
											   ,holds.hold_amount hold_amount
											   ,trunc (sysdate - holds.hold_date) days_on_hold
											   ,poh.org_id org_id
											   ,psco.project_id
											   ,pap.segment1 project_number
											   ,holds.hold_date hold_date
											   ,po_endeca_util_pub.po_get_action_text ('MANAGE_DELIVERABLE'
																					  ,20) manage_deliverable
											   ,lang.language_code LANGUAGE
										FROM    okc_deliverables del
											   ,po_headers_all poh
											   ,po_doc_style_headers ps
											   ,pa_supply_chain_options psco
											   ,pa_projects_all pap
											   ,po_proc_plan_header pph
											   ,fnd_lookup_values status_lookup
											   ,okc_deliverable_types_tl deliverabletypes_tl
											   ,okc_bus_doc_types_tl busdoctypes_tl
											   ,okc_resp_parties_b repb
											   ,okc_resp_parties_tl reptl
											   ,
												(
												SELECT  pod.po_header_id
													   ,count (1) hold
													   ,sum (apd.amount) hold_amount
													   ,min (ah.hold_date) hold_date
												FROM    ap_invoice_distributions_all apd
													   ,ap_holds_all ah
													   ,po_distributions_all pod
												WHERE   apd.project_id &gt; 0
												AND     ah.invoice_id = apd.invoice_id
												AND     pod.po_distribution_id &gt; 0
												AND     pod.po_distribution_id = apd.po_distribution_id
												AND     ah.hold_lookup_code = 'PO Deliverable'
												AND     ah.release_lookup_code IS NULL
												GROUP BY pod.po_header_id
												) holds
												,fnd_languages lang
										WHERE   poh.po_header_id = del.business_document_id
										AND     poh.revision_num = del.business_document_version
										AND     poh.po_header_id = holds.po_header_id (+)
										AND     business_document_type IN ('PO_STANDARD','RFQ')
										AND     psco.project_id IN
												(
												SELECT  DISTINCT
														project_id
												FROM    po_distributions_all
												WHERE   po_header_id = poh.po_header_id
												)
										AND     pap.project_id = psco.project_id
										AND     pph.project_id = psco.project_id
										AND     psco.enable_scp_flag = 'Y'
										AND     status_lookup.lookup_type = 'OKC_DELIVERABLE_STATUS'
										AND     status_lookup.lookup_code = del.deliverable_status
										AND     status_lookup.VIEW_APPLICATION_ID = 0
                                        AND     status_lookup.SECURITY_GROUP_ID = 0
										AND     status_lookup.language = lang.language_code
										AND     del.deliverable_status &lt;&gt; 'INACTIVE'
										AND     lang.installed_flag in ('I', 'B')
										AND     nvl(deliverabletypes_tl.language, lang.language_code) = lang.language_code
										AND     deliverabletypes_tl.deliverable_type_code = del.deliverable_type
										AND     nvl(busdoctypes_tl.language, lang.language_code) = lang.language_code
										AND     busdoctypes_tl.document_type = del.business_document_type
										AND     poh.style_id = ps.style_id
										AND 	repb.document_type_class = reptl.document_type_class(+)
										AND     repb.resp_party_code = reptl.resp_party_code(+)
										AND     nvl (repb.intent , 'XXX') = nvl (reptl.intent  ,'XXX')
										AND     nvl(reptl.language, lang.language_code) = lang.language_code
										AND     repb.resp_party_code(+) = del.responsible_party
										AND     nvl(repb.document_type_class, 'PO') = 'PO'
										AND     del.last_update_date &gt;= to_date(to_char(to_timestamp('25-APR-20'),'DD-MON-YY HH24.MI.SS'),'DD-MON-YY HH24.MI.SS') AND  LANG.LANGUAGE_CODE in ('US'))
										) PIVOT (
										 MAX(business_document_type) AS BUSINESS_DOCUMENT_TYPE,
										 MAX(deliverable_type) AS DELIVERABLE_TYPE,
										 MAX(party_name) AS PARTY_NAME,
										 MAX(responsible_party) AS RESPONSIBLE_PARTY,
										 MAX(deliverable_status) AS DELIVERABLE_STATUS
										for LANGUAGE in ('US' "US")
										 )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</si>
  <si>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to_date(to_char(to_timestamp('25-APR-20 03.48.30.000000 PM'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to_date(to_char(to_timestamp('25-APR-20 03.48.30.000000 PM'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to_date(to_char(to_timestamp('25-APR-20 03.48.30.000000 PM'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to_date(to_char(to_timestamp('25-APR-20 03.48.30.000000 PM'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</si>
  <si>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
(SELECT v.* ,dfv.* FROM
      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,ia_unit_actual_amt
       ,ia_unit_estimated_amt
       ,ia_act_estm_variance
       ,ia_unit_act_estm_variance
       ,ia_act_estm_variance_percent
       ,ia_matched_percent
       ,ia_unmatched_amt
       ,ia_unmatched_percent
       ,ia_charge_amt,ia_unit_charge_amt
       ,(ia_charge_amt - ia_charge_est_amt) CHARGE_VAR
       ,ia_tax_amt,ia_unit_tax_amt
       ,(ia_tax_amt - ia_tax_est_amt) TAX_VAR
       ,ia_item_amt,ia_unit_item_amt
       ,(ia_item_amt - ia_item_est_amt) ITEM_VAR
       ,ia_charge_est_amt
       ,ia_tax_est_amt
       ,ia_item_est_amt
       ,(ia_charge_amt + ia_tax_amt + ia_item_amt) i_total_amt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    from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,ia_actual_amt / isl_primary_qty ia_unit_actual_amt
       ,ia_estimated_amt / isl_primary_qty ia_unit_estimated_amt
       ,(ia_actual_amt - ia_estimated_amt) ia_act_estm_variance
       ,(ia_actual_amt / isl_primary_qty) - (ia_estimated_amt / isl_primary_qty) ia_unit_act_estm_variance
       ,to_number (decode (ia_estimated_amt
                                  ,0
                                  ,0
                                  ,round (((ia_actual_amt - ia_estimated_amt) * 100) / ia_estimated_amt
                                         ,2))) ia_act_estm_variance_percent
       ,decode (ia_estimated_amt
                       ,0
                       ,0
                       ,round (decode (sign (ia_matched_amt)
                                      ,- 1
                                      ,0
                                      ,(ia_matched_amt) * 100) / ia_estimated_amt
                              ,2)) ia_matched_percent
               ,decode (sign (ia_estimated_amt - ia_matched_amt)
                       ,- 1
                       ,0
                       ,(ia_estimated_amt - ia_matched_amt)) ia_unmatched_amt
               ,decode (ia_estimated_amt
                       ,0
                       ,0
                       ,round (decode (sign (ia_estimated_amt - ia_matched_amt)
                                      ,- 1
                                      ,0
                                      ,(ia_estimated_amt - ia_matched_amt) * 100) / ia_estimated_amt
                              ,2)) ia_unmatched_percent
               ,nvl (sum (CASE
                          WHEN    (
                                          ia_component_type_code = 'CHARGE'
                                  )
                                  THEN    ia_actual_amt END) OVER (PARTITION BY ecc_spec_id,language)
                    ,0) ia_charge_amt
               ,nvl (sum (CASE
                          WHEN    (
                                          ia_component_type_code = 'CHARGE'
                                  )
                                  THEN    ia_actual_amt/isl_primary_qty END) OVER (PARTITION BY ecc_spec_id,LANGUAGE)
                    ,0) ia_unit_charge_amt
               ,nvl (sum (CASE
                          WHEN    (
                                          ia_component_type_code = 'TAX'
                                  )
                                  THEN    ia_actual_amt END) OVER (PARTITION BY ecc_spec_id,language)
                    ,0) ia_tax_amt
               ,nvl (sum (CASE
                          WHEN    (
                                          ia_component_type_code = 'TAX'
                                  )
                                  THEN    ia_actual_amt/isl_primary_qty END) OVER (PARTITION BY ecc_spec_id,LANGUAGE)
                    ,0) ia_unit_tax_amt
               ,nvl (sum (CASE
                          WHEN    (
                                          ia_component_type_code = 'ITEM PRICE'
                                  )
                                  THEN    ia_actual_amt END) OVER (PARTITION BY ecc_spec_id,language)
                    ,0) ia_item_amt
               ,nvl (sum (CASE
                          WHEN    (
                                          ia_component_type_code = 'ITEM PRICE'
                                  )
                                  THEN    ia_actual_amt/isl_primary_qty END) OVER (PARTITION BY ecc_spec_id,LANGUAGE)
                    ,0) ia_unit_item_amt
               ,nvl (sum (CASE
                          WHEN    (
                                          ia_component_type_code = 'CHARGE'
                                  )
                                  THEN    ia_estimated_amt END) OVER (PARTITION BY ecc_spec_id,language)
                    ,0) ia_charge_est_amt
               ,nvl (sum (CASE
                          WHEN    (
                                          ia_component_type_code = 'TAX'
                                  )
                                  THEN    ia_estimated_amt END) OVER (PARTITION BY ecc_spec_id,language)
                    ,0) ia_tax_est_amt
               ,nvl (sum (CASE
                          WHEN    (
                                          ia_component_type_code = 'ITEM PRICE'
                                  )
                                  THEN    ia_estimated_amt END) OVER (PARTITION BY ecc_spec_id,language)
                    ,0) ia_item_est_amt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FROM    (SELECT  ish.ship_header_id
         || '-'
         || islg.ship_line_group_id
         || '-'
         || nvl (isl.parent_ship_line_id
                ,isl.ship_line_id)
         || '-'
         || aa.component_type_code
         || '-'
         || aa.component_reference ECC_spec_id
        ,'LC' ECC_record_type
        ,greatest (ish.last_update_date
                  ,islg.last_update_date
                  ,isl.last_update_date) ECC_last_update_date
        ,flv3.language
        ,ish.ship_header_id ish_shipment_header_id
        ,ish.ship_num ish_shipment_num
        ,stb.ship_type_code ish_shipment_type_code
        ,sttl.ship_type_name ish_shipment_type
        ,ish.ship_status_code ish_shipment_status_code
        ,flv2.description ish_shipment_status
        ,ish.ship_date ish_shipment_date
        ,ish.org_id ish_org_id
        ,ou.name ish_operating_unit
        ,ish.organization_id ish_organization_id
        ,mp.organization_code ish_organization_code
        ,hao.name ish_organization_name
        ,hrl1.location_code ish_location_code
        ,hrl1.country ish_country
        ,to_number (to_char (ish.ship_date
                            ,'YYYY')) ish_shipment_year
        ,to_char (ish.ship_date
                 ,'YYYY')
         || ' '
         || to_char (ish.ship_date
                    ,'WW') ish_shipment_year_week
        ,to_char (ish.ship_date
                 ,'YYYY')
         || ' '
         || to_char (ish.ship_date
                    ,'MM') ish_shipment_year_month
        ,to_char (ish.ship_date
                 ,'YYYY')
         || ' '
         || to_char (ish.ship_date
                    ,'Q') ish_shipment_year_quarter
        ,nvl (ish.pending_matching_flag
             ,'N') ish_pending_matching_flag
        ,ish.attribute_category ish_attribute_category
        ,ish.attribute1 ish_attribute1
        ,ish.attribute2 ish_attribute2
        ,ish.attribute3 ish_attribute3
        ,ish.attribute4 ish_attribute4
        ,ish.attribute5 ish_attribute5
        ,ish.attribute6 ish_attribute6
        ,ish.attribute7 ish_attribute7
        ,ish.attribute8 ish_attribute8
        ,ish.attribute9 ish_attribute9
        ,ish.attribute10 ish_attribute10
        ,ish.attribute11 ish_attribute11
        ,ish.attribute12 ish_attribute12
        ,ish.attribute13 ish_attribute13
        ,ish.attribute14 ish_attribute14
        ,ish.attribute15 ish_attribute15
        ,islg.ship_line_group_id islg_shipment_line_group_id
        ,islg.ship_line_group_num islg_line_group_num
        ,islg.ship_line_group_reference islg_line_group_reference
        ,hp1.party_name islg_party_name
        ,hps1.party_site_name islg_party_site_name
        ,hl.country islg_party_site_country
        ,isl.ship_line_id isl_shipment_line_id
        ,isl.parent_ship_line_id isl_parent_shipment_line_id
        ,isl.ship_line_num isl_shipment_line_num
        ,msic.concatenated_segments isl_item
        ,msitl.description isl_item_description
        ,mcc.concatenated_segments isl_item_category_code
        ,mc.description isl_item_ctg_desc
        ,isl.primary_qty isl_primary_qty
        ,isl.primary_uom_code isl_primary_uom_code
        ,isl.primary_unit_price isl_primary_unit_price
        ,isl.attribute_category isl_attribute_category
        ,isl.attribute1 isl_attribute1
        ,isl.attribute2 isl_attribute2
        ,isl.attribute3 isl_attribute3
        ,isl.attribute4 isl_attribute4
        ,isl.attribute5 isl_attribute5
        ,isl.attribute6 isl_attribute6
        ,isl.attribute7 isl_attribute7
        ,isl.attribute8 isl_attribute8
        ,isl.attribute9 isl_attribute9
        ,isl.attribute10 isl_attribute10
        ,isl.attribute11 isl_attribute11
        ,isl.attribute12 isl_attribute12
        ,isl.attribute13 isl_attribute13
        ,isl.attribute14 isl_attribute14
        ,isl.attribute15 isl_attribute15
        ,gll.currency_code ia_currency_code
        ,aa.component_type_code ia_component_type_code
        ,flv1.description ia_component_type
        ,aa.component_reference_id ia_component_reference_id
        ,CASE
        WHEN    aa.component_type_code = 'CHARGE'
                THEN
                        (
                        SELECT  pet1.name
                        FROM    pon_price_element_types_tl pet1
                        WHERE   pet1.price_element_type_id = aa.component_reference_id
                        AND     pet1.language = flv3.language
                        )
        WHEN    aa.component_type_code = 'ITEM PRICE'
                THEN
                        (
                        SELECT  islt.ship_line_type_name
                        FROM    inl_ship_line_types_tl islt
                        WHERE   islt.ship_line_type_id = aa.component_reference_id
                        AND     islt.language = flv3.language
                        )
        ELSE    aa.component_reference END ia_component_reference
        ,round (aa.allocation_amt
               ,2) ia_actual_amt
        ,round (aa.estimated_allocation_amt
               ,2) ia_estimated_amt
        ,decode (aa.from_parent_table_name
                ,'INL_SHIP_LINES'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,m.to_parent_table_id
                                     ,m.match_id
                                     ,m.parent_match_id
                                     ,m.matched_amt
                                     ,
                                      (
                                      SELECT  max (m2.match_id)
                                      FROM    inl_matches m2
                                      WHERE   m2.ship_header_id =
							m.ship_header_id
                                      AND     nvl (m2.parent_match_id
                                                  ,m2.match_id) = nvl
							(m.parent_match_id
							,m.match_id)
                                      ) last_match_id
                              FROM    inl_matches m
                              WHERE   m.match_type_code
                                      || '' = 'ITEM'
                              AND     m.to_parent_table_name =
					'INL_SHIP_LINES'
                              ) m1
                      WHERE   m1.ship_header_id = ish.ship_header_id
                      AND     m1.to_parent_table_id = nvl
							(isl.parent_ship_line_id
							,isl.ship_line_id)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							(isl.parent_ship_line_id
							,isl.ship_line_id)
                      CONNECT BY PRIOR m1.match_id = m1.parent_match_id
                      )
                     ,0)
                ,'INL_CHARGE_LINES'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,m.charge_line_type_id
                                     ,
                                      (
                                      SELECT  max (m2.match_id)
                                      FROM    inl_matches m2
                                      WHERE   m2.ship_header_id =
						m.ship_header_id
                                      AND     nvl (m2.parent_match_id
                                                  ,m2.match_id) = nvl
								(m.parent_match_id
								,m.match_id)
                                      ) last_match_id
                              FROM    inl_matches m
                              WHERE   m.match_type_code
                                      || '' = 'CHARGE'
                              AND     m.to_parent_table_name =
						'INL_SHIP_LINES'
                              ) m1
                      WHERE   m1.ship_header_id = ish.ship_header_id
                      AND     m1.to_parent_table_id = nvl
(isl.parent_ship_line_id
,isl.ship_line_id)
                      AND     m1.charge_line_type_id =
aa.component_reference_id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m1.charge_line_type_id =
aa.component_reference_id
                      CONNECT BY PRIOR m1.match_id = m1.parent_match_id
                      )
                     ,0)
                ,'INL_TAX_LINES'
                ,nvl (
                      (
                      SELECT  sum (nvl (round (m1.matched_amt
                                              ,2)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,m.tax_code
                                     ,
                                      (
                                      SELECT  max (m2.match_id)
                                      FROM    inl_matches m2
                                      WHERE   m2.ship_header_id =
m.ship_header_id
                                      AND     nvl (m2.parent_match_id
                                                  ,m2.match_id) = nvl
(m.parent_match_id
,m.match_id)
                                      ) last_match_id
                              FROM    inl_matches m
                              WHERE   m.to_parent_table_name =
'INL_SHIP_LINES'
                              AND     m.match_type_code
                                      || '' = 'TAX'
                              ) m1
                      WHERE   m1.ship_header_id = ish.ship_header_id
                      AND     m1.to_parent_table_id = nvl
(isl.parent_ship_line_id
,isl.ship_line_id)
                      AND     m1.tax_code = aa.component_reference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m1.tax_code = aa.component_reference
                      CONNECT BY PRIOR m1.match_id = m1.parent_match_id
                      )
                     ,0)
                ,NULL) ia_matched_amt
        ,ph.segment1 ph_po_num
        ,ph.creation_date ph_po_creation_date
        ,flv3.meaning ph_po_type
        ,pbv.full_name ph_po_agent_name
        ,pl.line_num pl_po_line_num
        ,pl.vendor_product_num pl_supplier_item
        ,pl.unit_price pl_unit_price
        ,nvl (pl.closed_flag
             ,'Y') pl_line_closed_flag
        ,pll.shipment_num pll_po_shipment_num
        ,pll.need_by_date pll_need_by_date
        ,pll.promised_date pll_promised_date
        ,decode (sign (nvl (pll.closed_for_receiving_date
                           ,sysdate + 1) - sysdate)
                ,1
                ,'N'
                ,0
                ,'Y'
                ,'Y') pll_closed_for_receiving_flag
        ,decode (sign (nvl (pll.closed_for_invoice_date
                           ,sysdate + 1) - sysdate)
                ,1
                ,'N'
                ,0
                ,'Y'
                ,'Y') pll_closed_for_invoicing_flag
        ,pll.quantity * pl.unit_price pll_amount
        ,rsh.receipt_num rsh_receipt_num
        ,rsh.creation_date rsh_receipt_date
        ,hrl3.location_code rsh_ship_to_location_code
        ,rsh.bill_of_lading rsh_bill_of_lading
        ,rsh.packing_slip rsh_packing_slip
        ,rsh.shipped_date rsh_shipped_date
        ,rsh.waybill_airbill_num rsh_waybill_airbill_num
        ,hrl2.location_code rsl_deliver_to_location_code
        ,rsl.container_num rsl_container_num
FROM    (
         SELECT  a.ship_header_id
                ,a.ship_line_id
                ,a.adjustment_num
                ,a.from_parent_table_name
                ,a.component_type_code
                ,a.component_reference
                ,a.component_reference_id
                ,sum (nvl (a.allocation_amt
                          ,0)) allocation_amt
                ,sum (nvl (a.estimated_allocation_amt
                          ,0)) estimated_allocation_amt
         FROM    (
                 SELECT
                         ia.ship_header_id
                        ,ship_line_id
                        ,ia.adjustment_num
                        ,from_parent_table_name
                        ,decode (from_parent_table_name
                                ,'INL_SHIP_LINES'
                                ,'ITEM PRICE'
                                ,'INL_CHARGE_LINES'
                                ,'CHARGE'
                                ,'INL_TAX_LINES'
                                ,'TAX'
                                ,NULL) component_type_code
                        ,decode (from_parent_table_name
                                ,'INL_SHIP_LINES'
                                ,
                                 (
                                 SELECT   DISTINCT TO_CHAR(ISLT.SHIP_LINE_TYPE_ID)
                                 FROM    inl_ship_line_types_tl islt
                                        ,inl_ship_lines_all isl
                                 WHERE   islt.ship_line_type_id =
isl.ship_line_type_id
                                 AND     isl.ship_line_id =
from_parent_table_id
                                 )
                                ,'INL_CHARGE_LINES'
                                ,
                                 (
                                 SELECT DISTINCT TO_CHAR(petl.PRICE_ELEMENT_TYPE_ID)
                                 FROM    pon_price_element_types_tl petl
                                        ,inl_charge_lines cl
                                 WHERE   petl.price_element_type_id =
cl.charge_line_type_id
                                 AND  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
                        ,decode (from_parent_table_name
                                ,'INL_SHIP_LINES'
                                ,
                                 (
                                 SELECT  to_char (isl.ship_line_type_id)
                                 FROM    inl_ship_lines_all isl
                                 WHERE   isl.ship_line_id =
from_parent_table_id
                                 )
                                ,'INL_CHARGE_LINES'
                                ,
                                 (
                                 SELECT  to_char (cl.charge_line_type_id)
                                 FROM    inl_charge_lines cl
                                 WHERE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component_reference_id
                        ,allocation_amt
                        ,decode (parent_allocation_id
                                ,NULL
                                ,0
                                ,first_value (nvl (allocation_amt
                                                  ,0)) OVER (PARTITION
BY ia.ship_header_id
,parent_allocation_id
                                                             ORDER BY
ia.adjustment_num) ) estimated_allocation_amt
                 FROM    inl_allocations ia
                        ,inl_ship_headers_all ish
                 WHERE   ia.landed_cost_flag = 'Y'
                 AND     ish.last_update_date &gt; to_date(to_char(to_timestamp('25-APR-20'),'DD-MON-YY HH24.MI.SS'),'DD-MON-YY HH24.MI.SS')
                 AND     ish.ship_header_id = ia.ship_header_id
                 ) a
         GROUP BY a.ship_header_id
                 ,a.ship_line_id
                 ,a.adjustment_num
                 ,a.from_parent_table_name
                 ,a.component_type_code
                 ,a.component_reference
                 ,a.component_reference_id
         ) aa
        ,fnd_lookup_values flv3
        ,fnd_lookup_values flv2
        ,fnd_lookup_values flv1
        ,inl_ship_types_tl sttl
        ,inl_ship_types_b stb
        ,inl_ship_headers_all ish
        ,inl_ship_line_groups islg
        ,gl_ledgers gll
        ,rcv_shipment_headers rsh
        ,rcv_shipment_lines rsl
        ,mtl_system_items_tl msitl
        ,mtl_system_items_kfv msic
        ,inl_ship_lines_all isl
        ,mtl_parameters mp
        ,hr_all_organization_units hao
        ,hr_locations_all hrl3
        ,hr_locations_all hrl2
        ,hr_locations_all hrl1
        ,hz_parties hp1
        ,hz_party_sites hps1
        ,hz_locations hl
        ,po_line_locations_all pll
        ,po_lines_all pl
        ,po_headers_all ph
        ,per_all_people_f pbv
        ,mtl_categories_tl mc
        ,mtl_categories_kfv mcc
        ,hr_operating_units ou
WHERE   ou.organization_id = ish.org_id
AND     ou.set_of_books_id = gll.ledger_id
AND     flv3.lookup_code = ph.type_lookup_code
AND     flv3.lookup_type = 'PO TYPE'
AND     flv2.lookup_code = ish.ship_status_code
AND     flv2.lookup_type = 'INL_SHIP_STATUSES'
AND     flv2.language =  flv3.language
AND     decode (aa.from_parent_table_name
                ,'INL_SHIP_LINES'
                ,'SL'
                ,'INL_CHARGE_LINES'
                ,'CHL'
                ,'INL_TAX_LINES'
                ,'TXL'
                ,NULL) = flv1.lookup_code
AND     flv1.lookup_type = 'INL_COMPONENTS'
AND     flv1.language =  flv3.language
AND     hrl3.location_id (+) = rsh.ship_to_location_id
AND     hrl2.location_id (+) = rsl.deliver_to_location_id
AND     hrl1.location_id (+) = ish.location_id
AND     mc.category_id (+) = mcc.category_id
AND    ( mc.language IS NULL OR mc.language= flv3.language)
AND     mcc.category_id (+) = pl.category_id
AND     msitl.organization_id = msic.organization_id
AND     msitl.inventory_item_id = msic.inventory_item_id
AND     msitl.language =flv3.language
AND     msic.organization_id = ish.organization_id
AND     hao.organization_id = ish.organization_id
AND     msic.inventory_item_id = isl.inventory_item_id
AND     hl.location_id (+) = hps1.location_id
AND     hps1.party_site_id (+) = islg.party_site_id
AND     hp1.party_id (+) = islg.party_id
AND     pbv.person_id = ph.agent_id
AND     sysdate BETWEEN nvl (pbv.effective_start_date
                             ,sysdate - 1)
                 AND     nvl (pbv.effective_end_date
                             ,sysdate + 1)
AND     sttl.ship_type_id = stb.ship_type_id
AND     sttl.language =  flv3.language
AND     stb.ship_type_id = ish.ship_type_id
AND     mp.organization_id = ish.organization_id
AND     rsh.shipment_header_id (+) = rsl.shipment_header_id
AND     rsl.lcm_shipment_line_id (+) = nvl (isl.parent_ship_line_id
                                            ,isl.ship_line_id)
AND     NOT EXISTS
             (
             SELECT  'X'
             FROM    rcv_transactions a
                    ,rcv_shipment_headers b
             WHERE   a.lcm_shipment_line_id = isl.ship_line_id
             AND     a.po_line_location_id = pll.line_location_id
             AND     b.shipment_header_id = a.shipment_header_id
             AND     b.asn_type IS NOT NULL
             AND     b.asn_type &lt;&gt; 'LCM'
             )
AND     ph.po_header_id = pl.po_header_id
AND     pl.po_line_id = pll.po_line_id
AND     pll.line_location_id = isl.ship_line_source_id
AND     aa.ship_header_id = ish.ship_header_id
AND     aa.ship_line_id = isl.ship_line_id
AND     aa.adjustment_num =
                             (
                             SELECT  max (adjustment_num)
                             FROM    inl_allocations a
                             WHERE   a.ship_header_id = aa.ship_header_id
                             )
AND     isl.ship_header_id = islg.ship_header_id
AND     isl.ship_line_group_id = islg.ship_line_group_id
AND     islg.ship_header_id = ish.ship_header_id
AND     ish.simulation_id IS NULL)) UNION SELECT  ecc_spec_id
       ,ecc_record_type
       ,ecc_last_update_date
       ,language
       ,ish_shipment_header_id
       ,ish_shipment_num
       ,ish_shipment_type_code
       ,ish_shipment_ty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</si>
  <si>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TO_DATE('26-APR-20 01:57:45','DD-MON-RR HH24:MI:SS') + 7 ))  AND (wdj.last_update_date &gt;= TO_DATE('26-APR-20 01:57:45','DD-MON-RR HH24:MI:SS')
                                                        OR wo.last_update_date &gt;= TO_DATE('26-APR-20 01:57:45','DD-MON-RR HH24:MI:SS')
                                                        OR we.last_update_date &gt;= TO_DATE('26-APR-20 01:57:45','DD-MON-RR HH24:MI:SS')
                                                        OR wmt.last_update_date &gt;= TO_DATE('26-APR-20 01:57:45','DD-MON-RR HH24:MI:SS')
                                                        OR bd.last_update_date &gt;= TO_DATE('26-APR-20 01:57:45','DD-MON-RR HH24:MI:SS')
                                                        OR bso.last_update_date &gt;= TO_DATE('26-APR-20 01:57:45','DD-MON-RR HH24:MI:SS')
                                                        OR mtr.last_update_date &gt;= TO_DATE('26-APR-20 01:57:45','DD-MON-RR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</si>
  <si>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TO_DATE('26-APR-20 01:57:45','DD-MON-RR HH24:MI:SS') + 7 )) AND (wdj.last_update_date &gt;= TO_DATE('26-APR-20 01:57:45','DD-MON-RR HH24:MI:SS')
													     OR we.last_update_date &gt;= TO_DATE('26-APR-20 01:57:45','DD-MON-RR HH24:MI:SS')
                                                         OR msn.last_update_date &gt;= TO_DATE('26-APR-20 01:57:45','DD-MON-RR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TO_DATE('26-APR-20 01:57:45','DD-MON-RR HH24:MI:SS')
													     OR we.last_update_date &gt;= TO_DATE('26-APR-20 01:57:45','DD-MON-RR HH24:MI:SS')
                                                         OR msn.last_update_date &gt;= TO_DATE('26-APR-20 01:57:45','DD-MON-RR HH24:MI:SS')
                                                         OR mog.last_update_date &gt;= TO_DATE('26-APR-20 01:57:45','DD-MON-RR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</si>
  <si>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TO_DATE('25-APR-20 14:01:19','DD-MON-RR HH24:MI:SS') + 7 ))  AND (wdj.last_update_date &gt;= TO_DATE('25-APR-20 14:01:19','DD-MON-RR HH24:MI:SS')
                                                        OR wo.last_update_date &gt;= TO_DATE('25-APR-20 14:01:19','DD-MON-RR HH24:MI:SS')
                                                        OR we.last_update_date &gt;= TO_DATE('25-APR-20 14:01:19','DD-MON-RR HH24:MI:SS')
                                                        OR wmt.last_update_date &gt;= TO_DATE('25-APR-20 14:01:19','DD-MON-RR HH24:MI:SS')
                                                        OR bd.last_update_date &gt;= TO_DATE('25-APR-20 14:01:19','DD-MON-RR HH24:MI:SS')
                                                        OR bso.last_update_date &gt;= TO_DATE('25-APR-20 14:01:19','DD-MON-RR HH24:MI:SS')
                                                        OR mtr.last_update_date &gt;= TO_DATE('25-APR-20 14:01:19','DD-MON-RR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</si>
  <si>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TO_DATE('25-APR-20 14:01:19','DD-MON-RR HH24:MI:SS') + 7 )) AND (wdj.last_update_date &gt;= TO_DATE('25-APR-20 14:01:19','DD-MON-RR HH24:MI:SS')
													     OR we.last_update_date &gt;= TO_DATE('25-APR-20 14:01:19','DD-MON-RR HH24:MI:SS')
                                                         OR msn.last_update_date &gt;= TO_DATE('25-APR-20 14:01:19','DD-MON-RR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TO_DATE('25-APR-20 14:01:19','DD-MON-RR HH24:MI:SS')
													     OR we.last_update_date &gt;= TO_DATE('25-APR-20 14:01:19','DD-MON-RR HH24:MI:SS')
                                                         OR msn.last_update_date &gt;= TO_DATE('25-APR-20 14:01:19','DD-MON-RR HH24:MI:SS')
                                                         OR mog.last_update_date &gt;= TO_DATE('25-APR-20 14:01:19','DD-MON-RR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</si>
  <si>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to_date(to_char(to_timestamp('25-APR-20 01.53.45.000000 PM'),'DD-MON-YY HH24.MI.SS'),'DD-MON-YY HH24.MI.SS'))) OR  ( to_date(to_char(e.inst_last_upd_date , 'DD-MON-YY HH24.MI.SS') , 'DD-MON-YY HH24.MI.SS' ) &gt;=  to_date(to_char(to_timestamp('25-APR-20 01.53.45.000000 PM'),'DD-MON-YY HH24.MI.SS'),'DD-MON-YY HH24.MI.SS'))  OR  ( to_date(to_char(coa.last_update_date , 'DD-MON-YY HH24.MI.SS') , 'DD-MON-YY HH24.MI.SS' ) &gt;=  to_date(to_char(to_timestamp('25-APR-20 01.53.45.000000 PM'),'DD-MON-YY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to_date(to_char(to_timestamp('25-APR-20 01.53.45.000000 PM'),'DD-MON-YY HH24.MI.SS'),'DD-MON-YY HH24.MI.SS')))))</t>
  </si>
  <si>
    <t>SELECT * FROM (SELECT * FROM CN_ECC_QUOTA_V
				WHERE ECC_LAST_UPDATE_DATE &gt;= to_date(to_char(to_timestamp('25-APR-20 01.38.54.000000 PM'),'DD-MON-YY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</si>
  <si>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to_date(to_char(to_timestamp('25-APR-20 01.38.54.000000 PM'),'DD-MON-YY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</si>
  <si>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to_date(to_char(to_timestamp('26-APR-20 01.26.16.000000 AM'),'DD-MON-YY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</si>
  <si>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to_date(to_char(to_timestamp('26-APR-20 01.26.16.000000 AM'),'DD-MON-YY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</si>
  <si>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to_date(to_char(to_timestamp('25-APR-20 01.25.26.000000 PM'),'DD-MON-YY HH24.MI.SS'),'DD-MON-YY HH24.MI.SS')
			and status_type IN (1,3, 6,17) </t>
  </si>
  <si>
    <t>SELECT * FROM ( select
ECC_SPEC_ID, RECORD_TYPE, RECORD_IDENTIFIER, v.ORGANIZATION_ID, ORGCODE, ORGNAME, v.BATCH_ID, BATCH_NO, BATCH_STATUS,
BATCH_STATUS_DESCRIPTION,BATCH_TYPE, BATCH_TYPE_DESCRIPTION, BATCH_DELAYED, BATCH_DELAY_TIME, BATCH_DELAY_STRING, BATCH_TERMINATED_IND, RECIPE_VALIDITY_RULE_ID,
ROUTINGID, PLANNEDSTARTDATE,PLANNEDCOMPDATE, ACTUALSTARTDATE, ACTUALCOMPDATE, CLOSEDATE, DUEDATE, FORMULA_ID, FORMULA_NO,
FORMULA_VERS, FORMULADESC, RECIPE_ID, RECIPE_NO, RECIPE_STATUS, RECIPE_STATUS_DESC,RECIPE_VERSION,
RECIPE_DESCRIPTION, ROUTING_NO, ROUTING_VERSION, ROUTING_DESCRIPTION, ROUTING_CLASS, ROUTING_STATUS, ROUTING_STATUS_DESC, FPO_ID, BATCH_HOLD_IND, HOLD_REASON, HOLD_START_DATE,
HOLD_COMMENTS, HOLD_REQUESTOR, BATCH_HOLD_TYPE, MATERIAL_DETAIL_ID, LINE_TYPE, LINE_DESCRIPTION, INVENTORY_ITEM_ID, ITEM_DESCRIPTION, ITEM, INVENTORY_PLANNING_CODE, PLANNER_CODE,
LINE_NO, PLANQTY,ACTUALQTY, WIPPLANQTY, DTL_UM, PLAN_MATERIAL_YIELD, WIP_PLAN_MATERIAL_YIELD, DTL_UNALLOC, STEPID, BATCHSTEP_NO, STEP_OPRN_NAME, STEP_OPRN_DESC, STEP_STATUS, STEPPLANNEDSTARTDATE,
STEPPLANNEDCOMPDATE, STEPACTUALSTARTDATE, STEPACTUALCOMPDATE, STEPCLOSEDATE, STEPPLANNEDQTY, STEPACTUALQTY, ROUTINGSTEPID, STEP_DELAYED,
STEP_DELAY_TIME, STEP_DELAY_STRING, ACTIVITY, BATCHSTEP_ACTVITY_ID, ACTPLANSTARTDATE, ACTPLANCOMPDATE, ACTACTUALSTARTDATE, ACTACTUALCOMPDATE, OPRN_LINE_ID, RES, RESOURCE_DESC,
RESPRIM_RSRC_IND, RESCAPACITY_UM, RESPLANLUSG, RESACTUALUSG, RESPLANQTY, RESACTUALQTY, RESPLANSTARTDATE, RESACTUALSTARTDATE, RESPLANCOMPDATE, RESACTUALCOMPDATE, RESUSAGE_UM,
RESRESOURCE_QTY_UM, RESPLAN_RSRC_COUNT,RESACTUAL_RSRC_COUNT, PP_PROCESS_PARAM_ID, PP_PARAMETER_NAME, PP_PARAMETER_DESCRIPTION, PP_PARAMETER_ID, PP_ACTUAL_VALUE, PP_TARGET_VALUE, PP_MINIMUM_VALUE, PP_MAXIMUM_VALUE,
PP_PARAMETER_UOM, SAMPLE_ID, EVENT_SPEC_DISP_ID, RESULT_ID, SAMPLE_NUMBER, LAB_NAME, DISPOSITION, DISPOSITION_CODE, SAMPLESTEP_NO, SEQUENCE,
TEST, TEST_EVALUATION, RESULT, TARGET, UNIT, MIN_VALUE, MAX_VALUE, RESULT_DATE, TESTER, NONCONFORM_SEVERITY, NONCONFORMANCE_TYPE, NONCONFORMANCE_STATUS, NCM_DATE_OPENED,
NCM_PLAN_ID, NCM_COLLECTION_ID, NCM_OCCURRENCE, NCM_LAST_UPDATE_DATE, NONCONFORMANCE_NUMBER, NONCONFORMANCE_OWNER, NONCONFORMANCE_DESC, EID_LAST_UPDATE_DATE,
LANGUAGE, COMPLETED_TODAY, COMPLETED_LAST_WEEK, HAS_ACCEPTED_SAMPLES, HAS_REJECTED_SAMPLES, HAS_VARIANCE_SAMPLES,
TOTAL_NON_CONFORMANCES,NONCONFORMANCES 
from
OPM_ECC_QUALITY_V v
where
LAST_UPDATE_DATE &gt;= TO_DATE('25-APR-20','DD-MON-RR HH24:MI:SS')
and language in ('US')  )
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</si>
  <si>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SELECT * FROM (
select
ECC_SPEC_ID, RECORD_TYPE, RECORD_IDENTIFIER, v.ORGANIZATION_ID, ORGCODE, ORGNAME, v.BATCH_ID, BATCH_NO, BATCH_STATUS,
BATCH_STATUS_DESCRIPTION, BATCH_TYPE, BATCH_TYPE_DESCRIPTION, BATCH_DELAYED,
BATCH_DELAY_TIME, BATCH_DELAY_STRING, BATCH_TERMINATED_IND, RECIPE_VALIDITY_RULE_ID, ROUTINGID,
PLANNEDSTARTDATE, PLANNEDCOMPDATE, ACTUALSTARTDATE, ACTUALCOMPDATE, CLOSEDATE, DUEDATE, FORMULA_ID, FORMULA_NO, FORMULA_VERS,
FORMULADESC, RECIPE_ID, RECIPE_NO, RECIPE_STATUS, RECIPE_STATUS_DESC, RECIPE_VERSION, RECIPE_DESCRIPTION, ROUTING_NO,
ROUTING_VERSION, ROUTING_DESCRIPTION, ROUTING_CLASS, ROUTING_STATUS, ROUTING_STATUS_DESC, FPO_ID, BATCH_HOLD_IND,
HOLD_REASON, HOLD_START_DATE, HOLD_COMMENTS, HOLD_REQUESTOR, BATCH_HOLD_TYPE, MATERIAL_DETAIL_ID, LINE_TYPE, LINE_DESCRIPTION,
INVENTORY_ITEM_ID, ITEM_DESCRIPTION, ITEM, INVENTORY_PLANNING_CODE, PLANNER_CODE, LINE_NO, PLANQTY, ACTUALQTY,
WIPPLANQTY, DTL_UM, PLAN_MATERIAL_YIELD, WIP_PLAN_MATERIAL_YIELD, DTL_UNALLOC, STEPID, BATCHSTEP_NO, STEP_OPRN_NAME
, STEP_OPRN_DESC, STEP_STATUS, STEPPLANNEDSTARTDATE, STEPPLANNEDCOMPDATE, STEPACTUALSTARTDATE, STEPACTUALCOMPDATE, STEPCLOSEDATE, STEPPLANNEDQTY, STEPACTUALQTY, ROUTINGSTEPID, STEP_DELAYED, STEP_DELAY_TIME, STEP_DELAY_STRING, ACTIVITY,
BATCHSTEP_ACTVITY_ID, ACTPLANSTARTDATE, ACTPLANCOMPDATE, ACTACTUALSTARTDATE, ACTACTUALCOMPDATE, OPRN_LINE_ID, RES, RESOURCE_DESC, RESPRIM_RSRC_IND,
RESCAPACITY_UM, RESPLANLUSG,RESACTUALUSG, RESPLANQTY, RESACTUALQTY, RESPLANSTARTDATE, RESACTUALSTARTDATE,
RESPLANCOMPDATE, RESACTUALCOMPDATE, RESUSAGE_UM, RESRESOURCE_QTY_UM, RESPLAN_RSRC_COUNT, RESACTUAL_RSRC_COUNT,
PP_PROCESS_PARAM_ID, PP_PARAMETER_NAME, PP_PARAMETER_DESCRIPTION, PP_PARAMETER_ID, PP_ACTUAL_VALUE, PP_TARGET_VALUE, PP_MINIMUM_VALUE, PP_MAXIMUM_VALUE, PP_PARAMETER_UOM,
CUSTOMER_NAME, ORDER_NUMBER, RESERVATION_ID, SALES_ORDER_ID, ORD_LINE_ID, ORDERED_ITEM,
REQUEST_DATE, PROMISE_DATE, ORDER_QUANTITY_UOM, ORDERED_QUANTITY, TRANSACTION_TYPE_ID, TRANSACTION_TYPE_NAME, REAS_TRANSACTION_DATE,
REAS_TRANS_ID, LOT_NUMBER, SUBINVENTORY, LOCATOR_ID, TRANSACTION_QUANTITY, PRIMARY_QUANTITY, SECONDARY_TRANSACTION_QUANTITY, PRIMARY_UOM_CODE, SECONDARY_UOM_CODE, LPN_ID, REASON_ID, REASON_NAME, DESCRIPTION, EXP_LOT_NUMBER, EXP_PARENT_LOT_NUMBER,
EXP_SUPPLIER_LOT_NUMBER, EXP_LOT_GRADE_CODE, EXPIRATION_DATE, EXPIRATION_PERIOD, EXP_SUBINVENTORY, EXP_LOCATOR_ID, OH_EXP_TRANSACTION_QUANTITY, OH_EXP_PRIMARY_QUANTITY, SAMPLE_ID, EVENT_SPEC_DISP_ID, RESULT_ID, SAMPLE_NUMBER, LAB_NAME, DISPOSITION,
DISPOSITION_CODE, SAMPLESTEP_NO, SEQUENCE, TEST, TEST_EVALUATION, RESULT, TARGET, UNIT, MIN_VALUE, MAX_VALUE,
RESULT_DATE, TESTER, NONCONFORM_SEVERITY, NONCONFORMANCE_TYPE, NONCONFORMANCE_STATUS, NCM_DATE_OPENED, NCM_PLAN_ID, NCM_COLLECTION_ID, NCM_OCCURRENCE, NCM_LAST_UPDATE_DATE, NONCONFORMANCE_NUMBER, NONCONFORMANCE_OWNER,
NONCONFORMANCE_DESC, EID_LAST_UPDATE_DATE,
LANGUAGE, STARTING_TODAY, COMPLETING_TODAY, STARTED_TODAY, COMPLETED_TODAY, COMPLETED_YESTERDAY,
STARTING_TOMORROW, COMPLETING_TOMORROW, UPCOMING, FINISH_DELAYED, STARTED_LATE, UNALLOC_PRDT, ON_TRACK, DELAYED,ON_HOLD,UNALLOCATED,LAST_UPDATE_DATE 
from OPM_ECC_V v
where
LAST_UPDATE_DATE &gt;= TO_DATE('25-APR-20','DD-MON-RR HH24:MI:SS')
and language in ('US')  )
PIVOT (max(BATCH_HOLD_IND) AS BATCH_HOLD_IND ,max(ORGNAME) AS ORGNAME,max(BATCH_STATUS_DESCRIPTION) AS BATCH_STATUS_DESCRIPTION,max(STEP_STATUS) AS STEP_STATUS,max(LINE_DESCRIPTION)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RESOURCE_DESC,max(STEP_OPRN_DESC) as STEP_OPRN_DESC for LANGUAGE in ('US' "US"))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</si>
  <si>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to_date(to_char(to_timestamp('25-APR-20 01.01.37.000000 PM'),'DD-MON-YY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</si>
  <si>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select * from (SELECT ECC_SPEC_ID
    ,PERSON_ID
               ,COMPETENCY_NAME
               ,COM_EFFECTIVE_DATE_FROM
               ,COM_EFFECTIVE_DATE_TO
    ,LOGGED_USER_ID
    ,SECURITY_PROFILE_ID
               ,COM_LAST_UPDATE_DATE
,LANGUAGE
FROM PER_ECC_COMPETENCY_V where language in ('US') and COM_LAST_UPDATE_DATE &gt;=  to_date(to_char(to_timestamp('25-APR-20' ),'DD-MON-YY HH24.MI.SS'),'DD-MON-YY HH24.MI.SS')) PIVOT (max(COMPETENCY_NAME) as COMPETENCY_NAME for LANGUAGE in ('US' "US"))</t>
  </si>
  <si>
    <t>select * from (SELECT ECC_SPEC_ID
    ,PERSON_ID
               ,QUALIFICATION
    ,LOGGED_USER_ID
    ,SECURITY_PROFILE_ID
               ,QUA_LAST_UPDATE_DATE
,LANGUAGE
FROM PER_ECC_QUALIFICATION_V where language in ('US') and QUA_LAST_UPDATE_DATE &gt;=  to_date(to_char(to_timestamp('25-APR-20' ),'DD-MON-YY HH24.MI.SS'),'DD-MON-YY HH24.MI.SS')) PIVOT (max(QUALIFICATION) as QUALIFICATION for LANGUAGE in ('US' "US"))</t>
  </si>
  <si>
    <t>select * from (SELECT ECC_SPEC_ID
    ,PERSON_ID
               ,PERFORMANCE_RATING
               ,REVIEW_DATE
    ,LOGGED_USER_ID
    ,SECURITY_PROFILE_ID
               ,PER_LAST_UPDATE_DATE
,LANGUAGE
FROM PER_ECC_PERFORMANCE_V where language in ('US') and PER_LAST_UPDATE_DATE &gt;=  to_date(to_char(to_timestamp('25-APR-20' ),'DD-MON-YY HH24.MI.SS'),'DD-MON-YY HH24.MI.SS')) PIVOT (max(PERFORMANCE_RATING) as PERFORMANCE_RATING for LANGUAGE in ('US' "US"))</t>
  </si>
  <si>
    <t>select * from (SELECT ECC_SPEC_ID
    ,PERSON_ID
               ,TAG
    ,LOGGED_USER_ID
    ,SECURITY_PROFILE_ID
               ,TAG_LAST_UPDATE_DATE
,LANGUAGE
FROM PER_ECC_TAG_V where language in ('US') and TAG_LAST_UPDATE_DATE &gt;=  to_date(to_char(to_timestamp('25-APR-20' ),'DD-MON-YY HH24.MI.SS'),'DD-MON-YY HH24.MI.SS')) PIVOT (max(TAG) as TAG for LANGUAGE in ('US' "US"))</t>
  </si>
  <si>
    <t>select * from (SELECT ECC_SPEC_ID
    ,PERSON_ID
               ,PHONE_NUMBER
    ,LOGGED_USER_ID
    ,SECURITY_PROFILE_ID
               ,PHN_LAST_UPDATE_DATE
,LANGUAGE
FROM PER_ECC_PHONE_V where language in ('US') and PHN_LAST_UPDATE_DATE &gt;=  to_date(to_char(to_timestamp('25-APR-20' ),'DD-MON-YY HH24.MI.SS'),'DD-MON-YY HH24.MI.SS')) PIVOT (max(PHONE_NUMBER) as PHONE_NUMBER for LANGUAGE in ('US' "US"))</t>
  </si>
  <si>
    <t>select * from (SELECT ECC_SPEC_ID
    ,PERSON_ID
               ,ADDRESS_STYLE
               ,ADDRESS_TYPE
               ,ADDRESS
               ,ADDRESS_DATE_FROM
               ,ADDRESS_DATE_TO
    ,LOGGED_USER_ID
    ,SECURITY_PROFILE_ID
               ,ADD_LAST_UPDATE_DATE
,LANGUAGE
FROM PER_ECC_ADDRESS_V where language in ('US') and ADD_LAST_UPDATE_DATE &gt;=  to_date(to_char(to_timestamp('25-APR-20' ),'DD-MON-YY HH24.MI.SS'),'DD-MON-YY HH24.MI.SS')) PIVOT (max(ADDRESS_TYPE) as ADDRESS_TYPE for LANGUAGE in ('US' "US"))</t>
  </si>
  <si>
    <t>select * from (SELECT ECC_SPEC_ID
                ,PERSON_ID
                ,USER_ID
               ,ASG_EFFECTIVE_START_DATE
               ,ASG_EFFECTIVE_END_DATE
               ,ASSIGNMENT_ID
               ,ASG_PRIMARY_FLAG
               ,EMPLOYEE_CATEGORY
               ,EMPLOYMENT_CATEGORY
               ,ASSIGNMENT_CATEGORY
               ,ASSIGNMENT_STATUS
               ,ASSIGNMENT_TYPE
               ,REMOTE_WORKER
               ,PROBATION_PERIOD
               ,BARGAINING_UNIT
               ,ORGANIZATION
               ,PEOPLE_GROUP
               ,JOB
               ,POSITION
               ,GRADE
               ,PAYROLL
               ,LOCATION
               ,GRADE_CHANGE
               ,JOB_CHANGE
               ,POSITION_CHANGE
               ,LOCATION_CHANGE
               ,ORGANIZATION_CHANGE
    ,SALARY_CHANGE
    ,COUNTRY
               ,SUPERVISOR
               ,SUPERVISOR_ID
               ,SUPERVISOR_USER_ID
               ,SALARY_BASIS
               ,REGULATORY_REGION
               ,DERIVED_LOCATION
               ,COORDINATES
    ,LOGGED_USER_ID
    ,SECURITY_PROFILE_ID
               ,ASG_LAST_UPDATE_DATE
               ,IS_MANAGER
,LANGUAGE
FROM PER_ECC_ASSIGNMENT_V where language in ('US') and ASG_LAST_UPDATE_DATE &gt;=  to_date(to_char(to_timestamp('25-APR-20' ),'DD-MON-YY HH24.MI.SS'),'DD-MON-YY HH24.MI.SS')) PIVOT (max(EMPLOYEE_CATEGORY) as EMPLOYEE_CATEGORY, max(EMPLOYMENT_CATEGORY) as EMPLOYMENT_CATEGORY,
  max(BARGAINING_UNIT) as BARGAINING_UNIT, max(COUNTRY) as COUNTRY, max(PROBATION_PERIOD) as PROBATION_PERIOD
                                                  , max(ORGANIZATION) as ORGANIZATION
                                                  , max(JOB) as JOB
                                                  , max(POSITION) as POSITION
                                                  , max(LOCATION) as LOCATION
                                                  , max(GRADE) as GRADE for LANGUAGE in ('US' "US"))</t>
  </si>
  <si>
    <t>select * from (SELECT ECC_SPEC_ID
        ,PERSON_ID
               ,PERSON
               ,IMAGE
               ,BUSINESS_GROUP_ID
               ,PEOPLE_EFFECTIVE_START_DATE
               ,PEOPLE_EFFECTIVE_END_DATE
               ,FIRST_NAME
               ,LAST_NAME
               ,MIDDLE_NAME
               ,KNOWN_AS
               ,FULL_NAME
               ,EMAIL_ADDRESS
               ,MARITAL_STATUS
               ,NATIONALITY
               ,PERSON_TYPE
               ,CURRENTLY_EMPLOYEE
               ,CURRENTLY_APPLICANT
               ,CURRENTLY_CONTINGENT_WORKER
               ,DATE_OF_BIRTH
               ,AGE
               ,BIRTH_ANNIVERSARY
               ,GENDER
               ,WORK_EXPERIENCE
               ,BLOOD_GROUP
               ,JOINING_DATE
               ,RELIEVING_DATE
               ,TENURE
               ,WORK_ANNIVERSARY
    ,LOGGED_USER_ID
    ,SECURITY_PROFILE_ID
               ,PEO_LAST_UPDATE_DATE
,LANGUAGE
FROM PER_ECC_PEOPLE_V where language in ('US') and PEO_LAST_UPDATE_DATE &gt;=  to_date(to_char(to_timestamp('25-APR-20' ),'DD-MON-YY HH24.MI.SS'),'DD-MON-YY HH24.MI.SS')) PIVOT (max(MARITAL_STATUS) as MARITAL_STATUS, max(NATIONALITY) as NATIONALITY, max(GENDER) as GENDER, max(PERSON_TYPE) as PERSON_TYPE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</si>
  <si>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QA_ECC_RESULTS_NC_V WHERE ECC_LAST_UPDATE_DATE &gt;= to_date('25-APR-20','DD-MON-YYYY HH24:MI:SS') AND LANGUAGE IN ('US'))
                                PIVOT ( MAX(ITEM_DESCRIPTION) AS ITEM_DESCRIPTION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</si>
  <si>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QA_ECC_RESULTS_V WHERE ECC_LAST_UPDATE_DATE &gt;= to_date('25-APR-20','DD-MON-RR HH24:MI:SS') AND LANGUAGE IN ('US'))
                                  PIVOT ( MAX(ITEM_DESCRIPTION) AS ITEM_DESCRIPTION FOR LANGUAGE IN ('US' "US"))</t>
  </si>
  <si>
    <t>SELECT * FROM ( SELECT TX_DESC,DATE_BUCKET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,TXN_NUMEBR,ECC_SPEC_ID,PLAN_NAME,PLAN_DESCRIPTION,PLAN_TYPE,PLAN_ID FROM QA_ECC_RESULTS_CA_V WHERE ECC_LAST_UPDATE_DATE &gt;= to_date('25-APR-20','DD-MON-RR HH24:MI:SS') AND LANGUAGE IN ('US'))
                                PIVOT ( MAX(ITEM_DESCRIPTION) AS ITEM_DESCRIPTION FOR LANGUAGE IN ('US' "US"))</t>
  </si>
  <si>
    <t>1m 8s</t>
  </si>
  <si>
    <t>select * from (  select * from ICX_CAT_ECC_100793_VL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</si>
  <si>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</si>
  <si>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</si>
  <si>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</si>
  <si>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</si>
  <si>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</si>
  <si>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</si>
  <si>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</si>
  <si>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</si>
  <si>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</si>
  <si>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</si>
  <si>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</si>
  <si>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</si>
  <si>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</si>
  <si>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</si>
  <si>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</si>
  <si>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</si>
  <si>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</si>
  <si>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</si>
  <si>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</si>
  <si>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</si>
  <si>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</si>
  <si>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</si>
  <si>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</si>
  <si>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</si>
  <si>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</si>
  <si>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</si>
  <si>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</si>
  <si>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</si>
  <si>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</si>
  <si>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</si>
  <si>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</si>
  <si>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</si>
  <si>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</si>
  <si>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</si>
  <si>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</si>
  <si>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</si>
  <si>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</si>
  <si>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</si>
  <si>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</si>
  <si>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</si>
  <si>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</si>
  <si>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</si>
  <si>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</si>
  <si>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</si>
  <si>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</si>
  <si>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</si>
  <si>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</si>
  <si>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</si>
  <si>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</si>
  <si>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</si>
  <si>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</si>
  <si>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</si>
  <si>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</si>
  <si>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</si>
  <si>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</si>
  <si>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</si>
  <si>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</si>
  <si>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</si>
  <si>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</si>
  <si>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</si>
  <si>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</si>
  <si>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</si>
  <si>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</si>
  <si>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</si>
  <si>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</si>
  <si>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</si>
  <si>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</si>
  <si>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</si>
  <si>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</si>
  <si>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</si>
  <si>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</si>
  <si>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</si>
  <si>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</si>
  <si>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</si>
  <si>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</si>
  <si>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</si>
  <si>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</si>
  <si>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</si>
  <si>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</si>
  <si>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</si>
  <si>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</si>
  <si>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</si>
  <si>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</si>
  <si>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</si>
  <si>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</si>
  <si>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</si>
  <si>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</si>
  <si>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</si>
  <si>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</si>
  <si>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</si>
  <si>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</si>
  <si>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</si>
  <si>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</si>
  <si>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</si>
  <si>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</si>
  <si>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</si>
  <si>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</si>
  <si>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</si>
  <si>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</si>
  <si>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</si>
  <si>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</si>
  <si>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</si>
  <si>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</si>
  <si>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</si>
  <si>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</si>
  <si>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</si>
  <si>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</si>
  <si>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</si>
  <si>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</si>
  <si>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</si>
  <si>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</si>
  <si>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</si>
  <si>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</si>
  <si>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</si>
  <si>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</si>
  <si>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</si>
  <si>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</si>
  <si>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</si>
  <si>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</si>
  <si>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</si>
  <si>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</si>
  <si>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</si>
  <si>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</si>
  <si>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</si>
  <si>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</si>
  <si>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</si>
  <si>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</si>
  <si>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</si>
  <si>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</si>
  <si>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</si>
  <si>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</si>
  <si>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</si>
  <si>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</si>
  <si>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</si>
  <si>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</si>
  <si>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</si>
  <si>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</si>
  <si>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</si>
  <si>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</si>
  <si>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</si>
  <si>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</si>
  <si>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</si>
  <si>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</si>
  <si>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</si>
  <si>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to_date(to_char(to_timestamp('25-APR-20 12.10.34.000000 PM'),'DD-MON-YY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</si>
  <si>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to_date(to_char(to_timestamp('25-APR-20 12.10.34.000000 PM'),'DD-MON-YY HH24.MI.SS'),'DD-MON-YY HH24.MI.SS') </t>
  </si>
  <si>
    <t xml:space="preserve">SELECT
              ecc_spec_id,
              zonesi
              from icx_cat_ecc_zones_i WHERE ECC_LAST_UPDATE_DATE &gt;=  to_date(to_char(to_timestamp('25-APR-20 12.10.34.000000 PM'),'DD-MON-YY HH24.MI.SS'),'DD-MON-YY HH24.MI.SS') </t>
  </si>
  <si>
    <t xml:space="preserve">SELECT
              ecc_spec_id,
              zonesp
              from icx_cat_ecc_zones_p WHERE ECC_LAST_UPDATE_DATE &gt;=  to_date(to_char(to_timestamp('25-APR-20 12.10.34.000000 PM'),'DD-MON-YY HH24.MI.SS'),'DD-MON-YY HH24.MI.SS') </t>
  </si>
  <si>
    <t xml:space="preserve">SELECT
              ecc_spec_id,
              zonesb
              from icx_cat_ecc_zones_b WHERE ECC_LAST_UPDATE_DATE &gt;=  to_date(to_char(to_timestamp('25-APR-20 12.10.34.000000 PM'),'DD-MON-YY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</si>
  <si>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to_date(to_char(to_timestamp('25-APR-20 12.10.34.000000 PM'),'DD-MON-YY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</si>
  <si>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to_date(to_char(to_timestamp('25-APR-20 12.10.34.000000 PM'),'DD-MON-YY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</si>
  <si>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to_date(to_char(to_timestamp('25-APR-20 10.56.44.000000 AM'),'DD-MON-YY HH.MI.SS'),'DD-MON-YY HH.MI.SS')) PIVOT ( Max(source_doc_type) AS source_doc_type,
          Max(source_name) AS source_name,
          Max(item_description) AS item_description for LANGUAGE in ( 'US' "US"))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</si>
  <si>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to_date(to_char(to_timestamp('25-APR-20 10.56.44.000000 AM'),'DD-MON-YY HH.MI.SS'),'DD-MON-YY HH.MI.SS') UNION ALL SELECT ECC_SPEC_ID from RCV_ECC_RECEIPTS_ASNLCM_V
WHERE SHIPMENT_LINE_STATUS_CODE in('FULLY RECEIVED', 'CANCELLED')
 AND last_update_date &gt;  to_date(to_char(to_timestamp('25-APR-20 10.56.44.000000 AM'),'DD-MON-YY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to_date(to_char(to_timestamp('25-APR-20 10.56.44.000000 AM'),'DD-MON-YY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to_date(to_char(to_timestamp('25-APR-20 10.56.44.000000 AM'),'DD-MON-YY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to_date(to_char(to_timestamp('25-APR-20 10.56.44.000000 AM'),'DD-MON-YY HH.MI.SS'),'DD-MON-YY HH.MI.SS')</t>
  </si>
  <si>
    <t>24m 39s</t>
  </si>
  <si>
    <t>24m 31s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</si>
  <si>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to_date(to_char(to_timestamp('25-APR-20 06.47.39.000000 AM'),'DD-MON-YY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</si>
  <si>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to_date(to_char(to_timestamp('25-APR-20 06.47.39.000000 AM'),'DD-MON-YY HH24.MI.SS'),'DD-MON-YY HH24.MI.SS') </t>
  </si>
  <si>
    <t xml:space="preserve">There is SQLException while applying load rule for dataset okl-cash for job 59,618.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</si>
  <si>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(select
record_type,
ecc_spec_id,
tmp.expenditure_item_id,
tmp.expenditure_id,
tmp.project_id,
project_name,
project_number,
user_project_type,
project_type_class_code,
tmp.project_type,
project_manager,
project_start_date,
project_completion_date,
project_organization,
project_status_name,
project_status,
project_budget,
task_plan_capitalizable,
task_non_plan_capitalize,
proj_plan_capitalize,
proj_non_plan_capitalize,
tmp.proj_capitalizable,
actual_capitalizable,
actual_non_capitalizable,
actual_yet_to_capitalizable,
project_revenue_budget,
proj_grouping_method,
proj_grp_supplier_invoice,
proj_asset_cost_alloc_mhd,
proj_enbl_burden_cost_acc,
current_pa_period,
current_gl_period,
current_reporting_pa_period,
tmp.projfunc_currency_code,
tmp.number_of_assets,
tmp.proj_capitalized_cost,
(proj_capitalizable-proj_capitalized_cost)proj_cip_cost,
tmp.task_id,
tmp.task_number,
tmp.task_name,
tmp.top_task_id,
tmp.top_task_name,
tmp.top_task_number,
tmp.task_start_date,
tmp.task_finish_date,
tmp.task_manager,
tmp.task_organization,
tmp.task_burden_schedule,
tmp.task_billable_flag,
tmp.task_work_type,
tmp.expenditure_item_date,
tmp.expenditure_week_ending_date,
tmp.expenditure_type,
tmp.expenditure_category,
tmp.expenditure_type_class,
tmp.incurred_by_person_id,
tmp.employee_name,
tmp.employee_number,
tmp.location_code,
tmp.job_id,
tmp.job_name,
tmp.incurred_by_organization_id,
tmp.override_to_organization_id,
tmp.expenditure_organization_id,
tmp.expenditure_org_name,
tmp.non_labor_resource,
tmp.system_linkage_function,
tmp.transaction_source_code,
nvl (tmp.transaction_source,'Projects') transaction_source,
tmp.orig_transaction_ref,
tmp.expenditure_group,
tmp.ei_pend_burden_dist,
decode(tmp.ei_pend_burden_dist, 'Y', 1, 0) ei_pend_burden_dist_count,
tmp.ei_group_unreleased,
decode(tmp.ei_group_unreleased, 'Y', 1, 0) ei_group_unreleased_count,
tmp.ei_cost_exception,
decode(tmp.ei_cost_exception, 'Y', 1, 0) ei_cost_exception_count,
tmp.ei_uncosted,
decode(tmp.ei_uncosted, 'Y', 1, 0) ei_uncosted_count,
tmp.ei_costed,
decode(tmp.ei_costed, 'Y', 1, 0) ei_costed_count,
tmp.ei_costed_value,
tmp.quantity,
tmp.burden_cost,
tmp.ei_labor_cost,
tmp.ei_non_labor_cost,
tmp.unit_of_measure,
tmp.unit_of_measure_m,
tmp.raw_cost,
tmp.raw_cost_rate,
tmp.cost_distributed_flag,
tmp.cost_distributed,
tmp.cost_dist_rejection_code,
tmp.revenue_distributed,
tmp.revenue_distributed_flag,
tmp.billed,
tmp.billable_flag,
tmp.billable,
tmp.bill_hold_flag,
tmp.bill_hold,
tmp.billed_cost,
tmp.billable_unbilled_cost,
tmp.billable_onhold_cost,
tmp.bill_billable_cost,
tmp.bill_nonbilable_flag,
tmp.bill_nonbilable_cost,
tmp.bill_billhold_cost,
tmp.bill_billed_flag,
tmp.bill_billed_cost,
tmp.bill_not_billed_flag,
tmp.bill_not_billed_cost,
tmp.ei_work_burden_cost,
tmp.burdened_cost,
tmp.burdened_cost_rate,
tmp.denom_currency_code,
tmp.denom_raw_cost,
tmp.denom_burdened_cost,
tmp.acct_currency_code,
tmp.acct_rate_type,
tmp.acct_rate_date,
tmp.acct_exchange_rate,
tmp.acct_raw_cost,
tmp.acct_burdened_cost,
cip_cost,
tmp.project_currency_code,
tmp.project_raw_cost,
tmp.project_burdened_cost,
tmp.cost_bur_distributed_flag,
tmp.capitalizable_flag,
tmp.capitalizable,
tmp.asset_line_generated,
(decode(project_type_class_code,'CAPITAL',decode(capitalizable_flag,'N',tmp.cdl_amount,0),0))non_capitalizable_cost,
(decode(project_type_class_code,'CAPITAL',decode(capitalizable_flag,'Y',tmp.cdl_amount,0),0))capitalizable_cost,
(decode(project_type_class_code,'CAPITAL',decode(capitalized_flag,'Y',tmp.cdl_amount,0),0))capitalized_cost,
tmp.capitalized_flag,
tmp.capitalized,
tmp.capitalizable_cap_hold_flag,
tmp.capitalizable_cap_hold,
tmp.adjusted_expenditure_item_id,
tmp.net_zero_adjustment_flag,
tmp.net_zero_adjustment,
tmp.transferred_from_exp_item_id,
tmp.transferred_item_flag,
tmp.cc_cross_charge_code,
tmp.cc_cross_charge_type,
tmp.cc_bl_distributed_code,
tmp.org_id,
tmp.vendor_id,
tmp.vendor_name,
tmp.document_header_id,
tmp.document_distribution_id,
tmp.document_line_number,
tmp.document_payment_id,
tmp.document_type,
tmp.document_distribution_type,
tmp.Operating_Unit,
tmp.capital_cost_code_amt,
tmp.line_num,
tmp.line_type_code,
tmp.line_type,
tmp.reversed_flag,
tmp.transfer_status_code,
tmp.pa_date,
tmp.gl_date,
tmp.recvr_pa_date,
tmp.recvr_gl_date,
tmp.pa_period_name,
tmp.gl_period_name,
tmp.recvr_pa_period_name,
tmp.recvr_gl_period_name,
tmp.acct_event_id,
tmp.amount,
tmp.cdl_burdened_cost,
tmp.cdl_amount,
tmp.cdl_acct_status,
tmp.bl_acct_status,
tmp.exp_group_status_code,
tmp.exp_group_status,
tmp.expenditure_status,
tmp.precosting_status_code,
tmp.precosting_status,
asset_name,
tmp.work_type,
po_number,
po_line_number,
receipt_number,
receipt_line_number,
invoice_no,
invoice_line_number,
po_distribution_line_number,
invoice_distribution_line_no,
debit_account,
credit_account,
accounting_source,
transfer_status,
tmp.provider_le_name,
tmp.receiver_le_name,
tmp.receiver_operating_unit,
tmp.transfer_price,
tmp.labot_tp_sch_name,
tmp.non_labor_tp_sch_name,
accounting_status_code,
project_sla_acc_status,
sla_gl_acc_status,
pre_accounting_status,
tmp.project_exchange_rate,
tmp.project_rate_date,
tmp.project_rate_type,
tmp.revenue_accrued,
tmp.burden_schedule,
tmp.transfer_rejection_reason,
tmp.cc_rejection_reason,
alert_type,
alert_text,
cost_identifier,
unaccounted,
(decode(tmp.unaccounted,'Unaccounted','Y',null))ei_unaccounted,
(decode(tmp.unaccounted,'Unaccounted',1,0))ei_unaccounted_count,
(decode(tmp.unaccounted,'Unaccounted',tmp.raw_cost,null))ei_unaccounted_cost,
accounting_exception,
project_accounted,
sla_accounted,
gl_accounted,
(decode(nvl(tmp.project_accounted,'N'),'Y',tmp.amount,0))project_accounted_cost,
(decode(nvl(tmp.sla_accounted,'N'),'Y',tmp.amount,0))sla_accounted_cost,
(decode(nvl(tmp.gl_accounted,'N'),'Y',tmp.amount,0))gl_accounted_cost,
ei_account_exception,
(decode(nvl(tmp.ei_account_exception,'N'),'Y',tmp.amount,0))ei_account_exception_cost,
ei_accounted,
(decode(nvl(tmp.ei_accounted,'N'),'Y',tmp.amount,0))ei_accounted_cost,
sla_acct_code,
language,
NVL(tmp.sla_gl_acc_status,tmp.project_sla_acc_status) exp_accounting_stage,
( SELECT
nvl( pa_utils.get_lookup_values ( 'PA_EI_ACCOUNTING_STATUS',(CASE
WHEN(tmp.cost_distributed_flag = 'Y'
AND xea.gl_transfer_status_code = 'Y'
OR nvl(tmp.historical_flag, 'Y') = 'Y') THEN 'GL'
WHEN tmp.cost_distributed_flag = 'Y'
AND xea.gl_transfer_status_code &lt;&gt; 'Y'
AND pa_utils.iseifinalaccounted(cdl.expenditure_item_id, cdl.line_num) = 'Y' THEN 'PGL'
END), tmp.language),
pa_utils.get_lookup_values('PA_EI_ACCOUNTING_STATUS',(CASE
WHEN tmp.cost_distributed_flag = 'Y'
AND DECODE(cdl.transfer_status_code, 'X', 'PSLA', 'R', 'PSLA', 'P', 'PSLA', 'A', DECODE(pa_utils.iseifinalaccounted(cdl.expenditure_item_id, cdl.line_num), 'N', 'PSLA', 'SLA')) = 'PSLA'
THEN 'PSLA'
WHEN tmp.cost_distributed_flag = 'Y'
AND cdl.transfer_status_code NOT IN( 'V', 'G') THEN 'SLA'
END), tmp.language)
)
FROM
(
SELECT
        cd.*
    FROM
        (
            SELECT
                c.expenditure_item_id,
                c.transfer_status_code,
                c.acct_event_id,
                c.line_num
            FROM
                pa_cost_dist_lines_v c
            WHERE
                c.line_type IN (
                    'D'
                )
                AND c.creation_date &gt;= '25-APR-19'
				and (c.expenditure_item_id, c.line_num) in
				(select expenditure_item_id, max(line_num)
				from  pa_cost_dist_lines_v b
				where creation_date &gt;='25-APR-19'
				and line_type = 'D'
				group by b.expenditure_item_id
				)
        ) cd
) cdl,
xla_ae_headers xea
WHERE
tmp.cost_distributed_flag = 'Y'
AND cdl.expenditure_item_id = tmp.expenditure_item_id
and cdl.acct_event_id is not null
AND xea.balance_type_code (+) = 'A'
AND cdl.acct_event_id = xea.event_id(+)
AND tmp.set_of_books_id = xea.ledger_id(+)
) acct_status_tot_bur,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    and pa_utils.iseifinalaccounted(tmp.expenditure_item_id, cdl.line_num) = 'N'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'25-APR-19'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'25-APR-19'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pending_final_accounting,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	AND tmp.capitalized_flag = 'N'
    and pa_utils.iseifinalaccounted(tmp.expenditure_item_id, cdl.line_num) = 'Y'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'25-APR-19'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'25-APR-19'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proj_cost_pend_al_gen,
tmp.asset_asgn_exists_code,
DECODE(project_type_class_code, 'CAPITAL', pa_utils.get_lookup_values('PA_ASSET_ASG_LEVEL', tmp.asset_asgn_exists_code, tmp.language)) asset_assignment_exists,
tmp.grouped_task_id,
DECODE(project_type_class_code, 'CAPITAL', decode(tmp.grouped_task_id,-9999,NULL,(select task_number from pa_tasks where task_id = tmp.grouped_task_id))) grouped_task_number,
DECODE(project_type_class_code, 'CAPITAL', decode(tmp.grouped_task_id,-9999,NULL,(select task_name from pa_tasks where task_id = tmp.grouped_task_id))) grouped_task_name , dfv2.* 
from
(
SELECT DISTINCT
'PROJ_DS_EICDL' record_type,
'PROJ-'
|| TO_CHAR(ei.expenditure_item_id) ecc_spec_id,
ei.expenditure_item_id,
ei.expenditure_id,
ei.project_id,
ei.project_name,
ei.project_number,
ei.project_type user_project_type,
ei.project_type_class_code ,
ei.CAPITAL_COST_TYPE_CODE,
pa_utils.get_lookup_values('PROJECT TYPE CLASS', ei.project_type_class_code, ei.language) project_type,
ei.DERIVE_TOT_BURDEN_FLAG,
ei.project_manager,
ei.project_start_date,
ei.project_completion_date,
ei.project_organization,
ei.task_burden_schedule,
pa_utils.get_lookup_values('YES_NO',ei.task_billable_flag,ei.language) task_billable_flag,
ei.task_work_type,
ei.project_status_name,
ei.project_status,
(SELECT
        nvl(SUM(DECODE(ei.capital_cost_type_code, 'R', nvl(pbl.raw_cost, 0), nvl(pbl.burdened_cost, 0
        ))), 0)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project_budget,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'Y'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task_plan_capitalizable,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'N'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task_non_plan_capitalize,
(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
    WHERE
        pbv.project_id = ei.project_id
        AND pbv.budget_type_code = pbt.budget_type_code
        AND pbt.budget_amount_code = 'C'
        AND pbv.budget_status_code = 'B'
        AND pbv.current_flag = 'Y'
        AND pbv.budget_entry_method_code = bem.budget_entry_method_code
        and bem.entry_level_code = 'P'
        AND pra.budget_version_id = pbv.budget_version_id
        AND pra.project_id = pbv.project_id
        AND pbl.budget_version_id = pra.budget_version_id
        AND pbl.resource_assignment_id = pra.resource_assignment_id)
	+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'Y'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'L','T')
        AND pra.budget_version_id = pbv.budget_version_id
        AND pra.project_id = pbv.project_id
        AND pbl.budget_version_id = pra.budget_version_id
        AND pbl.resource_assignment_id = pra.resource_assignment_id)
) proj_plan_capitalize,
(
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'N'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 'T')
        AND pra.budget_version_id = pbv.budget_version_id
        AND pra.project_id = pbv.project_id
        AND pbl.budget_version_id = pra.budget_version_id
        AND pbl.resource_assignment_id = pra.resource_assignment_id
) proj_non_plan_capitalize,
DECODE(project_type_class_code, 'CAPITAL', nvl(
        (SELECT
            SUM(DECODE(ei.capital_cost_type_code, 'R', nvl(paie.raw_cost, 0), nvl(paie.burden_cost, 0) ))
        FROM
            pa_expenditure_items_all paie
        WHERE
            paie.project_id = ei.project_id
			AND paie.billable_flag = 'Y'
            AND paie.creation_date &gt;= '25-APR-19'
    ),0), 0)  proj_capitalizable,
(decode(project_type_class_code,'CAPITAL',decode(ei.capitalizable_flag,'Y',(nvl(DECODE(ei.capital_cost_type_code, 'R', nvl(ei.raw_cost, 0), nvl(ei.burdened_cost, 0
        )), 0)),0),0))actual_capitalizable,
(decode(project_type_class_code,'CAPITAL',decode(ei.capitalizable_flag,'N',(nvl(DECODE(ei.capital_cost_type_code, 'R', nvl(ei.raw_cost, 0), nvl(ei.burdened_cost, 0
        )), 0)),0),0))actual_non_capitalizable,
( DECODE(project_type_class_code, 'CAPITAL', DECODE(ei.capitalizable_flag, 'Y',decode(ei.capitalized_flag,'N',(nvl(DECODE(ei.capital_cost_type_code
, 'R', nvl(ei.raw_cost, 0), nvl(ei.burdened_cost, 0)), 0)),0), 0), 0) ) actual_yet_to_capitalizable,
(SELECT
        SUM(nvl(pbl.revenue,0))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'R'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)project_revenue_budget,
ei.proj_grouping_method,
ei.proj_grp_supplier_invoice,
ei.proj_asset_cost_alloc_mhd,
pa_utils.get_lookup_values('YES_NO', ei.total_burden_flag, ei.language) proj_enbl_burden_cost_acc,
(SELECT per.period_name FROM pa_periods_all per
 where start_date in
         (select max(start_date) from pa_periods_all per1
          where per1.status in ('O','F')
          and per1.org_id = ei.org_id)
      and per.org_id = ei.org_id) current_pa_period,
(SELECT per.gl_period_name FROM pa_periods_all per
 where start_date in
         (select max(start_date) from pa_periods_all per1
          where per1.status in ('O','F')
          and per1.org_id = ei.org_id)
      and per.org_id = ei.org_id) current_gl_period,
ei.current_pa_period current_reporting_pa_period,
ei.projfunc_currency_code,
(decode(project_type_class_code,'CAPITAL',(select count( project_asset_id ) from pa_project_assets_all ppaa where ppaa.project_id = ei.project_id),0)) number_of_assets,
(decode(project_type_class_code,'CAPITAL',nvl((select sum( current_asset_cost ) from pa_project_asset_lines_all ppal where ppal.project_id = ei.project_id and ppal.transfer_status_code = 'T'
                            		AND EXISTS(  SELECT   1
                     FROM pa_expenditure_items_all peia,pa_project_asset_line_Details ppald
                     WHERE peia.expenditure_item_id = ppald.expenditure_item_id
                     and  ppal.project_asset_line_detail_id = ppald.project_asset_line_detail_id
					 and peia.project_id = ei.project_id
                     AND peia.creation_date &gt;= '25-APR-19'
                  )),0),0)) proj_capitalized_cost,
ei.task_id,
ei.task_number,
ei.task_name,
ei.top_task_id,
ei.top_task_name,
ei.top_task_number,
ei.task_start_date,
ei.task_finish_date,
ei.task_manager,
ei.task_organization,
ei.expenditure_item_date,
ei.expenditure_ending_date expenditure_week_ending_date,
ei.expenditure_type,
ei.expenditure_category,
ei.expenditure_type_class,
ei.incurred_by_person_id,
ei.employee_name,
ei.employee_number,
ei.location_code,
ei.job_id,
ei.job_name,
ei.incurred_by_organization_id,
ei.override_to_organization_id,
ei.expenditure_organization_id,
ei.expenditure_org_name,
ei.non_labor_resource,
ei.system_linkage_function,
ei.transaction_source transaction_source_code,
ei.user_transaction_source transaction_source,
ei.orig_transaction_reference orig_transaction_ref,
ei.expenditure_group,
(CASE
WHEN ei.cost_distributed_flag = 'Y'
     AND ei.cost_burden_distributed_flag = 'N' THEN 'Y'
ELSE null
END)ei_pend_burden_dist,
( CASE
    WHEN ei.expenditure_group_status_code IN (
        'UPDATE_RELEASED',
        'RELEASED'
    ) THEN null
    ELSE 'Y'
END ) ei_group_unreleased,
(case when ei.cost_dist_rejection_code is not null then 'Y' else null end)ei_cost_exception,
(case when ei.expenditure_group_status_code IN (
        'UPDATE_RELEASED',
        'RELEASED'
    ) AND ei.cost_distributed_flag = 'N' then 'Y' else null end) ei_uncosted,
DECODE(ei.cost_distributed_flag, 'Y', 'Y', null) ei_costed,
DECODE(ei.cost_distributed_flag, 'Y', nvl(ei.burden_cost, 0), 0) ei_costed_value,
ei.quantity,
decode(ei.cost_distributed_flag,'Y',ei.burden_cost,0) burden_cost,
( CASE
    WHEN ei.system_linkage_function IN (
        'OT',
        'ST'
    ) THEN nvl(ei.burden_cost, 0)
    ELSE 0
END ) ei_labor_cost,
( CASE
    WHEN ei.system_linkage_function IN (
        'OT',
        'ST'
    ) THEN 0
    ELSE nvl(ei.burden_cost, 0)
END ) ei_non_labor_cost,
ei.unit_of_measure,
ei.unit_of_measure_m,
decode(ei.cost_distributed_flag,'Y',ei.raw_cost,0) raw_cost,
decode(ei.cost_distributed_flag,'Y',ei.raw_cost_rate,0) raw_cost_rate,
ei.cost_distributed_flag cost_distributed_flag,
pa_utils.get_lookup_values('YES_NO', ei.cost_distributed_flag, ei.language) cost_distributed,
pa_funds_control_utils.get_cost_rejection_reason(NVL(ei.cost_dist_rejection_code,ei.IND_COST_DIST_REJECTION_CODE),NULL) cost_dist_rejection_code,
decode(ei.project_type_class_code ,'INDIRECT',NULL,'CAPITAL',NULL,NVL(ei.revenue_distributed_flag,ei.capitalized_flag)) revenue_distributed,
pa_utils.get_lookup_values('YES_NO',decode(ei.project_type_class_code ,'INDIRECT',NULL,'CAPITAL',NULL,NVL(ei.revenue_distributed_flag,ei.capitalized_flag)), ei.language) revenue_distributed_flag,
pa_utils.get_lookup_values('YES_NO',(CASE WHEN ei.project_type_class_code = 'CONTRACT' AND bill_amount IS NOT NULL THEN 'Y'
WHEN ei.project_type_class_code = 'CONTRACT' AND bill_amount IS NULL THEN 'N'
ELSE NULL END), ei.language) billed,
ei.billable_flag  billable_flag,
pa_utils.get_lookup_values('YES_NO',ei.billable_flag,ei.language)  billable,
ei.bill_hold_flag ,
pa_utils.get_lookup_values('YES_NO',ei.bill_hold_flag,ei.language) bill_hold,
( CASE
WHEN ei.billable_flag = 'Y'
AND ei.bill_amount IS NOT NULL
AND nvl(ei.net_zero_adjustment_flag, 'N') = 'N'
AND ei.INVOICE_METHOD = 'WORK'
AND ei.cost_distributed_flag = 'Y' THEN ei.bill_amount
ELSE 0
END ) billed_cost,
( CASE
WHEN ei.billable_flag = 'Y'
AND ei.bill_amount IS NULL
AND nvl(ei.net_zero_adjustment_flag, 'N') = 'N'
AND ei.INVOICE_METHOD = 'WORK'
AND ei.cost_distributed_flag = 'Y' THEN ei.BURDEN_COST
ELSE 0
END ) billable_unbilled_cost,
( CASE
WHEN ei.billable_flag = 'Y'
AND ei.bill_amount IS NULL
AND ei.bill_hold_flag = 'Y'
AND nvl(ei.net_zero_adjustment_flag, 'N') = 'N'
AND ei.INVOICE_METHOD = 'WORK'
AND ei.cost_distributed_flag = 'Y' THEN ei.BURDEN_COST
ELSE 0
END ) billable_onhold_cost,
ei.bill_billable_cost,
pa_utils.get_lookup_values('YES_NO',ei.bill_nonbilable_flag,ei.language) bill_nonbilable_flag,
ei.bill_nonbilable_cost,
ei.bill_billhold_cost,
pa_utils.get_lookup_values('YES_NO',ei.bill_billed_flag,ei.language) bill_billed_flag,
ei.bill_billed_cost,
pa_utils.get_lookup_values('YES_NO',ei.bill_not_billed_flag,ei.language) bill_not_billed_flag,
ei.bill_not_billed_cost,
(case when ei.project_type_class_code = 'CONTRACT' AND ei.billable_flag = 'Y' AND ei.bill_amount IS NULL AND ei.cost_distributed_flag = 'Y' AND ei.invoice_method = 'WORK' then ei.burden_cost else 0 end)ei_work_burden_cost,
decode(ei.cost_distributed_flag,'Y',ei.burdened_cost,0) burdened_cost,
decode(ei.cost_distributed_flag,'Y',ei.burdened_cost_rate,0) burdened_cost_rate,
ei.denom_currency_code,
decode(ei.cost_distributed_flag,'Y',ei.denom_raw_cost,0) denom_raw_cost,
decode(ei.cost_distributed_flag,'Y',ei.denom_burdened_cost,0) denom_burdened_cost,
ei.acct_currency_code,
ei.acct_rate_type,
ei.acct_rate_date,
ei.acct_exchange_rate,
decode(ei.cost_distributed_flag,'Y',ei.acct_raw_cost,0) acct_raw_cost,
decode(ei.cost_distributed_flag,'Y',ei.acct_burdened_cost,0) acct_burdened_cost,
( DECODE(ei.capitalizable_flag, 'Y', DECODE(ei.capitalized_flag, 'N', ei.BURDEN_COST, 0), 0) - DECODE(
ei.capitalized_flag, 'Y', ei.BURDEN_COST, 0) - DECODE(ei.capitalizable_flag, 'N', ei.BURDEN_COST
, 0) ) cip_cost,
ei.project_currency_code,
decode(ei.cost_distributed_flag,'Y',ei.project_raw_cost,0) project_raw_cost,
decode(ei.cost_distributed_flag,'Y',ei.project_burdened_cost,0) project_burdened_cost,
pa_utils.get_lookup_values('YES_NO',ei.cost_burden_distributed_flag,ei.language) cost_bur_distributed_flag,
ei.capitalizable_flag,
pa_utils.get_lookup_values('YES_NO',ei.capitalizable_flag,ei.language) capitalizable,
pa_utils.get_lookup_values('YES_NO',ei.asset_line_generated,ei.language) asset_line_generated,
ei.capitalized_flag,
pa_utils.get_lookup_values('YES_NO',ei.capitalized_flag,ei.language) capitalized,
ei.bill_hold_flag capitalizable_cap_hold_flag,
decode(ei.project_type_class_code,'CAPITAL',pa_utils.get_lookup_values('YES_NO',ei.bill_hold_flag,ei.language)) capitalizable_cap_hold,
ei.adjusted_expenditure_item_id,
ei.net_zero_adjustment_flag ,
pa_utils.get_lookup_values('YES_NO',ei.net_zero_adjustment_flag,ei.language) net_zero_adjustment,
ei.transferred_from_exp_item_id,
ei.transferred_item_flag,
pa_utils.get_lookup_values('CC_CROSS_CHARGE_CODE', ei.cc_cross_charge_code, ei.language) cc_cross_charge_code,
pa_utils.get_lookup_values('CC_CROSS_CHARGE_TYPE', ei.cc_cross_charge_type, ei.language) cc_cross_charge_type,
pa_utils.get_lookup_values('CC_PROCESSED_CODE', ei.cc_bl_distributed_code, ei.language) cc_bl_distributed_code,
ei.org_id,
ei.vendor_id,
(
SELECT
vendor_name
FROM
ap_suppliers
WHERE
vendor_id = ei.vendor_id
) vendor_name,
ei.document_header_id,
ei.document_distribution_id,
ei.document_line_number,
ei.document_payment_id,
ei.document_type,
ei.document_distribution_type,
ei.prvdr_org_name Operating_Unit,
decode(ei.cost_distributed_flag,'Y',DECODE(ei.capital_cost_type_code, 'R', ei.raw_cost, DECODE(ei.cost_burden_distributed_flag,'Y', ei.BURDEN_COST,0)),0) capital_cost_code_amt,
cdl.line_num,
cdl.line_type line_type_code,
pa_utils.get_lookup_values('COST DISTRIBUTION LINE TYPE', cdl.line_type, ei.language) line_type,
cdl.reversed_flag,
cdl.transfer_status_code transfer_status_code,
cdl.pa_date,
cdl.gl_date,
cdl.recvr_pa_date,
cdl.recvr_gl_date,
cdl.pa_period_name,
cdl.gl_period_name,
cdl.recvr_pa_period_name,
cdl.recvr_gl_period_name,
cdl.acct_event_id,
decode(ei.cost_distributed_flag,'Y',cdl.amount,0) amount,
decode(ei.cost_distributed_flag,'Y',cdl.burdened_cost,0) cdl_burdened_cost,
decode(ei.cost_distributed_flag,'Y',DECODE(ei.capital_cost_type_code, 'R', cdl.AMOUNT, NVL(cdl.BURDENED_COST,cdl.AMOUNT)),0) cdl_amount,
pa_utils.get_lookup_values('YES_NO',pa_utils.iseifinalaccounted(ei.expenditure_item_id, cdl.line_num),ei.language) cdl_acct_status,
pa_utils.get_lookup_values('PA_XLA_TRANSFER_STATUS',(SELECT
DECODE(xe.process_status_code, 'P', 'A', 'U', 'P', 'I', 'R') FROM xla_events xe, pa_cc_dist_lines_all cc
WHERE
xe.application_id = 275
AND xe.event_id = cc.acct_event_id
AND cc.expenditure_item_id = ei.expenditure_item_id
AND cc.line_num = cdl.line_num
AND ei.cc_bl_distributed_code = 'Y'),ei.language) bl_acct_status,
ei.expenditure_group_status_code exp_group_status_code,
pa_utils.get_lookup_values('EXPENDITURE GROUP STATUS', ei.expenditure_group_status_code, ei.language) exp_group_status,
ei.expenditure_status_code EXPENDITURE_STATUS,
( CASE
WHEN ei.cost_dist_rejection_code IS NOT NULL THEN 'CE'
WHEN ei.cost_distributed_flag = 'N' AND ei.expenditure_group_status_code not in ('RELEASED','UPDATE_RELEASED') THEN 'UR'
WHEN ei.cost_distributed_flag = 'N' THEN 'UCST'
WHEN ei.cost_distributed_flag = 'Y' AND (cdl.transfer_status_code IN ('X','R') OR xla.process_status_code = 'I') THEN 'CAE'
WHEN ei.cost_distributed_flag = 'Y' AND pa_utils.iseifinalaccounted(ei.expenditure_item_id, cdl.line_num) = 'Y' THEN 'ACCT'
WHEN ei.cost_distributed_flag = 'Y' THEN 'CST'
ELSE NULL
END ) precosting_status_code,
( CASE
WHEN ei.cost_dist_rejection_code IS NOT NULL THEN pa_utils.get_lookup_values('PA_EI_COSTING_STATUS','CE', ei.LANGUAGE)
WHEN ei.cost_distributed_flag = 'N' AND ei.expenditure_group_status_code not in  ('RELEASED', 'UPDATE_RELEASED') THEN pa_utils.get_lookup_values('PA_EI_COSTING_STATUS','UR', ei.LANGUAGE)
WHEN ei.cost_distributed_flag = 'N' THEN pa_utils.get_lookup_values('PA_EI_COSTING_STATUS','UCST', ei.LANGUAGE)
WHEN ei.cost_distributed_flag = 'Y' AND (cdl.transfer_status_code IN ('X','R') OR xla.process_status_code = 'I') THEN pa_utils.get_lookup_values('PA_EI_COSTING_STATUS','CAE', ei.LANGUAGE)
WHEN ei.cost_distributed_flag = 'Y' AND pa_utils.iseifinalaccounted(ei.expenditure_item_id, cdl.line_num) = 'Y' THEN pa_utils.get_lookup_values('PA_EI_COSTING_STATUS','ACCT', ei.LANGUAGE)
WHEN ei.cost_distributed_flag = 'Y' THEN pa_utils.get_lookup_values('PA_EI_COSTING_STATUS','CST', ei.LANGUAGE)
ELSE NULL
END ) precosting_status,
NULL asset_name,
ei.work_type_name WORK_TYPE,
(CASE WHEN ei.transaction_source LIKE 'PO%' THEN NVL(EI.receipt_po_number,ei.po_number)
WHEN ei.transaction_source LIKE 'AP%' THEN ei.matched_po_number
ELSE NULL
END
) po_number,
(CASE WHEN ei.transaction_source LIKE 'PO%' THEN nvl(ei.receipt_po_line_num,ei.po_line_number)
WHEN ei.transaction_source LIKE 'AP%' THEN ei.matched_po_line_number
ELSE NULL
END
) po_line_number,
(CASE WHEN ei.transaction_source LIKE 'PO%' THEN ei.receipt_number
WHEN ei.transaction_source LIKE 'AP%' THEN ei.matched_receipt_num
ELSE NULL
END) r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</si>
  <si>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to_timestamp('25-APR-20 03.54.35.000000 AM')
     OR ppa.last_update_date &gt;= to_timestamp('25-APR-20 03.54.35.000000 AM')
     OR ppal.last_update_date &gt;= to_timestamp('25-APR-20 03.54.35.000000 AM')
	 OR EXISTS (select 1 from pa_expenditure_items_all peial
	            where peial.project_id = pp.project_id
				and peial.last_update_date &gt; to_timestamp('25-APR-20 03.54.35.000000 AM'))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to_timestamp('25-APR-20 03.54.35.000000 AM')
    OR EXISTS (select 1 from pa_expenditure_items_all peial
	           where peial.project_id = pp.project_id
			   and peial.last_update_date &gt; to_timestamp('25-APR-20 03.54.35.000000 AM'))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</si>
  <si>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to_date(to_char(to_timestamp('25-APR-20'),'DD-MON-YY HH24.MI.SS'),'DD-MON-YY HH24.MI.SS'))
          or (AH.CLOSE_BIDDING_DATE between to_date(to_char(to_timestamp('25-APR-20'),'DD-MON-YY HH24.MI.SS'),'DD-MON-YY HH24.MI.SS')
                                      and to_date(to_char(to_timestamp('25-APR-20'),'DD-MON-YY HH24.MI.SS'),'DD-MON-YY HH24.MI.SS'))
         or (AH.OPEN_BIDDING_DATE between to_date(to_char(to_timestamp('25-APR-20'),'DD-MON-YY HH24.MI.SS'),'DD-MON-YY HH24.MI.SS')
                                      and to_date(to_char(to_timestamp('25-APR-20'),'DD-MON-YY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</si>
  <si>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to_date(to_char(to_timestamp('25-APR-20'),'DD-MON-YY HH24.MI.SS'),'DD-MON-YY HH24.MI.SS'))
          or (AH.CLOSE_BIDDING_DATE between to_date(to_char(to_timestamp('25-APR-20'),'DD-MON-YY HH24.MI.SS'),'DD-MON-YY HH24.MI.SS')
                                      and to_date(to_char(to_timestamp('25-APR-20'),'DD-MON-YY HH24.MI.SS'),'DD-MON-YY HH24.MI.SS'))
         or (AH.OPEN_BIDDING_DATE between to_date(to_char(to_timestamp('25-APR-20'),'DD-MON-YY HH24.MI.SS'),'DD-MON-YY HH24.MI.SS')
                                      and to_date(to_char(to_timestamp('25-APR-20'),'DD-MON-YY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</si>
  <si>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gt.KEY=3137043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</si>
  <si>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gt.KEY=3137043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</si>
  <si>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gt.KEY=3137043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</si>
  <si>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gt.KEY=3137043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</si>
  <si>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gt.KEY=3137043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</si>
  <si>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gt.KEY=3137034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</si>
  <si>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gt.KEY=3137034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</si>
  <si>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gt.KEY=3137034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</si>
  <si>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 xml:space="preserve">There is SQLException while applying load rule for dataset po-clm-solicitations for job 59,398.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</si>
  <si>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3137038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</si>
  <si>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59,398.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</si>
  <si>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3137037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</si>
  <si>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3137037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</si>
  <si>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3137037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</si>
  <si>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3137037 )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</si>
  <si>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3137037 )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</si>
  <si>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3137037 )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</si>
  <si>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3137036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</si>
  <si>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3137036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</si>
  <si>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3137036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</si>
  <si>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3137036 )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</si>
  <si>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3137036 )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</si>
  <si>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3137036 )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</si>
  <si>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3137035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</si>
  <si>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59,398.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</si>
  <si>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3137033 )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</si>
  <si>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3137033 )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</si>
  <si>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3137033 )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</si>
  <si>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3137033 )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</si>
  <si>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3137033 ) PIVOT ( max(protest_document_type) as protest_document_type
                                             FOR language in ( 'US' "US"))</t>
  </si>
  <si>
    <t xml:space="preserve">There is SQLException while applying load rule for dataset po-clm-idv for job 59,398.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</si>
  <si>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3137032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3137032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</si>
  <si>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3137031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3137031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</si>
  <si>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59,398.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</si>
  <si>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While trying to run pending jobs, there were many which shouldn't be the case. So we picked one and kill this as it is redundant for this application po_ppcc. These jobs ids are 59393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</si>
  <si>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to_date(to_char(to_timestamp('25-APR-20 03.48.22.000000 AM'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to_date(to_char(to_timestamp('25-APR-20 03.48.22.000000 AM'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to_date(to_char(to_timestamp('25-APR-20 03.48.22.000000 AM'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to_date(to_char(to_timestamp('25-APR-20 03.48.22.000000 AM'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</si>
  <si>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TO_DATE('25-APR-20 13:57:15','DD-MON-RR HH24:MI:SS') + 7 ))  AND (wdj.last_update_date &gt;= TO_DATE('25-APR-20 13:57:15','DD-MON-RR HH24:MI:SS')
                                                        OR wo.last_update_date &gt;= TO_DATE('25-APR-20 13:57:15','DD-MON-RR HH24:MI:SS')
                                                        OR we.last_update_date &gt;= TO_DATE('25-APR-20 13:57:15','DD-MON-RR HH24:MI:SS')
                                                        OR wmt.last_update_date &gt;= TO_DATE('25-APR-20 13:57:15','DD-MON-RR HH24:MI:SS')
                                                        OR bd.last_update_date &gt;= TO_DATE('25-APR-20 13:57:15','DD-MON-RR HH24:MI:SS')
                                                        OR bso.last_update_date &gt;= TO_DATE('25-APR-20 13:57:15','DD-MON-RR HH24:MI:SS')
                                                        OR mtr.last_update_date &gt;= TO_DATE('25-APR-20 13:57:15','DD-MON-RR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</si>
  <si>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TO_DATE('25-APR-20 13:57:15','DD-MON-RR HH24:MI:SS') + 7 )) AND (wdj.last_update_date &gt;= TO_DATE('25-APR-20 13:57:15','DD-MON-RR HH24:MI:SS')
													     OR we.last_update_date &gt;= TO_DATE('25-APR-20 13:57:15','DD-MON-RR HH24:MI:SS')
                                                         OR msn.last_update_date &gt;= TO_DATE('25-APR-20 13:57:15','DD-MON-RR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TO_DATE('25-APR-20 13:57:15','DD-MON-RR HH24:MI:SS')
													     OR we.last_update_date &gt;= TO_DATE('25-APR-20 13:57:15','DD-MON-RR HH24:MI:SS')
                                                         OR msn.last_update_date &gt;= TO_DATE('25-APR-20 13:57:15','DD-MON-RR HH24:MI:SS')
                                                         OR mog.last_update_date &gt;= TO_DATE('25-APR-20 13:57:15','DD-MON-RR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</si>
  <si>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TO_DATE('25-APR-20 02:00:51','DD-MON-RR HH24:MI:SS') + 7 ))  AND (wdj.last_update_date &gt;= TO_DATE('25-APR-20 02:00:51','DD-MON-RR HH24:MI:SS')
                                                        OR wo.last_update_date &gt;= TO_DATE('25-APR-20 02:00:51','DD-MON-RR HH24:MI:SS')
                                                        OR we.last_update_date &gt;= TO_DATE('25-APR-20 02:00:51','DD-MON-RR HH24:MI:SS')
                                                        OR wmt.last_update_date &gt;= TO_DATE('25-APR-20 02:00:51','DD-MON-RR HH24:MI:SS')
                                                        OR bd.last_update_date &gt;= TO_DATE('25-APR-20 02:00:51','DD-MON-RR HH24:MI:SS')
                                                        OR bso.last_update_date &gt;= TO_DATE('25-APR-20 02:00:51','DD-MON-RR HH24:MI:SS')
                                                        OR mtr.last_update_date &gt;= TO_DATE('25-APR-20 02:00:51','DD-MON-RR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</si>
  <si>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TO_DATE('25-APR-20 02:00:51','DD-MON-RR HH24:MI:SS') + 7 )) AND (wdj.last_update_date &gt;= TO_DATE('25-APR-20 02:00:51','DD-MON-RR HH24:MI:SS')
													     OR we.last_update_date &gt;= TO_DATE('25-APR-20 02:00:51','DD-MON-RR HH24:MI:SS')
                                                         OR msn.last_update_date &gt;= TO_DATE('25-APR-20 02:00:51','DD-MON-RR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TO_DATE('25-APR-20 02:00:51','DD-MON-RR HH24:MI:SS')
													     OR we.last_update_date &gt;= TO_DATE('25-APR-20 02:00:51','DD-MON-RR HH24:MI:SS')
                                                         OR msn.last_update_date &gt;= TO_DATE('25-APR-20 02:00:51','DD-MON-RR HH24:MI:SS')
                                                         OR mog.last_update_date &gt;= TO_DATE('25-APR-20 02:00:51','DD-MON-RR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</si>
  <si>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to_date(to_char(to_timestamp('25-APR-20 01.53.26.000000 AM'),'DD-MON-YY HH24.MI.SS'),'DD-MON-YY HH24.MI.SS'))) OR  ( to_date(to_char(e.inst_last_upd_date , 'DD-MON-YY HH24.MI.SS') , 'DD-MON-YY HH24.MI.SS' ) &gt;=  to_date(to_char(to_timestamp('25-APR-20 01.53.26.000000 AM'),'DD-MON-YY HH24.MI.SS'),'DD-MON-YY HH24.MI.SS'))  OR  ( to_date(to_char(coa.last_update_date , 'DD-MON-YY HH24.MI.SS') , 'DD-MON-YY HH24.MI.SS' ) &gt;=  to_date(to_char(to_timestamp('25-APR-20 01.53.26.000000 AM'),'DD-MON-YY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to_date(to_char(to_timestamp('25-APR-20 01.53.26.000000 AM'),'DD-MON-YY HH24.MI.SS'),'DD-MON-YY HH24.MI.SS')))))</t>
  </si>
  <si>
    <t>SELECT * FROM (SELECT * FROM CN_ECC_QUOTA_V
				WHERE ECC_LAST_UPDATE_DATE &gt;= to_date(to_char(to_timestamp('25-APR-20 01.38.47.000000 AM'),'DD-MON-YY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</si>
  <si>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to_date(to_char(to_timestamp('25-APR-20 01.38.47.000000 AM'),'DD-MON-YY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</si>
  <si>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to_date(to_char(to_timestamp('25-APR-20 01.25.48.000000 PM'),'DD-MON-YY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</si>
  <si>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to_date(to_char(to_timestamp('25-APR-20 01.25.48.000000 PM'),'DD-MON-YY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</si>
  <si>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to_date(to_char(to_timestamp('25-APR-20 01.24.55.000000 AM'),'DD-MON-YY HH24.MI.SS'),'DD-MON-YY HH24.MI.SS')
			and status_type IN (1,3, 6,17) 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</si>
  <si>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to_date(to_char(to_timestamp('25-APR-20 01.01.29.000000 AM'),'DD-MON-YY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</si>
  <si>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53s</t>
  </si>
  <si>
    <t>select * from (  select * from ICX_CAT_ECC_100793_VL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</si>
  <si>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</si>
  <si>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</si>
  <si>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</si>
  <si>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</si>
  <si>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</si>
  <si>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</si>
  <si>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</si>
  <si>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</si>
  <si>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</si>
  <si>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</si>
  <si>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</si>
  <si>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</si>
  <si>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</si>
  <si>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</si>
  <si>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</si>
  <si>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</si>
  <si>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</si>
  <si>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</si>
  <si>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</si>
  <si>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</si>
  <si>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</si>
  <si>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</si>
  <si>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</si>
  <si>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</si>
  <si>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</si>
  <si>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</si>
  <si>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</si>
  <si>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</si>
  <si>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</si>
  <si>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</si>
  <si>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</si>
  <si>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</si>
  <si>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</si>
  <si>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</si>
  <si>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</si>
  <si>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</si>
  <si>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</si>
  <si>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</si>
  <si>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</si>
  <si>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</si>
  <si>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</si>
  <si>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</si>
  <si>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</si>
  <si>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</si>
  <si>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</si>
  <si>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</si>
  <si>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</si>
  <si>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</si>
  <si>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</si>
  <si>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</si>
  <si>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</si>
  <si>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</si>
  <si>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</si>
  <si>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</si>
  <si>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</si>
  <si>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</si>
  <si>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</si>
  <si>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</si>
  <si>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</si>
  <si>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</si>
  <si>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</si>
  <si>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</si>
  <si>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</si>
  <si>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</si>
  <si>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</si>
  <si>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</si>
  <si>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</si>
  <si>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</si>
  <si>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</si>
  <si>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</si>
  <si>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</si>
  <si>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</si>
  <si>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</si>
  <si>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</si>
  <si>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</si>
  <si>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</si>
  <si>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</si>
  <si>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</si>
  <si>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</si>
  <si>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</si>
  <si>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</si>
  <si>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</si>
  <si>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</si>
  <si>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</si>
  <si>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</si>
  <si>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</si>
  <si>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</si>
  <si>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</si>
  <si>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</si>
  <si>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</si>
  <si>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</si>
  <si>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</si>
  <si>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</si>
  <si>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</si>
  <si>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</si>
  <si>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</si>
  <si>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</si>
  <si>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</si>
  <si>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</si>
  <si>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</si>
  <si>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</si>
  <si>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</si>
  <si>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</si>
  <si>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</si>
  <si>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</si>
  <si>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</si>
  <si>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</si>
  <si>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</si>
  <si>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</si>
  <si>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</si>
  <si>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</si>
  <si>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</si>
  <si>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</si>
  <si>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</si>
  <si>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</si>
  <si>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</si>
  <si>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</si>
  <si>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</si>
  <si>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</si>
  <si>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</si>
  <si>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</si>
  <si>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</si>
  <si>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</si>
  <si>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</si>
  <si>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</si>
  <si>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</si>
  <si>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</si>
  <si>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</si>
  <si>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</si>
  <si>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</si>
  <si>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</si>
  <si>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</si>
  <si>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</si>
  <si>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</si>
  <si>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</si>
  <si>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</si>
  <si>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</si>
  <si>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</si>
  <si>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</si>
  <si>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</si>
  <si>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</si>
  <si>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</si>
  <si>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</si>
  <si>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</si>
  <si>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to_date(to_char(to_timestamp('25-APR-20 12.09.34.000000 AM'),'DD-MON-YY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</si>
  <si>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to_date(to_char(to_timestamp('25-APR-20 12.09.34.000000 AM'),'DD-MON-YY HH24.MI.SS'),'DD-MON-YY HH24.MI.SS') </t>
  </si>
  <si>
    <t xml:space="preserve">SELECT
              ecc_spec_id,
              zonesi
              from icx_cat_ecc_zones_i WHERE ECC_LAST_UPDATE_DATE &gt;=  to_date(to_char(to_timestamp('25-APR-20 12.09.34.000000 AM'),'DD-MON-YY HH24.MI.SS'),'DD-MON-YY HH24.MI.SS') </t>
  </si>
  <si>
    <t xml:space="preserve">SELECT
              ecc_spec_id,
              zonesp
              from icx_cat_ecc_zones_p WHERE ECC_LAST_UPDATE_DATE &gt;=  to_date(to_char(to_timestamp('25-APR-20 12.09.34.000000 AM'),'DD-MON-YY HH24.MI.SS'),'DD-MON-YY HH24.MI.SS') </t>
  </si>
  <si>
    <t xml:space="preserve">SELECT
              ecc_spec_id,
              zonesb
              from icx_cat_ecc_zones_b WHERE ECC_LAST_UPDATE_DATE &gt;=  to_date(to_char(to_timestamp('25-APR-20 12.09.34.000000 AM'),'DD-MON-YY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</si>
  <si>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to_date(to_char(to_timestamp('25-APR-20 12.09.34.000000 AM'),'DD-MON-YY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</si>
  <si>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to_date(to_char(to_timestamp('25-APR-20 12.09.34.000000 AM'),'DD-MON-YY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</si>
  <si>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to_date(to_char(to_timestamp('24-APR-20 10.56.37.000000 PM'),'DD-MON-YY HH.MI.SS'),'DD-MON-YY HH.MI.SS')) PIVOT ( Max(source_doc_type) AS source_doc_type,
          Max(source_name) AS source_name,
          Max(item_description) AS item_description for LANGUAGE in ( 'US' "US"))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</si>
  <si>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to_date(to_char(to_timestamp('24-APR-20 10.56.37.000000 PM'),'DD-MON-YY HH.MI.SS'),'DD-MON-YY HH.MI.SS') UNION ALL SELECT ECC_SPEC_ID from RCV_ECC_RECEIPTS_ASNLCM_V
WHERE SHIPMENT_LINE_STATUS_CODE in('FULLY RECEIVED', 'CANCELLED')
 AND last_update_date &gt;  to_date(to_char(to_timestamp('24-APR-20 10.56.37.000000 PM'),'DD-MON-YY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to_date(to_char(to_timestamp('24-APR-20 10.56.37.000000 PM'),'DD-MON-YY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to_date(to_char(to_timestamp('24-APR-20 10.56.37.000000 PM'),'DD-MON-YY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to_date(to_char(to_timestamp('24-APR-20 10.56.37.000000 PM'),'DD-MON-YY HH.MI.SS'),'DD-MON-YY HH.MI.SS')</t>
  </si>
  <si>
    <t>25m 21s</t>
  </si>
  <si>
    <t>select * from (
SELECT
ECC_SPEC_ID,
RECORD_TYPE,
EVENT_ID,
ORG_ID,
APPLICATION_ID,
INVOICE_ID,
INVOICE_TYPE_LOOKUP_CODE,
INVOICE_NUMBER,
TRANSACTION_CURRENCY,
INVOICE_DATE,
GL_DATE,
ACCOUNTED_AMOUNT,
PAYMENT_TYPE_FLAG,
PAYMENT_TYPE_DESC,
INSTALLMENT,
AMOUNT,
INVOICE_PAYMENT_ID,
CHECK_ID,
TRANSACTION_NUMBER,
TRANSACTION_DATE,
BANK_ACCOUNT_NAME,
VENDOR_ID,
SUPPLIER_NAME,
SUPPLIER_NUMBER,
SITE_CODE,
EVENT_STATUS_CODE,
EVENT_STATUS_DESC,
PROCESS_STATUS_CODE,
PROCESS_STATUS_DESC,
EVENT_TYPE_CODE,
EVENT_TYPE_DESC,
EVENT_NUMBER,
LEDGER_ID,
LEDGER_NAME,
CURRENCY_CODE,
PERIOD_NAME,
PERIOD_YEAR,
CLOSING_STATUS,
OPERATING_UNIT,
LANGUAGE
FROM
(
SELECT /*+ LEADING(ps) */
    ip.invoice_payment_id
    || '-'
    || xe.event_id
    || '-'
    || xe.event_number ecc_spec_id ,
    'PAY' AS record_type,
    xe.event_id,
    ai.org_id,
	xe.APPLICATION_ID,
    ai.invoice_id                 invoice_id,
    ai.invoice_type_lookup_code   invoice_type_lookup_code,
    ai.invoice_num                invoice_number,
	ai.invoice_currency_code TRANSACTION_CURRENCY,
    ai.invoice_date               AS invoice_date,
	ai.GL_DATE,
    ( ip.amount * nvl(ip.exchange_rate, 1) ) AS ACCOUNTED_AMOUNT,
    c.payment_type_flag,
	(
        SELECT
            meaning
        FROM
            fnd_lookup_values
        WHERE
            view_application_id = 200
            AND lookup_type = 'PAYMENT TYPE'
            AND language = outl.language
            AND lookup_code = c.payment_type_flag
    ) PAYMENT_TYPE_DESC,
    ip.payment_num                installment,
    ip.amount                     AMOUNT,
    ip.invoice_payment_id,
	c.check_id,
	c.check_number TRANSACTION_NUMBER,
    c.check_date TRANSACTION_DATE,
    c.bank_account_name,
    ai.vendor_id,
    hp.party_name                 supplier_name,
    pav.segment1                  supplier_number,
    pos.vendor_site_code          site_code,
    xe.event_status_code,
    (
        SELECT
            meaning
        FROM
            fnd_lookup_values
        WHERE
            view_application_id = 602
            AND lookup_type = 'XLA_EVENT_STATUS'
                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xe.process_status_code
    ) process_status_desc,
	xe.event_type_code,
    (select ett.description from XLA_EVENT_TYPES_TL ett where xe.EVENT_TYPE_CODE = ett. EVENT_TYPE_CODE and xe.application_id = ett.application_id and ett.language = outl.language) as EVENT_TYPE_DESC,
    xe.event_number,
    gl.ledger_id,
    gl.name                       ledger_name,
    gl.currency_code,
    ps.period_name,
    ps.period_year,
    ps.closing_status,
    outl.name                     operating_unit,
    outl.language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= 'U'
    AND xe.process_status_code = 'U' AND ( to_date(to_char(ip.last_update_date,'DD-MON-RR HH24:MI:SS'),'DD-MON-RR HH24:MI:SS')   &gt;=  to_date('24-APR-20','DD-MON-RR HH24:MI:SS')
       AND ip.last_update_date &lt; sysdate) )temp
where temp.language in ('US'))
PIVOT (max(OPERATING_UNIT) as OPERATING_UNIT, max(EVENT_STATUS_DESC) as EVENT_STATUS_DESC,
        max(PROCESS_STATUS_DESC) as PROCESS_STATUS_DESC,
		max(EVENT_TYPE_DESC) as EVENT_TYPE_DESC, max(PAYMENT_TYPE_DESC) as PAYMENT_TYPE_DESC,
    max(SUPPLIER_NAME) as SUPPLIER_NAME
For LANGUAGE in ('US' "US"))</t>
  </si>
  <si>
    <t>select * from (
SELECT
ECC_SPEC_ID,
RECORD_TYPE,
INVOICE_TYPE_LOOKUP_CODE,
ORG_ID,
TRANSACTION_CURRENCY,
SUPPLIER_NAME,
SUPPLIER_NUMBER,
SITE_CODE,
INVOICE_ID,
TRANSACTION_NUMBER,
TRANSACTION_DATE,
GL_DATE,
INVOICE_DISTRIBUTION_ID,
DISTRIBUTION_LINE_NUMBER,
INV_PERIOD,
AMOUNT,
ACCOUNTED_AMOUNT,
APPLICATION_ID,
EVENT_ID,
EVENT_STATUS_CODE,
EVENT_STATUS_DESC,
PROCESS_STATUS_CODE,
PROCESS_STATUS_DESC,
EVENT_TYPE_CODE,
EVENT_TYPE_DESC,
LINE_TYPE_LOOKUP_CODE,
LINE_TYPE_DESC,
EVENT_NUMBER,
LEDGER_ID,
LEDGER_NAME,
CURRENCY_CODE,
PERIOD_NAME,
PERIOD_YEAR,
CLOSING_STATUS,
OPERATING_UNIT,
LANGUAGE
FROM
(SELECT /*+ LEADING(ps) */
    aia.invoice_id
    || '-'
    ||aida.invoice_distribution_id
    || '-'
    || xe.event_id
    || '-'
    || xe.event_number ecc_spec_id,
    'INV' AS record_type,
    aia.invoice_type_lookup_code,
	aia.org_id,
	aia.invoice_currency_code as TRANSACTION_CURRENCY,
    ap.vendor_name         supplier_name,
    ap.segment1            supplier_number,
    pos.vendor_site_code   site_code,
    aia.invoice_id,
    aia.invoice_num        TRANSACTION_NUMBER,
    aia.invoice_date TRANSACTION_DATE,
    aia.gl_date,
    aida.invoice_distribution_id,
    aida.distribution_line_number,
    aida.period_name       inv_period,
    aida.amount,
	(CASE WHEN aida.base_amount IS NULL
    THEN (aida.amount * nvl(aida.exchange_rate,1))
    ELSE aida.base_amount
	END) as ACCOUNTED_AMOUNT,
    xe.application_id,
    xe.event_id,
    xe.event_status_code,
    (
        SELECT
            meaning
        FROM
            fnd_lookup_values
        WHERE
            view_application_id = 602
            AND lookup_type = 'XLA_EVENT_STATUS'
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                AND lookup_type = 'XLA_EVENT_PROCESS_STATUS'
            AND language = outl.language
            AND lookup_code = xe.process_status_code
    ) process_status_desc,
    xe.event_type_code,
	(select ett.description from XLA_EVENT_TYPES_TL ett where xe.EVENT_TYPE_CODE = ett. EVENT_TYPE_CODE and xe.application_id = ett.application_id AND ett.language = outl.language) as EVENT_TYPE_DESC,
    LINE_TYPE_LOOKUP_CODE,
    (select DISPLAYED_FIELD from AP_LOOKUP_CODES where LOOKUP_TYPE = 'INVOICE DISTRIBUTION TYPE'
    and LOOKUP_CODE = aida.LINE_TYPE_LOOKUP_CODE) as LINE_TYPE_DESC,
    xe.event_number,
    lgr.ledger_id,
    lgr.name               ledger_name,
    lgr.currency_code,
    ps.period_name,
    ps.period_year,
    ps.closing_status,
    outl.name              operating_unit,
    outl.language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= 'U' AND ( to_date(to_char(aia.last_update_date,'DD-MON-RR HH24:MI:SS'),'DD-MON-RR HH24:MI:SS')   &gt;=  to_date('24-APR-20','DD-MON-RR HH24:MI:SS')
       AND aia.last_update_date &lt; sysdate) )temp
where temp.language in ('US'))
PIVOT (max(OPERATING_UNIT) as OPERATING_UNIT, max(EVENT_STATUS_DESC) as EVENT_STATUS_DESC, max(PROCESS_STATUS_DESC) as PROCESS_STATUS_DESC,
    max(EVENT_TYPE_DESC) as EVENT_TYPE_DESC, max(LINE_TYPE_DESC) as LINE_TYPE_DESC, max(SUPPLIER_NAME) as SUPPLIER_NAME
For LANGUAGE in ('US' "US"))</t>
  </si>
  <si>
    <t>select * from (
SELECT
ECC_SPEC_ID,
RECORD_TYPE,
LEDGER_ID,
LEDGER_NAME,
CURRENCY_CODE,
OPERATING_UNIT,
LANGUAGE,
PERIOD_NAME,
PERIOD_YEAR,
CLOSING_STATUS,
ORG_ID,
INVOICE_ID,
INVOICE_TYPE_LOOKUP_CODE,
INVOICE_NUMBER,
INVOICE_CURRENCY,
INVOICE_DATE,
PAYMENT_TYPE_FLAG,
PAYMENT_TYPE_DESC,
INSTALLMENT,
INVOICE_PAYMENT_ID,
CHECK_ID,
TRANSACTION_NUMBER,
TRANSACTION_DATE,
BANK_ACCOUNT_NAME,
VENDOR_ID,
SUPPLIER_NAME,
SUPPLIER_NUMBER,
SITE_CODE,
APPLICATION_ID,
EVENT_ID,
EVENT_STATUS_CODE,
EVENT_STATUS_DESC,
PROCESS_STATUS_CODE,
PROCESS_STATUS_DESC,
EVENT_TYPE_CODE,
EVENT_TYPE_DESC,
EVENT_NUMBER,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DISPLAYED_LINE_NUMBER,
LINE_DESC,
ACCOUNT_CODE,
ACCOUNT_DESCRIPTION
FROM
(
SELECT /*+ LEADING(ps) */
    invoice_payment_id
    || '-'
    || xe.event_id
    || '-'
    || xe.event_number
    || '-'
    || xal.ae_header_id
    || '-'
    || xal.ae_line_num ecc_spec_id,
    'PAY' AS record_type,
    gl.ledger_id,
    gl.name ledger_name,
    gl.currency_code,
    outl.name operating_unit,
    outl.language,
    ps.period_name,
    ps.period_year,
    ps.closing_status,
    ai.org_id,
    ai.invoice_id invoice_id,
    ai.invoice_type_lookup_code invoice_type_lookup_code,
    ai.invoice_num invoice_number,
    ai.invoice_currency_code invoice_currency,
    ai.invoice_date AS invoice_date,
    c.payment_type_flag,
    (
        SELECT
            meaning
        FROM
            fnd_lookup_values
        WHERE
            view_application_id = 200
            AND   lookup_type = 'PAYMENT TYPE'
            AND   language = outl.language
            AND   lookup_code = c.payment_type_flag
    ) payment_type_desc,
    ip.payment_num installment,
    ip.invoice_payment_id,
    c.check_id,
    c.check_number transaction_number,
    c.check_date transaction_date,
    c.bank_account_name,
    ai.vendor_id,
    hp.party_name supplier_name,
    pav.segment1 supplier_number,
    pos.vendor_site_code site_code,
    xe.application_id,
    xe.event_id,
    Decode(xe.event_status_code,'Z','I',xe.event_status_code) as EVENT_STATUS_CODE,
    (
        SELECT
            meaning
        FROM
            fnd_lookup_values
        WHERE
            view_application_id = 602
            AND   lookup_type = 'XLA_EVENT_STATUS'
            AND   language = outl.language
            AND   lookup_code = Decode(xe.event_status_code,'Z','I',xe.event_status_code)
    ) event_status_desc,
    decode(xe.process_status_code,'Z','I',xe.process_status_code) as process_status_code,
    (
        SELECT
            meaning
        FROM
            fnd_lookup_values
        WHERE
            view_application_id = 602
            AND   lookup_type = 'XLA_EVENT_PROCESS_STATUS'
            AND   language = outl.language
            AND   lookup_code = decode(xe.process_status_code,'Z','I',xe.process_status_code)
    ) process_status_desc,
    xe.event_type_code,
    (
        SELECT
            ett.description
        FROM
            xla_event_types_tl ett
        WHERE
            xe.event_type_code = ett.event_type_code
            AND   xe.application_id = ett.application_id
            AND   ett.language = outl.language
    ) AS event_type_desc,
    xe.event_number,
    xah.ae_header_id,
    xah.gl_transfer_status_code,
    (
        SELECT
            meaning
        FROM
            fnd_lookup_values
        WHERE
            view_application_id = 602
            AND   lookup_type = 'GL_TRANSFER_FLAG'
            AND   language = outl.language
            AND   lookup_code = xah.gl_transfer_status_code
    ) gl_transfer_flag_desc,
    xah.accounting_entry_status_code,
    (
        SELECT
            meaning
        FROM
            fnd_lookup_values
        WHERE
            view_application_id = 602
            AND   lookup_type = 'XLA_ACCOUNTING_ENTRY_STATUS'
            AND   language = outl.language
            AND   lookup_code = xah.accounting_entry_status_code
    ) accounting_entry_status_desc,
    xah.accounting_entry_type_code,
    (
        SELECT
            meaning
        FROM
            fnd_lookup_values
        WHERE
            view_application_id = 602
            AND   lookup_type = 'XLA_ACCOUNTING_ENTRY_TYPE'
            AND   language = outl.language
            AND   lookup_code = xah.accounting_entry_type_code
    ) accounting_entry_type_desc,
    xah.je_category_name,
    (
        SELECT
            jct.description
        FROM
            gl_je_categories_tl jct
        WHERE
            xah.je_category_name = jct.je_category_name
            AND   jct.language = outl.language
    ) AS je_category_desc,
    xah.description,
    xah.balance_type_code,
    (
        SELECT
            meaning
        FROM
            fnd_lookup_values
        WHERE
            view_application_id = 602
            AND   lookup_type = 'XLA_BALANCE_TYPE'
            AND   language = outl.language
            AND   lookup_code = xah.balance_type_code
    ) balance_type_desc,
    xah.period_name gl_period_name,
    xal.ae_line_num,
    xal.accounting_date,
    xal.accounting_class_code,
    (
        SELECT
            meaning
        FROM
            fnd_lookup_values
        WHERE
            view_application_id = 602
            AND   lookup_type = 'XLA_ACCOUNTING_CLASS'
            AND   language = outl.language
            AND   lookup_code = xal.accounting_class_code
    ) accounting_class_code_desc,
    xal.business_class_code,
    (
        SELECT
            meaning
        FROM
            fnd_lookup_values
        WHERE
            view_application_id = 602
            AND   lookup_type = 'XLA_BUSINESS_FLOW_CLASS'
            AND   language = outl.language
            AND   lookup_code = xal.business_class_code
    ) business_class_code_desc,
    xal.code_combination_id xla_ccid,
    xal.entered_dr xla_entered_dr,
    xal.entered_cr xla_entered_cr,
    xal.accounted_dr xla_accounted_dr,
    xal.accounted_cr xla_accounted_cr,
    XAL.DISPLAYED_LINE_NUMBER,
    xal.description line_desc,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'VALUE') ) AS account_code,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'FULL_DESCRIPTION') ) AS account_description
FROM
    gl_period_statuses ps,
    ap_invoices_all ai,
    gl_ledgers gl,
    ap_invoice_payments_all ip,
    ap_checks_all c,
    ap_suppliers pav,
    ap_supplier_sites_all pos,
    hr_all_organization_units ou,
    hr_all_organization_units_tl outl,
    hz_parties hp,
    xla_events xe,
    xla_transaction_entities xte,
    xla_ae_headers xah,
    xla_ae_lines xal,
    gl_code_combinations cc
WHERE
    xe.application_id = 200
    AND   ps.adjustment_period_flag = 'N'
    AND   ps.set_of_books_id = ai.set_of_books_id
    AND   ai.gl_date BETWEEN ps.start_date AND ps.end_date
    AND   ps.closing_status = 'O'
    AND   ps.application_id = xe.application_id
    AND   ai.invoice_id = ip.invoice_id
    AND   ip.check_id = c.check_id
    AND   ai.set_of_books_id = gl.ledger_id
    AND   ou.organization_id = ai.org_id
    AND   ou.organization_id = outl.organization_id
    AND   ai.vendor_id = pav.vendor_id
    AND   ai.vendor_site_id = pos.vendor_site_id
    AND   hp.party_id = ai.party_id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AND   xah.gl_transfer_status_code &lt;&gt; 'Y'
    AND   xal.displayed_line_number &gt;= 0
    AND   xal.code_combination_id = cc.code_combination_id
    AND   gl.chart_of_accounts_id = cc.chart_of_accounts_id
    AND   cc.enabled_flag = 'Y' AND ( to_date(to_char(ip.last_update_date,'DD-MON-RR HH24:MI:SS'),'DD-MON-RR HH24:MI:SS')   &gt;=  to_date('24-APR-20','DD-MON-RR HH24:MI:SS')
       AND ip.last_update_date &lt; sysdate) )temp
    where temp.language in ('US'))
    PIVOT
    (max(OPERATING_UNIT) as OPERATING_UNIT,
    max(EVENT_STATUS_DESC) as EVENT_STATUS_DESC,
    max(PROCESS_STATUS_DESC) as PROCESS_STATUS_DESC,
    max(GL_TRANSFER_FLAG_DESC) as GL_TRANSFER_FLAG_DESC,
    max(ACCOUNTING_ENTRY_STATUS_DESC) as ACCOUNTING_ENTRY_STATUS_DESC,
    max(ACCOUNTING_ENTRY_TYPE_DESC) as ACCOUNTING_ENTRY_TYPE_DESC,
    max(BALANCE_TYPE_DESC) as BALANCE_TYPE_DESC, max(EVENT_TYPE_DESC) as EVENT_TYPE_DESC,
    max(JE_CATEGORY_DESC) as JE_CATEGORY_DESC,max(PAYMENT_TYPE_DESC) as PAYMENT_TYPE_DESC,
    max(ACCOUNTING_CLASS_CODE_DESC) as ACCOUNTING_CLASS_CODE_DESC,
    max(BUSINESS_CLASS_CODE_DESC) as BUSINESS_CLASS_CODE_DESC,
    max(SUPPLIER_NAME) as SUPPLIER_NAME
	For LANGUAGE in ('US' "US"))</t>
  </si>
  <si>
    <t>select * from (
SELECT
ECC_SPEC_ID,
RECORD_TYPE,
INVOICE_TYPE_LOOKUP_CODE,
ORG_ID,
TRANSACTION_CURRENCY,
VENDOR_ID,
SUPPLIER_NAME,
SUPPLIER_NUMBER,
SITE_CODE,
INVOICE_ID,
TRANSACTION_NUMBER,
TRANSACTION_DATE,
GL_DATE,
APPLICATION_ID,
EVENT_ID,
EVENT_STATUS_CODE,
EVENT_STATUS_DESC,
PROCESS_STATUS_CODE,
PROCESS_STATUS_DESC,
EVENT_TYPE_CODE,
EVENT_TYPE_DESC,
EVENT_NUMBER,
DISPLAYED_LINE_NUMBER,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LINE_DESC,
ACCOUNT_CODE,
ACCOUNT_DESCRIPTION,
LEDGER_ID,
LEDGER_NAME,
CURRENCY_CODE,
PERIOD_NAME,
PERIOD_YEAR,
CLOSING_STATUS,
OPERATING_UNIT,
LANGUAGE
FROM (
SELECT /*+ LEADING(ps) */
    aia.invoice_id
    || '-'
    || xe.event_id
    || '-'
    || xe.event_number
    || '-'
    || xah.ae_header_id
    || '-'
    || xal.ae_line_num ecc_spec_id,
    'INV' AS record_type,
    aia.invoice_type_lookup_code,
	aia.org_id,
	aia.invoice_currency_code as TRANSACTION_CURRENCY,
	aia.VENDOR_ID,
    ap.vendor_name            supplier_name,
    ap.segment1               supplier_number,
	pos.vendor_site_code   site_code,
    aia.invoice_id,
    aia.invoice_num TRANSACTION_NUMBER,
    aia.invoice_date TRANSACTION_DATE,
    aia.gl_date,
    xe.application_id,
    xe.event_id,
    Decode(xe.event_status_code,'Z','I',xe.event_status_code) as EVENT_STATUS_CODE,
    (
        SELECT
            meaning
        FROM
            fnd_lookup_values
        WHERE
            view_application_id = 602
                            AND lookup_type = 'XLA_EVENT_STATUS'
            AND language = outl.language
            AND lookup_code = Decode(xe.event_status_code,'Z','I',xe.event_status_code)
    ) event_status_desc,
	Decode(xe.process_status_code,'Z','I',xe.process_status_code) as 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Decode(xe.process_status_code,'Z','I',xe.process_status_code)
    ) process_status_desc,
    xe.event_type_code,
    (select ett.description from XLA_EVENT_TYPES_TL ett where xe.EVENT_TYPE_CODE = ett. EVENT_TYPE_CODE and xe.application_id = ett.application_id
	AND ett.language = outl.language) as EVENT_TYPE_DESC,
    xe.event_number,
    xal.displayed_line_number,
    xah.ae_header_id,
    xah.gl_transfer_status_code,
    (
        SELECT
            meaning
        FROM
            fnd_lookup_values
        WHERE
            view_application_id = 602
            AND lookup_type = 'GL_TRANSFER_FLAG'
            AND language = outl.language
            AND lookup_code = xah.gl_transfer_status_code
    ) gl_transfer_flag_desc,
    xah.accounting_entry_status_code,
                    (
        SELECT
            meaning
        FROM
            fnd_lookup_values
        WHERE
            view_application_id = 602
            AND lookup_type = 'XLA_ACCOUNTING_ENTRY_STATUS'
            AND language = outl.language
            AND lookup_code = xah.accounting_entry_status_code
    ) accounting_entry_status_desc,
    xah.accounting_entry_type_code,
    (
        SELECT
            meaning
        FROM
            fnd_lookup_values
        WHERE
            view_application_id = 602
            AND lookup_type = 'XLA_ACCOUNTING_ENTRY_TYPE'
            AND language = outl.language
            AND lookup_code = xah.accounting_entry_type_code
    ) accounting_entry_type_desc,
    xah.je_category_name,
	(select DESCRIPTION from GL_JE_CATEGORIES_TL jct Where xah.JE_CATEGORY_NAME = jct.JE_CATEGORY_NAME and language=outl.language)JE_CATEGORY_DESC,
    xah.description,
    xah.balance_type_code,
    (
        SELECT
            meaning
        FROM
            fnd_lookup_values
        WHERE
            view_application_id = 602
                            AND lookup_type = 'XLA_BALANCE_TYPE'
            AND language = outl.language
            AND lookup_code = xah.balance_type_code
    ) balance_type_desc,
    xah.period_name           gl_period_name,
                    xal.ae_line_num,
    xal.accounting_date,
                    xal.accounting_class_code,
    (
        SELECT
            meaning
        FROM
            fnd_lookup_values
        WHERE
            view_application_id = 602
            AND lookup_type = 'XLA_ACCOUNTING_CLASS'
            AND language = outl.language
            AND lookup_code = xal.accounting_class_code
    ) accounting_class_code_desc,
    xal.business_class_code,
    (
        SELECT
            meaning
        FROM
            fnd_lookup_values
        WHERE
            view_application_id = 602
            AND lookup_type = 'XLA_BUSINESS_FLOW_CLASS'
            AND language = outl.language
            AND lookup_code = xal.business_class_code
    ) business_class_code_desc,
    xal.code_combination_id   xla_ccid,
    xal.entered_dr            xla_entered_dr,
    xal.entered_cr            xla_entered_cr,
    xal.accounted_dr          xla_accounted_dr,
    xal.accounted_cr          xla_accounted_cr,
    xal.description           line_desc,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'VALUE')) AS account_code,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'FULL_DESCRIPTION')) AS account_description,
    lgr.ledger_id,
    lgr.name                  ledger_name,
    lgr.currency_code,
    ps.period_name,
    ps.period_year,
    ps.closing_status,
    outl.name                 operating_unit,
    outl.language
FROM
    ap_invoices_all                aia,
    ap_suppliers                   ap,
	ap_supplier_sites_all          pos,
    xla_events                     xe,
    XLA_TRANSACTION_ENTITIES XTE,
    xla_ae_headers                 xah,
    xla_ae_lines                   xal,
    gl_ledgers                     lgr,
    gl_period_statuses             ps,
    gl_code_combinations           cc,
    hr_all_organization_units      ou,
    hr_all_organization_units_tl   outl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    AND ou.organization_id = aia.org_id
    AND ou.organization_id = outl.organization_id
    AND lgr.ledger_id = aia.set_of_books_id
    AND ps.set_of_books_id = aia.set_of_books_id
    AND ps.application_id = xe.application_id
    AND aia.invoice_date BETWEEN ps.start_date AND ps.end_date
    AND ps.closing_status = 'O'
    AND xal.code_combination_id = cc.code_combination_id
    AND lgr.chart_of_accounts_id = cc.chart_of_accounts_id
    AND cc.enabled_flag = 'Y' AND ( to_date(to_char(aia.last_update_date,'DD-MON-RR HH24:MI:SS'),'DD-MON-RR HH24:MI:SS')   &gt;=  to_date('24-APR-20','DD-MON-RR HH24:MI:SS')
       AND aia.last_update_date &lt; sysdate)
    ) temp
    where temp.language in ('US'))
    PIVOT
    ( max(OPERATING_UNIT) as OPERATING_UNIT, max(EVENT_STATUS_DESC) as EVENT_STATUS_DESC, max(PROCESS_STATUS_DESC) as PROCESS_STATUS_DESC,
    max(GL_TRANSFER_FLAG_DESC) as GL_TRANSFER_FLAG_DESC, max(ACCOUNTING_ENTRY_STATUS_DESC) as ACCOUNTING_ENTRY_STATUS_DESC,
    max(ACCOUNTING_ENTRY_TYPE_DESC) as ACCOUNTING_ENTRY_TYPE_DESC, max(BALANCE_TYPE_DESC) as BALANCE_TYPE_DESC, MAX(EVENT_TYPE_DESC) as EVENT_TYPE_DESC,
     max(JE_CATEGORY_DESC) as JE_CATEGORY_DESC, max(ACCOUNTING_CLASS_CODE_DESC) as ACCOUNTING_CLASS_CODE_DESC, max(BUSINESS_CLASS_CODE_DESC) as BUSINESS_CLASS_CODE_DESC
    For LANGUAGE in ('US' "US"))</t>
  </si>
  <si>
    <t>SELECT /*+ LEADING(ps) */
    ip.invoice_payment_id
    || '-'
    || xe.event_id
    || '-'
    || xe.event_number ecc_spec_id ,
    'PAY' AS record_type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&lt;&gt; 'U'
    AND xe.process_status_code &lt;&gt; 'U'
	AND to_date(to_char(ip.last_update_date,'DD-MON-RR HH24:MI:SS'),'DD-MON-RR HH24:MI:SS')   &gt;=  to_date('24-APR-20','DD-MON-RR HH24:MI:SS')
	AND ip.last_update_date &lt; sysdate</t>
  </si>
  <si>
    <t>SELECT /*+ LEADING(ps) */
     aia.invoice_id
    || '-'
    ||aida.invoice_distribution_id
    || '-'
    || xe.event_id
    || '-'
    || xe.event_number ecc_spec_id,
    'INV' AS record_type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&lt;&gt; 'U'
	AND to_date(to_char(aia.last_update_date,'DD-MON-RR HH24:MI:SS'),'DD-MON-RR HH24:MI:SS')   &gt;=  to_date('24-APR-20','DD-MON-RR HH24:MI:SS')
    AND aia.last_update_date &lt; sysdate</t>
  </si>
  <si>
    <t>SELECT
 invoice_payment_id
    || '-'
    || xe.event_id
    || '-'
    || xe.event_number
	|| '-'
	||xal.AE_HEADER_ID
	|| '-'
	||xal.AE_LINE_NUM
	ecc_spec_id,
    'PAY' AS record_type
FROM
    ap_invoices_all ai,
    gl_ledgers gl,
    ap_invoice_payments_all ip,
    ap_checks_all c,
    ap_suppliers pav,
    ap_supplier_sites_all pos,
    xla_events xe,
    xla_transaction_entities xte,
    xla_ae_headers xah,
    xla_ae_lines xal
WHERE
    xe.application_id = 200
    AND   ai.invoice_id = ip.invoice_id
    AND   ip.check_id = c.check_id
    AND   ai.set_of_books_id = gl.ledger_id
    AND   ai.vendor_id = pav.vendor_id
    AND   ai.vendor_site_id = pos.vendor_site_id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--AND   xah.gl_transfer_status_code &lt;&gt; 'Y'
    AND   xal.displayed_line_number &gt;= 0
    AND to_date(to_char(ip.last_update_date,'DD-MON-RR HH24:MI:SS'),'DD-MON-RR HH24:MI:SS')   &gt;=  to_date('24-APR-20','DD-MON-RR HH24:MI:SS')
    AND ip.last_update_date &lt; sysdate</t>
  </si>
  <si>
    <t>SELECT DISTINCT
    'ECC_SPEC_ID' as ATTRIBUTE_NAME,
    aia.invoice_id as ATTRIBUTE_VALUE,
    'LIKE' AS OPERATOR
FROM
    ap_invoices_all                aia,
    ap_suppliers                   ap,
	ap_supplier_sites_all          pos,
    xla_events                     xe,
    XLA_TRANSACTION_ENTITIES XTE,
    xla_ae_headers                 xah,
    xla_ae_lines                   xal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	AND to_date(to_char(aia.last_update_date,'DD-MON-RR HH24:MI:SS'),'DD-MON-RR HH24:MI:SS')   &gt;=  to_date('24-APR-20','DD-MON-RR HH24:MI:SS')
    AND aia.last_update_date &lt; sysdate</t>
  </si>
  <si>
    <t>24m 58s</t>
  </si>
  <si>
    <t>select * from (SELECT ECC_SPEC_ID,
ATTRIBUTE_CATEGORY,
ATTRIBUTE1,
ATTRIBUTE2,
ATTRIBUTE3,
ATTRIBUTE4,
ATTRIBUTE5,
ATTRIBUTE6,
ATTRIBUTE7,
ATTRIBUTE8,
ATTRIBUTE9,
ATTRIBUTE10,
ATTRIBUTE11,
ATTRIBUTE12,
ATTRIBUTE13,
ATTRIBUTE14,
ATTRIBUTE15,
    record_type ,
        OPERATING_UNIT,
    ORG_ID ,
    invoice_id,
    invoice_type_lookup_code,
    invoice_type,
    invoice_number,
    legal_entity,
    invoice_amount ,
    inv_currency,
    inv_currency_code,
    invoice_date,
    VOUCHER_NUM,
    SOURCE,
     INSTALLMENT,
    AMOUNT,
    CHECK_NUMBER,
    CHECK_DATE,
    BANK_ACCOUNT_NAME,
    supplier_type,
    supplier_type_code,
    VENDOR_ID,
    Supplier_Name ,
    supplier_number ,
    site_code,
    Ledger,
    gl_currency,
    gl_currency_code,
    CREATION_DATE,
    LANGUAGE
from AP_ECC_PAID_HISTORY_V
Where CREATION_DATE &gt; trunc(sysdate)-7
And ( ( to_date(to_char(CREATION_DATE,'DD-MON-RR HH24:MI:SS'),'DD-MON-RR HH24:MI:SS')   &gt;=  to_date('24-APR-20','DD-MON-RR HH24:MI:SS')
       AND CREATION_DATE &lt; sysdate)) and language in ('US')) PIVOT ( max(SUPPLIER_TYPE) as SUPPLIER_TYPE,max(OPERATING_UNIT) as OPERATING_UNIT,max(INVOICE_TYPE) as INVOICE_TYPE, max (INV_CURRENCY) as INV_CURRENCY,
       max(GL_CURRENCY) as GL_CURRENCY
FOR LANGUAGE in ('US' "US"))</t>
  </si>
  <si>
    <t>SELECT hold.invoice_id || '_' || hold_id AS ECC_SPEC_ID
  FROM ap_holds_all hold
 WHERE HOLD.RELEASE_LOOKUP_CODE IS NOT NULL AND
to_date(to_char(HOLD.LAST_UPDATE_DATE,'DD-MON-RR HH24:MI:SS'),'DD-MON-RR HH24:MI:SS')   &gt;  to_date('24-APR-20','DD-MON-RR HH24:MI:SS')</t>
  </si>
  <si>
    <t>select * from (SELECT ECC_SPEC_ID,
ATTRIBUTE_CATEGORY,
ATTRIBUTE1,
ATTRIBUTE2,
ATTRIBUTE3,
ATTRIBUTE4,
ATTRIBUTE5,
ATTRIBUTE6,
ATTRIBUTE7,
ATTRIBUTE8,
ATTRIBUTE9,
ATTRIBUTE10,
ATTRIBUTE11,
ATTRIBUTE12,
ATTRIBUTE13,
ATTRIBUTE14,
ATTRIBUTE15,
  RECORD_TYPE,
  OPERATING_UNIT,
  ORG_ID,
  INVOICE_ID,
  INVOICE_TYPE_LOOKUP_CODE,
  INVOICE_TYPE,
  INVOICE_NUMBER,
  LEGAL_ENTITY,
  VALIDATION_STATUS,
  INVOICE_AMOUNT,
  INV_CURRENCY,
  INV_CURRENCY_CODE,
  INVOICE_DATE,
  PO_NUMBERS,
  VOUCHER_NUM,
  SOURCE,
  BASE_AMOUNT,
  PAYMENT_TERM,
  GL_DATE,
  EXCHANGE_RATE,
  DUE_DATE,
  PAYMENT_STATUS_FLAG,
  PAYMENT_STATUS,
  AMOUNT_REMAINING,
  AMOUNT_REMAINING_BASE,
  INSTALLMENT,
  SUPPLIER_TYPE,
  SUPPLIER_TYPE_CODE,
  VENDOR_ID,
  SUPPLIER_NAME,
  SUPPLIER_NUMBER,
  SITE_CODE,
  LEDGER_ID,
  LEDGER,
  GL_CURRENCY,
  GL_CURRENCY_CODE,
  LANGUAGE
FROM
  AP_ECC_PREPAYMENT_V pre
WHERE exists (	select 1 from AP_INVOICE_DISTRIBUTIONS_ALL aid where
   pre.INVOICE_ID = aid.invoice_id
     And  (( to_date(to_char(aid.last_update_date,'DD-MON-RR HH24:MI:SS'),'DD-MON-RR HH24:MI:SS')   &gt;=  to_date('24-APR-20','DD-MON-RR HH24:MI:SS')
       AND aid.last_update_date &lt; sysdate) OR
       ( to_date(to_char(ps_last_update_date,'DD-MON-RR HH24:MI:SS'),'DD-MON-RR HH24:MI:SS')   &gt;=  to_date('24-APR-20','DD-MON-RR HH24:MI:SS')
       AND ps_last_update_date &lt; sysdate) OR
       ( to_date(to_char(ai_last_update_date,'DD-MON-RR HH24:MI:SS'),'DD-MON-RR HH24:MI:SS')   &gt;=  to_date('24-APR-20','DD-MON-RR HH24:MI:SS')
       AND ai_last_update_date &lt; sysdate))) and language in ('US'))
PIVOT (max(OPERATING_UNIT) as OPERATING_UNIT , max(INVOICE_TYPE) as INVOICE_TYPE,max(PAYMENT_STATUS) as PAYMENT_STATUS,
 max(SUPPLIER_TYPE) as SUPPLIER_TYPE, max(PAYMENT_TERM) as PAYMENT_TERM,max (INV_CURRENCY) as INV_CURRENCY, max(GL_CURRENCY) as GL_CURRENCY
FOR LANGUAGE in ('US' "US"))</t>
  </si>
  <si>
    <t>select * from (SELECT
			'Asset Transfer' AS RECORD_TYPE ,
			NVL(MT.CONCURRENT_REQUEST_ID, 0)
			||'-'
			||MT.MASS_TRANSFER_ID AS ECC_SPEC_ID ,
			(
			CASE
			WHEN MT.CONCURRENT_REQUEST_ID IS NULL
			THEN MT.DATE_EFFECTIVE
			ELSE RS.ACTUAL_COMPLETION_DATE
			END ) ECC_LAST_UPDATE_DATE ,
			MT.CONCURRENT_REQUEST_ID REQUEST_NUM ,
			MT.MASS_TRANSFER_ID TRANS_NUM ,
			NVL(BC.ORG_ID,-9999) AS ORG_ID ,
			BC.BOOK_TYPE_CODE BOOK_CODE ,
			BC.BOOK_TYPE_NAME BOOK_NAME ,
			MT.TRANSACTION_DATE_ENTERED TRANS_DATE,
			DECODE(FC.CATEGORY_ID,NULL,NULL,
       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MT.DESCRIPTION TRANS_DESCRIPTION,
			(
			CASE
			WHEN RS.USER_CONCURRENT_PROGRAM_NAME = 'Mass Transfers Preview Report'
			THEN
			(SELECT MEANING
			FROM FA_LOOKUPS_TL
			WHERE LOOKUP_TYPE='MASS_TRX_STATUS'
			AND LOOKUP_CODE  ='PREVIEWED'
      AND LANGUAGE = fl.LANGUAGE_CODE
			)
			WHEN RS.USER_CONCURRENT_PROGRAM_NAME ='Mass Transfer'
			THEN
			(SELECT MEANING
			FROM FA_LOOKUPS_TL
			WHERE LOOKUP_TYPE='MASS_TRX_STATUS'
			AND LOOKUP_CODE  ='COMPLETED'
      AND LANGUAGE = fl.LANGUAGE_CODE
			)
			WHEN MT.CONCURRENT_REQUEST_ID IS NULL
			THEN
			(SELECT MEANING
			FROM FA_LOOKUPS_TL
			WHERE LOOKUP_TYPE='MASS_TRX_STATUS'
			AND LOOKUP_CODE  ='NEW'
      AND LANGUAGE = fl.LANGUAGE_CODE
			)
			END) TRANS_STATUS ,
			(
			CASE
			WHEN RS.USER_CONCURRENT_PROGRAM_NAME = 'Mass Transfers Preview Report'
			THEN 'PREVIEWED'
			WHEN RS.USER_CONCURRENT_PROGRAM_NAME ='Mass Transfer'
			THEN 'COMPLETED'
			WHEN MT.CONCURRENT_REQUEST_ID IS NULL
			THEN 'NEW'
			END) TRANS_STATUS_CODE
			,
			(
			CASE
			WHEN MT.FROM_LOCATION_ID &lt;&gt; MT.TO_LOCATION_ID
			THEN
			(SELECT MEANING
			FROM FA_LOOKUPS_TL
			WHERE LOOKUP_TYPE='FA_ECC_MASS_TRANSFER_TYPE'
			AND LOOKUP_CODE  ='LOCATION_TRANSFER'
      AND LANGUAGE = fl.LANGUAGE_CODE
			)
			||'|'
			ELSE ''
			END)
			|| (
			CASE
			WHEN MT.FROM_GL_CCID&lt;&gt; MT.TO_GL_CCID
			THEN
			(SELECT MEANING
			FROM FA_LOOKUPS_TL
			WHERE LOOKUP_TYPE='FA_ECC_MASS_TRANSFER_TYPE'
			AND LOOKUP_CODE  ='DEPRECIATION_EXPENSE_TRANSFER'
      AND LANGUAGE = fl.LANGUAGE_CODE
			)
			||'|'
			ELSE ''
			END)
			|| (
			CASE
			WHEN MT.FROM_EMPLOYEE_ID &lt;&gt; MT.TO_EMPLOYEE_ID
			THEN
			(SELECT MEANING
			FROM FA_LOOKUPS_TL
			WHERE LOOKUP_TYPE='FA_ECC_MASS_TRANSFER_TYPE'
			AND LOOKUP_CODE  ='EMPLOYEE_TRANSFER'
      AND LANGUAGE = fl.LANGUAGE_CODE
			)
			ELSE
			(SELECT MEANING
			FROM FA_LOOKUPS_TL
			WHERE LOOKUP_TYPE='FA_ECC_MASS_TRANSFER_TYPE'
			AND LOOKUP_CODE  ='NO_TRANSFER_DET'
      AND LANGUAGE = fl.LANGUAGE_CODE
			)
			END) AS TRANSFER_TYPE
			/* UNION ATTRIBUTES*/
			,
			''            AS CHANGE_TYPE 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fl.LANGUAGE_CODE AS LANGUAGE
			FROM FA_MASS_TRANSFERS MT,
			FA_BOOK_CONTROLS BC,
			FA_CATEGORIES_B FC,
			FND_CONC_REQ_SUMMARY_V RS ,
			FA_SYSTEM_CONTROLS FSC,
      FND_LANGUAGES fl
			WHERE MT.BOOK_TYPE_CODE                         = BC.BOOK_TYPE_CODE
      AND fl.INSTALLED_FLAG in ('B','I')
			AND BC.BOOK_CLASS                               = 'CORPORATE'
			AND BC.DATE_INEFFECTIVE                        IS NULL
			AND MT.CATEGORY_ID                              = FC.CATEGORY_ID(+)
			AND MT.CONCURRENT_REQUEST_ID                    = RS.REQUEST_ID(+)
			AND NVL(RS.USER_CONCURRENT_PROGRAM_NAME, '$$') &lt;&gt; 'Mass Transfer'
			AND ((MT.CONCURRENT_REQUEST_ID                 IS NULL
			AND ( (to_date(MT.DATE_EFFECTIVE,'DD-MON-RR HH24:MI:SS') &gt;= to_date('24-APR-20','DD-MON-RR HH24:MI:SS')
			AND MT.DATE_EFFECTIVE                           &lt; SYSDATE )))
			OR ( ( to_date(RS.ACTUAL_COMPLETION_DATE,'DD-MON-RR HH24:MI:SS')  &gt;=  to_date('24-APR-20','DD-MON-RR HH24:MI:SS')
			AND RS.ACTUAL_COMPLETION_DATE                   &lt; SYSDATE )))
      UNION ALL
			SELECT 'Asset revaluation' AS RECORD_TYPE,
			NVL(MR.LAST_REQUEST_ID,0)
			||'-'
			||MR.MASS_REVAL_ID
			||'-'
			||MRR.ASSET_ID AS ECC_SPEC_ID,
			MR.LAST_UPDATE_DATE ECC_LAST_UPDATE_DATE,
			MR.LAST_REQUEST_ID REQUEST_NUM,
			MR.MASS_REVAL_ID TRANS_NUM,
			NVL(BC.ORG_ID,-9999) AS ORG_ID,
			BC.BOOK_TYPE_CODE BOOK_CODE,
			BC.BOOK_TYPE_NAME BOOK_NAME,
			MR.REVAL_DATE TRANS_DATE,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'BASED_CATEGORY',
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MR.DESCRIPTION TRANS_DESCRIPTION ,
			LO.MEANING AS TRANS_STATUS ,
			MR.STATUS  AS TRANS_STATUS_CODE ,
			''         AS TRANSFER_TYPE ,
			''         AS CHANGE_TYPE
			/* UNION ATTRIBUTES*/
			,
			AD.ASSET_NUMBER AS ASSET_NUMBER ,
			''              AS ASSET_DESCRIPTION ,
			''              AS ADDITION_ACCOUNTING_YEAR ,
			''              AS ADDITION_MONTH_YEAR ,
			TO_NUMBER('')   AS ADDITION_COST ,
			TO_NUMBER('')   AS ADDITION_UNITS ,
			''              AS ADDITION_SOURCE_NAME ,
			TO_NUMBER('')   AS ADDITION_BATCH_ID ,
			TO_DATE('')     AS ADDITION_BATCH_DATE ,
			''              AS ADDITION_PO_NUMBER ,
			TO_NUMBER('')   AS ADDITION_INV_ID ,
			''              AS ADDITION_INV_NUMBER ,
			TO_DATE('')     AS ADDITION_INV_DATE ,
			TO_NUMBER('')   AS ADDITION_INV_LINE_NUMBER ,
			''              AS ADDITION_INV_DESCRIPTION ,
			''              AS ADDITION_SUPPLIER_NUMBER ,
			''              AS ADDITION_SUPPLIER_NAME ,
			''              AS ADDITION_PROJ_NAME ,
			''              AS ADDITION_PROJ_TASK ,
			''              AS AMORTIZED,
      LO.LANGUAGE
			FROM FA_MASS_REVALUATIONS MR,
			FA_MASS_REVALUATION_RULES MRR,
			FA_BOOK_CONTROLS BC,
			FA_CATEGORIES_B FC ,
			FA_ADDITIONS_B AD,
			FA_SYSTEM_CONTROLS FSC,
      FA_LOOKUPS FL,
			FA_LOOKUPS_TL LO
			WHERE MR.MASS_REVAL_ID       = MRR.MASS_REVAL_ID(+)
			AND MR.BOOK_TYPE_CODE        = BC.BOOK_TYPE_CODE
			AND BC.BOOK_CLASS            = 'CORPORATE'
			AND BC.DATE_INEFFECTIVE     IS NULL
			AND MRR.CATEGORY_ID          = FC.CATEGORY_ID(+)
			AND MRR.ASSET_ID             = AD.ASSET_ID(+)
			AND MR.STATUS               &lt;&gt; ('COMPLETED')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 to_date('24-APR-20','DD-MON-RR HH24:MI:SS')
			AND MR.LAST_UPDATE_DATE      &lt; SYSDATE ))
      UNION ALL
			SELECT 'Asset Change' AS RECORD_TYPE,
			NVL(MC.CONCURRENT_REQUEST_ID,0)
			||'-'
			||MC.MASS_CHANGE_ID AS ECC_SPEC_ID,
			MC.LAST_UPDATE_DATE ECC_LAST_UPDATE_DATE,
			MC.CONCURRENT_REQUEST_ID REQUEST_NUM,
			MC.MASS_CHANGE_ID TRANS_NUM,
			NVL(BC.ORG_ID,-9999) AS ORG_ID,
			BC.BOOK_TYPE_CODE BOOK_CODE,
			BC.BOOK_TYPE_NAME BOOK_NAME,
			MC.TRANSACTION_DATE_ENTERED TRANS_DATE,
			''         AS ASSET_CATEGORY,
			''         AS MAJOR_CATEGORY,
			''         AS MINOR_CATEGORY,
			''         AS TRANS_DESCRIPTION ,
			LO.MEANING AS TRANS_STATUS ,
			MC.STATUS  AS TRANS_STATUS_CODE ,
			''         AS TRANSFER_TYPE ,
			(
			CASE
			WHEN MC.FROM_DATE_PLACED_IN_SERVICE &lt;&gt; MC.TO_DATE_PLACED_IN_SERVICE
			THEN
			(SELECT MEANING
			FROM FA_LOOKUPS_TL
			WHERE LOOKUP_TYPE='FA_ECC_MASS_CHANGE_TYPE'
			AND LOOKUP_CODE  ='DPIS_CHANGE'
      AND LANGUAGE = LO.LANGUAGE
			)
			||'|'
			ELSE ''
			END)
			|| (
			CASE
			WHEN MC.FROM_CONVENTION &lt;&gt; MC.TO_CONVENTION
			THEN
			(SELECT MEANING
			FROM FA_LOOKUPS_TL
			WHERE LOOKUP_TYPE='FA_ECC_MASS_CHANGE_TYPE'
			AND LOOKUP_CODE  ='PRORATE_CONVENTION_CHANGE'
      AND LANGUAGE = LO.LANGUAGE
			)
			||'|'
			ELSE ''
			END)
			|| (
			CASE
			WHEN MC.FROM_LIFE_IN_MONTHS &lt;&gt; MC.TO_LIFE_IN_MONTHS
			THEN
			(SELECT MEANING
			FROM FA_LOOKUPS_TL
			WHERE LOOKUP_TYPE='FA_ECC_MASS_CHANGE_TYPE'
			AND LOOKUP_CODE  ='ASSET_LIFE_CHANGE'
      AND LANGUAGE = LO.LANGUAGE
			)
			||'|'
			ELSE ''
			END)
			|| (
			CASE
			WHEN MC.FROM_METHOD_CODE &lt;&gt; MC.TO_METHOD_CODE
			THEN
			(SELECT MEANING
			FROM FA_LOOKUPS_TL
			WHERE LOOKUP_TYPE='FA_ECC_MASS_CHANGE_TYPE'
			AND LOOKUP_CODE  ='DEPRECIATION_METHOD_CHANGE'
      AND LANGUAGE = LO.LANGUAGE
			)
			||'|'
			ELSE ''
			END)
			|| (
			CASE
			WHEN MC.FROM_BASIC_RATE &lt;&gt; MC.FROM_ADJUSTED_RATE
			THEN
			(SELECT MEANING
			FROM FA_LOOKUPS_TL
			WHERE LOOKUP_TYPE='FA_ECC_MASS_CHANGE_TYPE'
			AND LOOKUP_CODE  ='DEPRECIATION_RATE_CHANGE'
      AND LANGUAGE = LO.LANGUAGE
			)
			||'|'
			ELSE ''
			END)
			|| (
			CASE
			WHEN MC.FROM_PRODUCTION_CAPACITY &lt;&gt; MC.TO_PRODUCTION_CAPACITY
			THEN
			(SELECT MEANING
			FROM FA_LOOKUPS_TL
			WHERE LOOKUP_TYPE='FA_ECC_MASS_CHANGE_TYPE'
			AND LOOKUP_CODE  ='PRODUCTION_CAPACITY_CHANGE'
      AND LANGUAGE = LO.LANGUAGE
			)
			||'|'
			ELSE ''
			END)
			|| (
			CASE
			WHEN MC.FROM_UOM &lt;&gt; MC.TO_UOM
			THEN
			(SELECT MEANING
			FROM FA_LOOKUPS_TL
			WHERE LOOKUP_TYPE='FA_ECC_MASS_CHANGE_TYPE'
			AND LOOKUP_CODE  ='UNIT_CHANGE'
      AND LANGUAGE = LO.LANGUAGE
			)
			||'|'
			ELSE ''
			END )
			|| (
			CASE
			WHEN MC.FROM_GROUP_ASSOCIATION &lt;&gt; MC.TO_GROUP_ASSOCIATION
			THEN
			(SELECT MEANING
			FROM FA_LOOKUPS_TL
			WHERE LOOKUP_TYPE='FA_ECC_MASS_CHANGE_TYPE'
			AND LOOKUP_CODE  ='GROUP_ASSOCIATION_CHANGE'
      AND LANGUAGE = LO.LANGUAGE
			)
			||'|'
			ELSE ''
			END)
			|| (
			CASE
			WHEN MC.FROM_SALVAGE_TYPE        &lt;&gt; MC.TO_SALVAGE_TYPE
			OR MC.FROM_PERCENT_SALVAGE_VALUE &lt;&gt; MC.TO_PERCENT_SALVAGE_VALUE
			OR MC.FROM_SALVAGE_VALUE         &lt;&gt; MC.FROM_SALVAGE_VALUE
			THEN
			(SELECT MEANING
			FROM FA_LOOKUPS_TL
			WHERE LOOKUP_TYPE='FA_ECC_MASS_CHANGE_TYPE'
			AND LOOKUP_CODE  ='SALVAGE_VALUE_CHANGE'
      AND LANGUAGE = LO.LANGUAGE
			)
			||'|'
			ELSE ''
			END)
			|| (
			CASE
			WHEN MC.FROM_DEPRN_LIMIT_TYPE &lt;&gt; MC.TO_DEPRN_LIMIT_TYPE
			OR MC.TO_DEPRN_LIMIT          &lt;&gt; MC.TO_DEPRN_LIMIT
			OR MC.FROM_DEPRN_LIMIT_AMOUNT &lt;&gt; MC.TO_DEPRN_LIMIT_AMOUNT
			THEN
			(SELECT MEANING
			FROM FA_LOOKUPS_TL
			WHERE LOOKUP_TYPE='FA_ECC_MASS_CHANGE_TYPE'
			AND LOOKUP_CODE  ='DEPRECIATION_LIMIT_CHANGE'
      AND LANGUAGE = LO.LANGUAGE
			)
			ELSE
			(SELECT MEANING
			FROM FA_LOOKUPS_TL
			WHERE LOOKUP_TYPE='FA_ECC_MASS_CHANGE_TYPE'
			AND LOOKUP_CODE  ='NO_CHANGE_DET'
      AND LANGUAGE = LO.LANGUAGE
			)
			END )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MC.AMORTIZE_FLAG AMORTIZED,
      LO.LANGUAGE
			FROM FA_MASS_CHANGES MC,
			FA_BOOK_CONTROLS BC,
      FA_LOOKUPS FL,
			FA_LOOKUPS_TL LO
			WHERE MC.BOOK_TYPE_CODE      = BC.BOOK_TYPE_CODE
			AND BC.BOOK_CLASS            = 'CORPORATE'
			AND BC.DATE_INEFFECTIVE     IS NULL
			AND MC.STATUS               &lt;&gt; 'COMPLETED'
			AND LO.LOOKUP_TYPE           ='MASS_TRX_STATUS'
			AND FL.LOOKUP_TYPE = lo.LOOKUP_TYPE
       AND FL.lookup_code = lo.lookup_code
			 and FL.enabled_flag='Y'
			AND MC.STATUS                = LO.LOOKUP_CODE
			AND ( ( to_date(to_char(MC.LAST_UPDATE_DATE,'DD-MON-RR HH24:MI:SS'),'DD-MON-RR HH24:MI:SS')&gt;=  to_date('24-APR-20','DD-MON-RR HH24:MI:SS')
			AND MC.LAST_UPDATE_DATE      &lt; SYSDATE ))
			UNION ALL
			SELECT 'Asset Reclass' AS RECORD_TYPE,
			  NVL(MR.CONCURRENT_REQUEST_ID, 0)
			  ||'-'
			  ||MR.MASS_RECLASS_ID AS ECC_SPEC_ID,
			  MR.LAST_UPDATE_DATE ECC_LAST_UPDATE_DATE,
			  MR.CONCURRENT_REQUEST_ID REQUEST_NUM,
			  MR.MASS_RECLASS_ID TRANS_NUM,
			  NVL(BC.ORG_ID,-9999) AS ORG_ID,
			  MR.BOOK_TYPE_CODE BOOK_CODE,
			  BC.BOOK_TYPE_NAME BOOK_NAME,
			  MR.TRANSACTION_DATE_ENTERED TRANS_DATE,
			  '' AS ASSET_CATEGORY,
			  '' AS MAJOR_CATEGORY,
			  '' AS MINOR_CATEGORY,
			  '' AS TRANS_DESCRIPTION ,
			  LO.MEANING TRANS_STATUS ,
			  MR.STATUS TRANS_STATUS_CODE ,
			  '' AS TRANSFER_TYPE ,
			  '' AS CHANGE_TYPE
			  /* UNION ATTRIBUTES*/
			  ,
			  ''            AS ASSET_NUMBER ,
			  ''            AS ASSET_DESCRIPTION ,
			  ''            AS ADDITION_ACCOUNTING_YEAR ,
			  ''            AS ADDITION_MONTH_YEAR ,
			  TO_NUMBER('') AS ADDITION_COST ,
			  TO_NUMBER('') AS ADDITION_UNITS ,
			  ''            AS ADDITION_SOURCE_NAME ,
			  TO_NUMBER('') AS ADDITION_BATCH_ID ,
			  TO_DATE('')   AS ADDITION_BATCH_DATE ,
			  ''            AS ADDITION_PO_NUMBER ,
			  TO_NUMBER('') AS ADDITION_INV_ID ,
			  ''            AS ADDITION_INV_NUMBER ,
			  TO_DATE('')   AS ADDITION_INV_DATE ,
			  TO_NUMBER('') AS ADDITION_INV_LINE_NUMBER ,
			  ''            AS ADDITION_INV_DESCRIPTION ,
			  ''            AS ADDITION_SUPPLIER_NUMBER ,
			  ''            AS ADDITION_SUPPLIER_NAME ,
			  ''            AS ADDITION_PROJ_NAME ,
			  ''            AS ADDITION_PROJ_TASK ,
			  MR.AMORTIZE_FLAG AMORTIZED,
        LO.LANGUAGE
			FROM FA_MASS_RECLASS MR,
			  FA_BOOK_CONTROLS BC,
        FA_LOOKUPS FL,
			  FA_LOOKUPS_TL LO
			WHERE MR.BOOK_TYPE_CODE      = BC.BOOK_TYPE_CODE
			AND BC.BOOK_CLASS            = 'CORPORATE'
			AND BC.DATE_INEFFECTIVE     IS NULL
			AND MR.STATUS               &lt;&gt; 'COMPLETED'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to_date('24-APR-20','DD-MON-RR HH24:MI:SS')
			AND MR.LAST_UPDATE_DATE      &lt; SYSDATE ))
			UNION ALL
			-- ASSET MASS RETIREMENTS
			SELECT 'Asset Retirement' AS RECORD_TYPE,
			NVL(MT.RETIRE_REQUEST_ID,0)
			||'-'
			||MT.MASS_RETIREMENT_ID AS ECC_SPEC_ID,
			MT.LAST_UPDATE_DATE ECC_LAST_UPDATE_DATE,
			MT.RETIRE_REQUEST_ID REQUEST_NUM,
			MT.MASS_RETIREMENT_ID TRANS_NUM,
			NVL(BC.ORG_ID,-9999) AS ORG_ID,
			MT.BOOK_TYPE_CODE BOOK_CODE,
			BC.BOOK_TYPE_NAME BOOK_NAME,
			MT.RETIREMENT_DATE TRANS_DATE,
			'' AS ASSET_CATEGORY,
			'' AS MAJOR_CATEGORY,
			'' AS MINOR_CATEGORY,
			'' AS TRANS_DESCRIPTION ,
			LO.MEANING TRANS_STATUS ,
			MT.STATUS TRANS_STATUS_CODE ,
			'' AS TRANSFER_TYPE ,
			''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LO.LANGUAGE
			FROM FA_MASS_RETIREMENTS MT,
			FA_BOOK_CONTROLS BC,
      FA_LOOKUPS FL,
			FA_LOOKUPS_TL LO
			WHERE MT.BOOK_TYPE_CODE      = BC.BOOK_TYPE_CODE
			AND BC.BOOK_CLASS            = 'CORPORATE'
			AND BC.DATE_INEFFECTIVE     IS NULL
			AND MT.STATUS               &lt;&gt; 'COMPLETED'
			AND LO.LOOKUP_TYPE           ='MASS_TRX_STATUS'
			AND FL.LOOKUP_TYPE = lo.LOOKUP_TYPE
       AND FL.lookup_code = lo.lookup_code
			 and FL.enabled_flag='Y'
			AND MT.STATUS                = LO.LOOKUP_CODE
			AND ( ( to_date(to_char(MT.LAST_UPDATE_DATE,'DD-MON-RR HH24:MI:SS'),'DD-MON-RR HH24:MI:SS') &gt;=  to_date('24-APR-20' ,'DD-MON-RR HH24:MI:SS')
			AND MT.LAST_UPDATE_DATE      &lt; SYSDATE ))
			UNION ALL
						SELECT 'Mass Additions' AS RECORD_TYPE,
			  MA.MASS_ADDITION_ID
			  || '' AS ECC_SPEC_ID,
			  NVL(MA.LAST_UPDATE_DATE,MA.CREATION_DATE) ECC_LAST_UPDATE_DATE,
			  TO_NUMBER('')         AS REQUEST_NUM,
			  TO_NUMBER('')         AS TRANS_NUM,
			  NVL(FBC.ORG_ID,-9999) AS ORG_ID,
			  MA.BOOK_TYPE_CODE     AS BOOK_CODE,
			  FBC.BOOK_TYPE_NAME BOOK_NAME,
			  MA.ACCOUNTING_DATE AS TRANS_DATE,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P_OUTPUT_TYPE=&gt;'DESCRIPTION') ) MAJOR_CATEGORY 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'MINOR_CATEGORY',
        P_SHOW_PARENT_SEGMENTS =&gt; 'N', P_OUTPUT_TYPE=&gt;'DESCRIPTION')) MINOR_CATEGORY,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'ALL', P_SHOW_PARENT_SEGMENTS =&gt; 'N',
        P_OUTPUT_TYPE=&gt;'DESCRIPTION')) ASSET_CATEGORY ,
			  '' AS TRANS_DESCRIPTION ,
			  LO.MEANING TRANS_STATUS ,
			  MA.QUEUE_NAME                         AS TRANS_STATUS_CODE ,
			  ''                                    AS TRANSFER_TYPE ,
			  ''                                    AS CHANGE_TYPE ,
			  MA.ASSET_NUMBER                       AS ASSET_NUMBER ,
			  MA.DESCRIPTION                        AS ASSET_DESCRIPTION ,
			  TO_CHAR(MA.ACCOUNTING_DATE,'YYYY')    AS ADDITION_ACCOUNTING_YEAR ,
			  TO_CHAR(MA.ACCOUNTING_DATE,'MM-YYYY') AS ADDITION_MONTH_YEAR ,
			  MA.FIXED_ASSETS_COST                  AS ADDITION_COST ,
			  MA.FIXED_ASSETS_UNITS                 AS ADDITION_UNITS ,
			  MA.FEEDER_SYSTEM_NAME                 AS ADDITION_SOURCE_NAME
			  ,
			  MA.CREATE_BATCH_ID     AS ADDITION_BATCH_ID ,
			  MA.CREATE_BATCH_DATE   AS ADDITION_BATCH_DATE ,
			  MA.PO_NUMBER           AS ADDITION_PO_NUMBER ,
			  MA.INVOICE_ID          AS ADDITION_INV_ID ,
			  MA.INVOICE_NUMBER      AS ADDITION_INV_NUMBER ,
			  MA.INVOICE_DATE        AS ADDITION_INV_DATE ,
			  MA.INVOICE_LINE_NUMBER AS ADDITION_INV_LINE_NUMBER ,
			  MA.DESCRIPTION         AS ADDITION_INV_DESCRIPTION ,
			  PO.SEGMENT1            AS ADDITION_SUPPLIER_NUMBER ,
			  PO.VENDOR_NAME         AS ADDITION_SUPPLIER_NAME
			  ,
			  PJ.NAME        AS ADDITION_PROJ_NAME ,
			  PT.TASK_NUMBER AS ADDITION_PROJ_TASK ,
			  MA.AMORTIZE_FLAG AMORTIZED,
        LO.LANGUAGE
			FROM AP_SUPPLIERS PO ,
			  FA_ADDITIONS_B AD ,
			  FA_MASS_ADDITIONS MA ,
			  FA_WARRANTIES WAR ,
			  FA_ADDITIONS_B GAD ,
			  PA_PROJECTS_ALL PJ ,
			  PA_TASKS PT ,
			  FA_CATEGORIES_B FC ,
			  FA_BOOK_CONTROLS FBC ,
			  FA_DEPRN_PERIODS FDP1 ,
			  FA_DEPRN_PERIODS FDP2 ,
			  GL_LEDGERS LGR ,
			  FA_SYSTEM_CONTROLS FSC ,
        FA_LOOKUPS FL,
			  FA_LOOKUPS_TL LO
			WHERE FBC.BOOK_TYPE_CODE        = FDP1.BOOK_TYPE_CODE
			AND FBC.BOOK_CLASS              = 'CORPORATE'
			AND FBC.DATE_INEFFECTIVE       IS NULL
			AND FBC.SET_OF_BOOKS_ID         = LGR.LEDGER_ID
			AND LGR.OBJECT_TYPE_CODE        = 'L'
			AND NVL(LGR.COMPLETE_FLAG, 'Y') = 'Y'
			AND FBC.LAST_PERIOD_COUNTER     = FDP1.PERIOD_COUNTER
			AND FBC.BOOK_TYPE_CODE          = FDP2.BOOK_TYPE_CODE
			AND FBC.LAST_PERIOD_COUNTER+1   = FDP2.PERIOD_COUNTER
			AND FBC.DATE_INEFFECTIVE       IS NULL
			AND MA.BOOK_TYPE_CODE           = FBC.BOOK_TYPE_CODE
			AND MA.ASSET_CATEGORY_ID        = FC.CATEGORY_ID (+)
			AND MA.PROJECT_ID               = PJ.PROJECT_ID ( + )
			AND MA.TASK_ID                  = PT.TASK_ID (    + )
			AND MA.PO_VENDOR_ID             = PO.VENDOR_ID (  + )
			AND MA.PARENT_ASSET_ID          = AD.ASSET_ID (   + )
			AND MA.WARRANTY_ID              = WAR.WARRANTY_ID (+)
			AND GAD.ASSET_ID (+)            = MA.GROUP_ASSET_ID
			AND NVL(MA.POSTING_STATUS, 'A')  not in   ('POSTED','SPLIT')
			 AND ma.queue_name = lo.lookup_code
			 AND lo.LOOKUP_TYPE   = 'QUEUE NAME'
       AND FL.LOOKUP_TYPE = lo.LOOKUP_TYPE
       AND FL.lookup_code = lo.lookup_code
			 and FL.enabled_flag='Y'
			AND MA.POST_BATCH_ID           IS NULL
			And ( (  to_date( to_char(Nvl(Ma.Last_Update_Date,Ma.Creation_Date),'DD-MON-RR HH24:MI:SS'),'DD-MON-RR HH24:MI:SS')    &gt;= to_date('24-APR-20','DD-MON-RR HH24:MI:SS')
			AND  NVL(MA.LAST_UPDATE_DATE,MA.CREATION_DATE)         &lt; SYSDATE )) and LO.language in ('US') )
      PIVOT (max(TRANS_STATUS) as TRANS_STATUS,
             max(TRANSFER_TYPE) as TRANSFER_TYPE,
             max(CHANGE_TYPE) as CHANGE_TYPE
            for LANGUAGE in ('US' "US"))</t>
  </si>
  <si>
    <t>SELECT mt.CONCURRENT_REQUEST_ID
						  ||'-'
						  ||mt.MASS_TRANSFER_ID AS ECC_SPEC_ID
						FROM FA_MASS_TRANSFERS mt,
						  FA_BOOK_CONTROLS bc,
						  FND_CONC_REQ_SUMMARY_V rs
						WHERE mt.book_type_code                         = bc.book_type_code
						AND bc.book_class                               = 'CORPORATE'
						AND bc.date_ineffective                        IS NULL
						AND mt.CONCURRENT_REQUEST_ID                    = rs.request_id
						AND NVL(rs.USER_CONCURRENT_PROGRAM_NAME, '$$') = 'Mass Transfer'
						And ( ( to_date(to_char(Rs.Actual_Completion_Date,'DD-MON-RR HH24:MI:SS'),'DD-MON-RR HH24:MI:SS')  &gt;=  to_date('24-APR-20','DD-MON-RR HH24:MI:SS')
						AND rs.ACTUAL_COMPLETION_DATE                   &lt; sysdate ))
						UNION ALL
						SELECT NVL(mr.last_request_id,0)
						  ||'-'
						  ||mr.mass_reval_id
						  ||'-'
						  ||mrr.ASSET_ID AS ECC_SPEC_ID
						  FROM fa_mass_revaluations mr,
						  FA_BOOK_CONTROLS bc,
						   FA_MASS_REVALUATION_RULES  mrr
						WHERE mr.book_type_code      = bc.book_type_code
						AND bc.book_class            = 'CORPORATE'
						AND bc.date_ineffective     IS NULL
						AND mr.status              = ('COMPLETED')
						and mr.mass_reval_id = mrr.mass_reval_id(+)
						And ( ( to_date(to_char(Mr.Last_Update_Date,'DD-MON-RR HH24:MI:SS'),'DD-MON-RR HH24:MI:SS') &gt;=  to_date('24-APR-20','DD-MON-RR HH24:MI:SS')
						AND mr.last_update_date      &lt; sysdate ))
						UNION ALL
						SELECT
						  NVL(mc.concurrent_request_id,0)
						  ||'-'
						  ||mc.mass_change_id AS ECC_SPEC_ID
						From Fa_Mass_Changes Mc,
						FA_BOOK_CONTROLS bc
						WHERE mc.book_type_code      = bc.book_type_code
						AND bc.book_class            = 'CORPORATE'
						AND bc.date_ineffective     IS NULL
						AND mc.status               = 'COMPLETED'
						And ( ( to_date(to_char(Mc.Last_Update_Date,'DD-MON-RR HH24:MI:SS'),'DD-MON-RR HH24:MI:SS') &gt;=  to_date('24-APR-20','DD-MON-RR HH24:MI:SS')
						AND mc.last_update_date     &lt; sysdate ))
						UNION ALL
						SELECT NVL(mr.concurrent_request_id, 0)
						  ||'-'
						  ||mr.MASS_RECLASS_ID AS ECC_SPEC_ID
						FROM FA_MASS_RECLASS mr,
						  FA_BOOK_CONTROLS bc
						WHERE mr.BOOK_TYPE_CODE      = bc.BOOK_TYPE_CODE
						AND bc.book_class            = 'CORPORATE'
						AND bc.date_ineffective     IS NULL
						AND mr.status              = 'COMPLETED'
						And ( ( to_date(to_char(Mr.Last_Update_Date,'DD-MON-RR HH24:MI:SS'),'DD-MON-RR HH24:MI:SS') &gt;=  to_date('24-APR-20','DD-MON-RR HH24:MI:SS')
						AND mr.last_update_date     &lt; sysdate))
						UNION ALL
						-- Asset Mass Retirements
						SELECT
						  NVL(mt.RETIRE_REQUEST_ID,0)
						  ||'-'
						  ||mt.MASS_RETIREMENT_ID AS ECC_SPEC_ID
						FROM FA_MASS_RETIREMENTS mt,
						  FA_BOOK_CONTROLS bc
						WHERE mt.BOOK_TYPE_CODE      = bc.BOOK_TYPE_CODE
						AND bc.book_class            = 'CORPORATE'
						AND bc.date_ineffective     IS NULL
						AND mt.status               = 'COMPLETED'
						And ( ( to_date(to_char(Mt.Last_Update_Date,'DD-MON-RR HH24:MI:SS'),'DD-MON-RR HH24:MI:SS') &gt;=  to_date('24-APR-20','DD-MON-RR HH24:MI:SS')
						AND mt.last_update_date      &lt; sysdate ))
						UNION ALL
						SELECT distinct ma.MASS_ADDITION_ID
						  || '' AS ECC_SPEC_ID
						FROM fa_mass_additions ma ,
						  FA_BOOK_CONTROLS fbc ,
						  FA_DEPRN_PERIODS fdp1 ,
						  FA_DEPRN_PERIODS fdp2 ,
						  GL_LEDGERS LGR
						WHERE ma.book_type_code         = fbc.book_type_code
						AND MA.POSTING_STATUS              IN  ('POSTED','SPLIT')
						AND fbc.book_class              = 'CORPORATE'
						AND fbc.date_ineffective       IS NULL
						AND fbc.set_of_books_id         = LGR.LEDGER_ID
						AND LGR.OBJECT_TYPE_CODE        = 'L'
						AND NVL(LGR.COMPLETE_FLAG, 'Y') = 'Y'
						AND fbc.last_period_counter     = fdp1.period_counter
						AND fbc.book_type_code          = fdp2.book_type_code
						AND fbc.last_period_counter+1   = fdp2.period_counter
						AND fbc.date_ineffective       IS NULL
            AND MA.post_batch_id           IS NULL
						And ( ( to_date(to_char(Ma.Last_Update_Date,'DD-MON-RR HH24:MI:SS'),'DD-MON-RR HH24:MI:SS')   &gt;=  to_date('24-APR-20','DD-MON-RR HH24:MI:SS')
						AND ma.last_update_date         &lt; sysdate ))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</si>
  <si>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to_date(to_char(to_timestamp('24-APR-20 06.47.31.000000 PM'),'DD-MON-YY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</si>
  <si>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to_date(to_char(to_timestamp('24-APR-20 06.47.31.000000 PM'),'DD-MON-YY HH24.MI.SS'),'DD-MON-YY HH24.MI.SS') </t>
  </si>
  <si>
    <t>select * from (SELECT   ECC_SPEC_ID,
 RECORD_TYPE,
 PERIOD_NAME,
 PERIOD_YEAR,
 CLOSING_STATUS,
 ledger_id,
 ledger_name,
 ledger_currency,
 operating_unit,
 org_id,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 gl_date,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AE_HEADER_ID,
 line_definition_code,
 line_definition_desc,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XLA_ACC_CODE ,
 XLA_ACC_DESCRIPTION,
 CURRENCY_CODE,
 ENTERED_DR,
 ENTERED_CR,
 ACCOUNTED_DR,
 ACCOUNTED_CR,
 LINES_DESCRIPTION,
 ecc_last_update_date,
 language
 FROM  (  select /*+ leading(ps) */
   acra.cash_receipt_id||'-'||acrha.CASH_RECEIPT_HISTORY_ID||'-'||xe.EVENT_ID||'-'||xe.event_number||'-'||XAH.AE_HEADER_ID||'-'||xal.AE_LINE_NUM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acra.RECEIPT_DATE transaction_date,
   acra.STATUS receipt_status,
      (select meaning from fnd_lookup_values where view_application_id =222 and lookup_type = 'PAYMENT_TYPE' and language=org.language and lookup_code = acra.STATUS)   receipt_status_desc,
   acra.TYPE transaction_type,
   acra.currency_code transaction_currency,
   acra.CONFIRMED_FLAG,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acrha.GL_DATE,
   xe.event_id,
    xe.EVENT_NUMBER,
    xe.EVENT_DATE,
   xe.EVENT_STATUS_CODE,
      (select meaning from fnd_lookup_values where view_application_id =602 and lookup_type = 'XLA_EVENT_STATUS' and language=org.language and lookup_code = xe.EVENT_STATUS_CODE)   EVENT_STATUS_DESC,
   DECODE(xe.PROCESS_STATUS_CODE,'Z','I',xe.PROCESS_STATUS_CODE) PROCESS_STATUS_CODE,
      (select meaning from fnd_lookup_values where view_application_id =602 and lookup_type = 'XLA_EVENT_PROCESS_STATUS' and language=org.language and lookup_code = DECODE(xe.PROCESS_STATUS_CODE,'Z','I',xe.PROCESS_STATUS_CODE) )
    	  PROCESS_STATUS_DESC ,
   xah.EVENT_TYPE_CODE,
      (select NAME from XLA_EVENT_TYPES_TL ett where application_id =222 and language=org.language AND xah.EVENT_TYPE_CODE = ett. EVENT_TYPE_CODE AND xte.ENTITY_CODE = ett.ENTITY_CODE)   EVENT_TYPE_DESC,
   xte.ENTITY_ID,
   xte.entity_code,
   xte.SOURCE_ID_INT_1,
     xdl.ACCOUNTING_LINE_CODE,
	  (select NAME from XLA_ACCT_LINE_TYPES_TL alt where application_id =222 and language=org.language AND xdl.ACCOUNTING_LINE_CODE = alt.ACCOUNTING_LINE_CODE)   ACCOUNTING_LINE_DESC,
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xah.AE_HEADER_ID,
   xah.GL_TRANSFER_STATUS_CODE,
       (select meaning from fnd_lookup_values where view_application_id =602 and lookup_type = 'GL_TRANSFER_FLAG' and language=org.language and lookup_code = xah.GL_TRANSFER_STATUS_CODE) GL_TRANSFER_STATUS_DESC,
   xah.ACCOUNTING_ENTRY_STATUS_CODE,
       (select meaning from fnd_lookup_values where view_application_id =602 and lookup_type = 'XLA_ACCOUNTING_ENTRY_STATUS' and language=org.language and lookup_code = xah.ACCOUNTING_ENTRY_STATUS_CODE) ACCOUNTING_ENTRY_STATUS_DESC,
   xah.ACCOUNTING_ENTRY_TYPE_CODE,
       (select meaning from fnd_lookup_values where view_application_id =602 and lookup_type = 'XLA_ACCOUNTING_ENTRY_TYPE' and language=org.language and lookup_code = xah.ACCOUNTING_ENTRY_TYPE_CODE) ACCOUNTING_ENTRY_TYPE_DESC,
   xah.JE_CATEGORY_NAME,
       (select DESCRIPTION from GL_JE_CATEGORIES_TL jct where language=org.language and xah.JE_CATEGORY_NAME = jct.JE_CATEGORY_NAME) JE_CATEGORY_NAME_DESC,
   xah.DESCRIPTION HEADER_DESCRIPTION,
   xah.BALANCE_TYPE_CODE,
       (select meaning from fnd_lookup_values where view_application_id =602 and lookup_type = 'XLA_BALANCE_TYPE' and language=org.language and lookup_code = xah.BALANCE_TYPE_CODE) BALANCE_TYPE_DESC,
   xah.PERIOD_NAME gl_period_name,
   xal.ACCOUNTING_DATE,
   xal.AE_LINE_NUM,
   xal.DISPLAYED_LINE_NUMBER,
   xal.ACCOUNTING_CLASS_CODE,
       (select meaning from fnd_lookup_values where view_application_id =602 and lookup_type = 'XLA_ACCOUNTING_CLASS'  and language=org.language and lookup_code = xal.ACCOUNTING_CLASS_CODE) ACCOUNTING_CLASS_DESC,
   xal.BUSINESS_CLASS_CODE,
       (select meaning from fnd_lookup_values where view_application_id =602 and lookup_type = 'XLA_BUSINESS_FLOW_CLASS'  and language=org.language and lookup_code = xal.BUSINESS_CLASS_CODE) BUSINESS_CLASS_DESC,
   xal.CODE_COMBINATION_ID,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cc,
   hr_all_organization_units_tl org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acra.org_id =org.Organization_Id
  AND xal.CODE_COMBINATION_ID = cc.CODE_COMBINATION_ID
  and led.CHART_OF_ACCOUNTS_ID = cc.CHART_OF_ACCOUNTS_ID
  and cc.ENABLED_FLAG = 'Y'  AND ( xe.last_update_date    &gt;= to_date('24-APR-20','DD-MON-RR HH24:MI:SS') )  ) acc_unappld_rcpt where acc_unappld_rcpt.language in ('US')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EVENT_TYPE_DESC,MAX ( accounting_line_desc ) AS accounting_line_desc,
   max(GL_TRANSFER_STATUS_DESC) as GL_TRANSFER_STATUS_DESC, max(ACCOUNTING_ENTRY_STATUS_DESC) as ACCOUNTING_ENTRY_STATUS_DESC, max(EVENT_CLASS_DESC) as EVENT_CLASS_DESC,MAX ( line_definition_desc ) AS line_definition_desc,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</si>
  <si>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ECC_SPEC_ID,
 RECORD_TYPE,
 PERIOD_NAME,
 PERIOD_YEAR,
 CLOSING_STATUS,
 ledger_id,
 ledger_name,
 ledger_currency,
 org_id,
 operating_unit,
 set_of_books_id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-- RECEIVABLE_APPLICATION_ID,
 GL_DATE,
 XLA_ACC_CODE ,
 XLA_ACC_DESCRIPTION,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LINE_DEFINITION_CODE,
 LINE_DEFINITION_DESC,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ecc_last_update_date,
 language
 FROM (  select  /*+ leading(ps) */
       acra.cash_receipt_id||'-'||acrha.CASH_RECEIPT_HISTORY_ID||'-'||xe.EVENT_ID||'-'||xe.EVENT_NUMBER||'-'||XAl.AE_HEADER_ID||'-'||XAL.AE_LINE_NUM  as ECC_SPEC_ID,
       'RCPT' RECORD_TYPE,
	   ps.PERIOD_NAME,
       ps.PERIOD_YEAR,
       ps.CLOSING_STATUS,
       led.ledger_id,
       led.name ledger_name,
       led.currency_code ledger_currency,
       acra.org_id,
       org.name operating_unit,
       acra.set_of_books_id,
       acra.CASH_RECEIPT_ID,
       acra.AMOUNT,
       acra.amount * Nvl(acra.exchange_rate, 1) accounted_amount,
       acra.RECEIPT_NUMBER transaction_number,
       acra.RECEIPT_DATE transaction_date,
       acra.STATUS receipt_status,
       (select meaning from fnd_lookup_values where view_application_id =222 and lookup_type = 'PAYMENT_TYPE'  and language=org.language and lookup_code = acra.STATUS)   receipt_status_desc,
       acra.TYPE transaction_type,
       acra.currency_code transaction_currency,
       acra.CONFIRMED_FLAG,
       acrha.CASH_RECEIPT_HISTORY_ID,
       acrha.STATUS rcpt_hstry_status,
	   (select meaning from fnd_lookup_values where view_application_id =222 and lookup_type = 'RECEIPT_CREATION_STATUS'  and language=org.language and lookup_code = acrha.STATUS)   rcpt_hstry_status_desc,
       acrha.CREATED_FROM,
       acrha.REVERSAL_CREATED_FROM,
--        arp.RECEIVABLE_APPLICATION_ID,
        acrha.GL_DATE,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xe.event_id,
      xe.EVENT_NUMBER,
      xe.EVENT_DATE,
     xte.ENTITY_ID,
     xte.ENTITY_CODE,
     xte.SOURCE_ID_INT_1,
      xe.EVENT_STATUS_CODE,
      (select meaning from fnd_lookup_values where view_application_id =602 and lookup_type = 'XLA_EVENT_STATUS'
               and language=org.language and lookup_code = xe.EVENT_STATUS_CODE)   EVENT_STATUS_DESC,
      DECODE(xe.PROCESS_STATUS_CODE,'Z','I',xe.PROCESS_STATUS_CODE) PROCESS_STATUS_CODE,
      (select meaning from fnd_lookup_values where view_application_id =602 and lookup_type = 'XLA_EVENT_PROCESS_STATUS'
               and language=org.language and lookup_code = DECODE(xe.PROCESS_STATUS_CODE,'Z','I',xe.PROCESS_STATUS_CODE) )   PROCESS_STATUS_DESC ,
    xah.EVENT_TYPE_CODE,
      (select NAME from XLA_EVENT_TYPES_TL ett where application_id =222 and language=org.language AND xah.EVENT_TYPE_CODE = ett. EVENT_TYPE_CODE AND xte.ENTITY_CODE = ett.ENTITY_CODE)   EVENT_TYPE_DESC,
 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(select meaning from fnd_lookup_values where view_application_id =602 and lookup_type = 'GL_TRANSFER_FLAG'  and language=org.language and lookup_code = xah.GL_TRANSFER_STATUS_CODE) GL_TRANSFER_STATUS_DESC,
    xah.ACCOUNTING_ENTRY_STATUS_CODE,
      (select meaning from fnd_lookup_values where view_application_id =602 and lookup_type = 'XLA_ACCOUNTING_ENTRY_STATUS'  and language=org.language and lookup_code = xah.ACCOUNTING_ENTRY_STATUS_CODE) ACCOUNTING_ENTRY_STATUS_DESC,
    xah.ACCOUNTING_ENTRY_TYPE_CODE,
      (select meaning from fnd_lookup_values where view_application_id =602 and lookup_type = 'XLA_ACCOUNTING_ENTRY_TYPE'  and language=org.language and lookup_code = xah.ACCOUNTING_ENTRY_TYPE_CODE) ACCOUNTING_ENTRY_TYPE_DESC,
    xah.JE_CATEGORY_NAME,
      (select DESCRIPTION from GL_JE_CATEGORIES_TL jct where language=org.language and xah.JE_CATEGORY_NAME = jct.JE_CATEGORY_NAME) JE_CATEGORY_NAME_DESC,
    xah.DESCRIPTION HEADER_DESCRIPTION,
    xah.BALANCE_TYPE_CODE,
      (select meaning from fnd_lookup_values where view_application_id =602 and lookup_type = 'XLA_BALANCE_TYPE' and language=org.language and lookup_code = xah.BALANCE_TYPE_CODE) BALANCE_TYPE_DESC,
    xah.PERIOD_NAME gl_period_name,
    xal.ACCOUNTING_DATE,
    xal.AE_LINE_NUM,
    xal.DISPLAYED_LINE_NUMBER,
    xal.ACCOUNTING_CLASS_CODE,
      (select meaning from fnd_lookup_values where view_application_id =602 and lookup_type = 'XLA_ACCOUNTING_CLASS'  and language=org.language and lookup_code = xal.ACCOUNTING_CLASS_CODE) ACCOUNTING_CLASS_DESC,
    xal.BUSINESS_CLASS_CODE,
      (select meaning from fnd_lookup_values where view_application_id =602 and lookup_type = 'XLA_BUSINESS_FLOW_CLASS' 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   GL_CODE_COMBINATIONS cc,
   -- XLA
   xla_distribution_links xdl,
   xla_transaction_entities xte,
   xla_events xe,
   xla_ae_headers xah,
   xla_ae_lines xal,
   gl_ledgers led,
   hr_all_organization_units_tl org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 -- new condition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   AND xah.GL_TRANSFER_STATUS_CODE &lt;&gt; 'Y'
   AND XAH.EVENT_ID = XE.EVENT_ID
   AND XAH.APPLICATION_ID = XE.APPLICATION_ID
   and xal.DISPLAYED_LINE_NUMBER &gt;=0 -- new concition
   AND Led.Ledger_Id  = acra.Set_Of_Books_Id
   and acra.org_id =ORG.Organization_Id
   AND xal.CODE_COMBINATION_ID = cc.CODE_COMBINATION_ID
   and led.CHART_OF_ACCOUNTS_ID = cc.CHART_OF_ACCOUNTS_ID
   and cc.ENABLED_FLAG = 'Y'  AND ( xe.last_update_date    &gt;= to_date('24-APR-20','DD-MON-RR HH24:MI:SS') )  ) acc_appld_rcpt where acc_appld_rcpt.language in ('US') 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
   max(ACCOUNTING_LINE_DESC) as ACCOUNTING_LINE_DESC, max(EVENT_CLASS_DESC) as EVENT_CLASS_DESC, max(LINE_DEFINITION_DESC) as LINE_DEFINITION_DESC,
  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</si>
  <si>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 ECC_SPEC_ID,
 RECORD_TYPE,
 PERIOD_NAME,
 PERIOD_YEAR,
 CLOSING_STATUS,
 ledger_id,
 ledger_name,
 ledger_currency,
 org_id,
 operating_unit,
 set_of_books_id,
 CASH_RECEIPT_ID,
 AMOUNT,
 accounted_amount,
 transaction_number,
 transaction_date,
 receipt_status,
 receipt_status_desc,
  transaction_type,
 transaction_currency,
 CONFIRMED_FLAG,
 GL_DATE,
 cash_receipt_history_id,
 rcpt_hstry_status,
 rcpt_hstry_status_desc,
 CREATED_FROM,
 REVERSAL_CREATED_FROM,
 event_id,
 EVENT_NUMBER,
 EVENT_DATE,
 EVENT_TYPE_CODE,
 EVENT_TYPE_DESC,
 EVENT_STATUS_CODE,
 EVENT_STATUS_DESC,
 PROCESS_STATUS_CODE ,
 PROCESS_STATUS_DESC,
 ENTITY_ID,
 ENTITY_CODE,
 source_id_int_1,
 ecc_last_update_date,
 language
 FROM  (  select  /*+ leading(ps)*/
   acra.cash_receipt_id||'-'||acrha.CASH_RECEIPT_HISTORY_ID||'-'||xe.EVENT_ID||'-'||xe.EVENT_NUMBER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acra.currency_code transaction_currency,
   acra.receipt_date transaction_date,
   acra.STATUS receipt_status,
       (select meaning from fnd_lookup_values where view_application_id =222 and lookup_type = 'PAYMENT_TYPE'  and language=org.language and lookup_code = acra.STATUS)   receipt_status_desc,
   acra.TYPE transaction_type,
   acra.CONFIRMED_FLAG,
   acrha.GL_DATE,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xe.event_id,
   xe.EVENT_NUMBER,
   xe.EVENT_DATE,
   xe.EVENT_TYPE_CODE,
   	   (select NAME from XLA_EVENT_TYPES_TL ett where application_id =222 and language=org.language AND xe.EVENT_TYPE_CODE = ett. EVENT_TYPE_CODE AND xte.ENTITY_CODE = ett.ENTITY_CODE)   EVENT_TYPE_DESC,
   xe.EVENT_STATUS_CODE,
      (select meaning from fnd_lookup_values where view_application_id =602 and lookup_type = 'XLA_EVENT_STATUS' and language=org.language and lookup_code = xe.EVENT_STATUS_CODE)   EVENT_STATUS_DESC,
   xe.PROCESS_STATUS_CODE,
      (select meaning from fnd_lookup_values where view_application_id =602 and lookup_type = 'XLA_EVENT_PROCESS_STATUS'  and language=org.language and lookup_code = xe.PROCESS_STATUS_CODE )   PROCESS_STATUS_DESC ,
   xte.ENTITY_ID,
   xte.ENTITY_CODE,
   xte.SOURCE_ID_INT_1,
 --  arp.RECEIVABLE_APPLICATION_ID
   xe.last_update_date ecc_last_update_date,
   org.language
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	AND xe.event_status_code = 'U'
    and xe.PROCESS_STATUS_CODE = 'U'
    AND xte.ENTITY_ID = xe.ENTITY_ID
    AND Led.Ledger_Id  = acra.Set_Of_Books_Id
    and acra.org_id =org.Organization_Id
	and xe.application_id  = xte.application_id  AND ( xe.last_update_date    &gt;= to_date('24-APR-20','DD-MON-RR HH24:MI:SS') )  )  unacc_rcpt where unacc_rcpt.language in ('US')  )
	 PIVOT(max(OPERATING_UNIT) as OPERATING_UNIT, max(EVENT_STATUS_DESC) as EVENT_STATUS_DESC, max(PROCESS_STATUS_DESC) as PROCESS_STATUS_DESC,max(EVENT_TYPE_DESC) as EVENT_TYPE_DESC,
  max(receipt_status_desc) as receipt_status_desc, max(rcpt_hstry_status_desc) as rcpt_hstry_status_desc
  for LANGUAGE in ('US' "US"))</t>
  </si>
  <si>
    <t>select * from (SELECT  ECC_SPEC_ID,
 RECORD_TYPE,
 PERIOD_NAME,
 PERIOD_YEAR,
 CLOSING_STATUS,
 ledger_id,
 ledger_name,
 ledger_currency,
 org_id,
operating_unit,
 set_of_books_id,
 customer_trx_id,
 amount,
 accounted_amount,
 transaction_number,
 transaction_date,
 transaction_currency,
 transaction_type,
 invoicing_rule_id,
 invoicing_rule,
 XLA_ACC_CODE ,
 XLA_ACC_DESCRIPTION,
 CUST_TRX_LINE_GL_DIST_ID,
 bill_to_customer_id,
 account_number,
 bill_to_customer,
 bill_to_location,
 payment_schedule_id,
 gl_date,
 event_id,
 event_number,
 event_date,
 EVENT_STATUS_CODE,
 EVENT_STATUS_DESC,
 PROCESS_STATUS_CODE,
 PROCESS_STATUS_DESC,
 ACCOUNTING_LINE_CODE,
 ACCOUNTING_LINE_DESC,
 SOURCE_DISTRIBUTION_TYPE,
 EVENT_CLASS_CODE,
 EVENT_CLASS_DESC,
 LINE_DEFINITION_CODE,
 LINE_DEFINITION_DESC,
 EVENT_TYPE_CODE,
 EVENT_TYPE_DESC,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ENTITY_ID,
 ENTITY_CODE,
 SOURCE_ID_INT_1,
 ecc_last_update_date,
 language
 FROM ( select  /*+ leading (ps)*/
       rct.customer_trx_id||'-'||ragd.CUST_TRX_LINE_GL_DIST_ID||'-'||xe.EVENT_ID||'-'||xe.EVENT_NUMBER||'-'||XAL.AE_HEADER_ID||'-'||XAL.AE_LINE_NUM as ECC_SPEC_ID,
       'TRX' RECORD_TYPE,
       ps.PERIOD_NAME,
       ps.PERIOD_YEAR,
       ps.CLOSING_STATUS,
       led.ledger_id,
       led.name ledger_name,
       led.currency_code ledger_currency,
       rct.org_id,
       org.name operating_unit,
       rct.set_of_books_id,
       rct.customer_trx_id,
       arp.AMOUNT_DUE_ORIGINAL amount,
       arp.amount_due_original*nvl(arp.exchange_rate,1) ACCOUNTED_AMOUNT,
       rct.TRX_NUMBER transaction_number,
       rct.TRX_DATE transaction_date,
       rctt.name transaction_type,
       rct.INVOICE_CURRENCY_CODE transaction_currency,
       rct.INVOICING_RULE_ID,
	   rr.NAME invoicing_rule,
      rct.bill_to_customer_id,
      b_bill.account_number account_number,
      b_bill_party.party_name bill_to_customer,
      u_bill.location bill_to_location,
      arp.PAYMENT_SCHEDULE_ID,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ragd.CUST_TRX_LINE_GL_DIST_ID,
      arp.gl_date,
      xe.event_id,
    xe.EVENT_NUMBER,
    xe.EVENT_DATE,
    xe.EVENT_STATUS_CODE,
      (select meaning from fnd_lookup_values where view_application_id =602 and lookup_type = 'XLA_EVENT_STATUS'  and language=org.language and lookup_code = xe.EVENT_STATUS_CODE)   EVENT_STATUS_DESC,
    DECODE(xe.PROCESS_STATUS_CODE,'Z','I',xe.PROCESS_STATUS_CODE) PROCESS_STATUS_CODE,
      (select meaning from fnd_lookup_values where view_application_id =602 and lookup_type = 'XLA_EVENT_PROCESS_STATUS'  and language=org.language and lookup_code = DECODE(xe.PROCESS_STATUS_CODE,'Z','I',xe.PROCESS_STATUS_CODE))
    	  PROCESS_STATUS_DESC ,
    xah.EVENT_TYPE_CODE,
      (select NAME from XLA_EVENT_TYPES_TL ett where application_id =222 and language=org.language AND xah.EVENT_TYPE_CODE = ett. EVENT_TYPE_CODE AND xte.ENTITY_CODE = ett.ENTITY_CODE)   EVENT_TYPE_DESC,
    xte.ENTITY_ID,
    xte.ENTITY_CODE,
    xte.SOURCE_ID_INT_1,
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 (select meaning from fnd_lookup_values where view_application_id =602 and lookup_type = 'GL_TRANSFER_FLAG' and language=org.language and lookup_code = xah.GL_TRANSFER_STATUS_CODE) GL_TRANSFER_STATUS_DESC,
    xah.ACCOUNTING_ENTRY_STATUS_CODE,
       (select meaning from fnd_lookup_values where view_application_id =602 and lookup_type = 'XLA_ACCOUNTING_ENTRY_STATUS' and language=org.language and lookup_code = xah.ACCOUNTING_ENTRY_STATUS_CODE) ACCOUNTING_ENTRY_STATUS_DESC,
    xah.ACCOUNTING_ENTRY_TYPE_CODE,
       (select meaning from fnd_lookup_values where view_application_id =602 and lookup_type = 'XLA_ACCOUNTING_ENTRY_TYPE' and language=org.language and lookup_code = xah.ACCOUNTING_ENTRY_TYPE_CODE) ACCOUNTING_ENTRY_TYPE_DESC,
    xah.JE_CATEGORY_NAME,
       (select DESCRIPTION from GL_JE_CATEGORIES_TL jct where language=org.language and xah.JE_CATEGORY_NAME = jct.JE_CATEGORY_NAME) JE_CATEGORY_NAME_DESC,
    xah.DESCRIPTION HEADER_DESCRIPTION,
    xah.BALANCE_TYPE_CODE,
       (select meaning from fnd_lookup_values where view_application_id =602 and lookup_type = 'XLA_BALANCE_TYPE'   and language=org.language and lookup_code = xah.BALANCE_TYPE_CODE) BALANCE_TYPE_DESC,
    xah.PERIOD_NAME gl_period_name,
    xal.ACCOUNTING_DATE,
    xal.AE_LINE_NUM,
    xal.DISPLAYED_LINE_NUMBER,
    xal.ACCOUNTING_CLASS_CODE,
        (select meaning from fnd_lookup_values where view_application_id =602 and lookup_type = 'XLA_ACCOUNTING_CLASS'  and language=org.language and lookup_code = xal.ACCOUNTING_CLASS_CODE) ACCOUNTING_CLASS_DESC,
    xal.BUSINESS_CLASS_CODE,
        (select meaning from fnd_lookup_values where view_application_id =602 and lookup_type = 'XLA_BUSINESS_FLOW_CLASS'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 gl_period_statuses ps,
    -- Receivables Tables
    ra_customer_trx_all rct,
    ra_cust_trx_line_gl_dist_all ragd,
	ra_cust_trx_types_all rctt,
    AR_PAYMENT_SCHEDULES_ALL arp,
    -- XLA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hr_all_organization_units_tl org,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   AND xah.GL_TRANSFER_STATUS_CODE &lt;&gt; 'Y'
	and xah.ACCOUNTING_ENTRY_STATUS_CODE &lt;&gt; 'N'
    and xal.DISPLAYED_LINE_NUMBER &gt;=0
    AND XE.EVENT_ID = XAH.EVENT_ID
    AND XAH.APPLICATION_ID = XE.APPLICATION_ID
    AND Led.Ledger_Id  = rct.Set_Of_Books_Id
    and rct.org_id =org.Organization_Id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to_date('24-APR-20','DD-MON-RR HH24:MI:SS') )  )  acc_trx where acc_trx.language in ('US')  )
    PIVOT(max(OPERATING_UNIT) as OPERATING_UNIT, max(EVENT_STATUS_DESC) as EVENT_STATUS_DESC, max(PROCESS_STATUS_DESC) as PROCESS_STATUS_DESC,
   max(ACCOUNTING_LINE_DESC) as ACCOUNTING_LINE_DESC, max(EVENT_CLASS_DESC) as EVENT_CLASS_DESC, max(LINE_DEFINITION_DESC) as LINE_DEFINITION_DESC,
   max(EVENT_TYPE_DESC) as EVENT_TYPE_DESC,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</si>
  <si>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 xml:space="preserve">select * from (SELECT ECC_SPEC_ID,
RECORD_TYPE,
PERIOD_NAME,
PERIOD_YEAR,
CLOSING_STATUS,
LEDGER_ID,
LEDGER_NAME,
LEDGER_CURRENCY,
ORG_ID,
OPERATING_UNIT,
set_of_books_id,
BILL_TO_CUSTOMER_ID,
ACCOUNT_NUMBER,
BILL_TO_CUSTOMER,
BILL_TO_LOCATION,
CUSTOMER_TRX_ID,
PAYMENT_SCHEDULE_ID,
TRANSACTION_TYPE,
transaction_number,
transaction_date,
transaction_currency,
INVOICING_RULE_ID,
INVOICING_RULE,
AMOUNT,
ACCOUNTED_AMOUNT,
GL_DATE,
EVENT_ID,
EVENT_NUMBER,
EVENT_DATE,
EVENT_TYPE_CODE,
EVENT_TYPE_DESC,
EVENT_STATUS_DESC,
EVENT_STATUS_CODE,
PROCESS_STATUS_CODE,
PROCESS_STATUS_DESC,
ENTITY_ID,
ENTITY_CODE,
SOURCE_ID_INT_1,
ECC_LAST_UPDATE_DATE,
LANGUAGE
FROM (  select -- /*+ leading (ps)*/
    rct.customer_trx_id||'-'||arp.PAYMENT_SCHEDULE_ID||'-'||xe.event_id||'-'||xe.EVENT_NUMBER as ECC_SPEC_ID,
	'TRX' RECORD_TYPE,
    ps.PERIOD_NAME,
    ps.PERIOD_YEAR,
    ps.CLOSING_STATUS,
    led.ledger_id,
    led.name ledger_name,
    led.currency_code ledger_currency,
    rct.org_id,
    ORG.name operating_unit,
    rct.bill_to_customer_id,
    b_bill.account_number,
    b_bill_party.party_name bill_to_customer,
    u_bill.location bill_to_location,
    rct.customer_trx_id,
    arp.PAYMENT_SCHEDULE_ID,
    rctt.name transaction_type,
    rct.set_of_books_id,
    rct.TRX_NUMBER transaction_number,
    rct.TRX_DATE transaction_date,
    rct.INVOICE_CURRENCY_CODE transaction_currency,
    rct.INVOICING_RULE_ID,
    rr.NAME invoicing_rule,
    arp.AMOUNT_DUE_ORIGINAL amount,
    arp.amount_due_original*nvl(arp.exchange_rate,1) ACCOUNTED_AMOUNT,
    arp.gl_date,
    xe.event_id,
    xe.EVENT_NUMBER,
    xe.EVENT_DATE,
    xe.EVENT_TYPE_CODE,
	   (select NAME from XLA_EVENT_TYPES_TL ett where application_id =222 and language=org.language AND xe.EVENT_TYPE_CODE = ett. EVENT_TYPE_CODE AND xte.ENTITY_CODE = ett.ENTITY_CODE)   EVENT_TYPE_DESC,
	xe.EVENT_STATUS_CODE,
    EVENT_STATUS.meaning EVENT_STATUS_DESC,
	xe.PROCESS_STATUS_CODE,
    PROCESS_STATUS.meaning PROCESS_STATUS_DESC,
    xte.ENTITY_ID,
    xte.ENTITY_CODE,
    xte.SOURCE_ID_INT_1,
    xe.last_update_date ecc_last_update_date,
    ORG.LANGUAGE
from
    gl_period_statuses ps,
    ra_customer_trx_all rct,
    ra_cust_trx_types_all rctt,
    AR_PAYMENT_SCHEDULES_ALL arp,
    xla_transaction_entities xte,
    xla_events xe,
    gl_ledgers led,
    hr_all_organization_units_tl org,
    hz_cust_accounts b_bill,
    hz_parties b_bill_party,
    HZ_CUST_SITE_USES_ALL u_bill,
    RA_RULES rr  ,
    FND_LOOKUP_VALUES    EVENT_STATUS,
    FND_LOOKUP_VALUES    PROCESS_STATUS
where
    ps.application_id=222
    AND ps.SET_OF_BOOKS_ID = rct.SET_OF_BOOKS_ID
    AND xe.EVENT_DATE between ps.START_DATE and ps.END_DATE
    AND ps.CLOSING_STATUS = 'O'
    and rct.complete_flag = 'Y'
    and rct.CUSTOMER_TRX_ID = arp.CUSTOMER_TRX_ID
    AND rct.cust_trx_type_id = rctt.cust_trx_type_id
    and rr.RULE_ID (+)= rct.INVOICING_RULE_ID
    AND rct.org_id = rctt.org_id
    and xe.application_id = 222
    AND xte.ENTITY_ID = xe.ENTITY_ID
    and xe.application_id = xte.application_id
    AND xe.EVENT_STATUS_CODE  = 'U'
    AND xe.PROCESS_STATUS_CODE = 'U'
    and xte.source_application_id = 222
    AND rct.CUSTOMER_TRX_ID = xte.SOURCE_ID_INT_1
    AND Led.Ledger_Id  = rct.Set_Of_Books_Id
    and rct.org_id = ORG.Organization_Id
    AND rct.bill_to_customer_id = b_bill.cust_account_id
    AND b_bill.party_id = b_bill_party.party_id
    AND rct.bill_to_site_use_id = u_bill.site_use_id
    AND rct.org_id = u_bill.org_id
    AND EVENT_STATUS.lookup_code = XE.EVENT_STATUS_CODE
    and EVENT_STATUS.language = ORG.language
    and EVENT_STATUS.VIEW_APPLICATION_ID  = 602
    and EVENT_STATUS.lookup_type = 'XLA_EVENT_STATUS'
    and process_status.lookup_code = xe.PROCESS_STATUS_CODE
    and PROCESS_STATUS.language = ORG.language
    and PROCESS_STATUS.VIEW_APPLICATION_ID  = 602
    and process_status.lookup_type = 'XLA_EVENT_PROCESS_STATUS'  AND ( xe.last_update_date    &gt;= to_date('24-APR-20','DD-MON-RR HH24:MI:SS') )  ) unacc_trx where unacc_trx.language in ('US')  )
    	PIVOT(max(OPERATING_UNIT) as OPERATING_UNIT, max(EVENT_STATUS_DESC) as EVENT_STATUS_DESC, max(PROCESS_STATUS_DESC) as PROCESS_STATUS_DESC
        , max(EVENT_TYPE_DESC) as EVENT_TYPE_DESC
  for LANGUAGE in ('US' "US"))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</si>
  <si>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--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xal.CODE_COMBINATION_ID = cc.CODE_COMBINATION_ID
  and led.CHART_OF_ACCOUNTS_ID = cc.CHART_OF_ACCOUNTS_ID
  and cc.ENABLED_FLAG = 'Y' AND ( xe.last_update_date    &gt;= to_date('24-APR-20','DD-MON-RR HH24:MI:SS') 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</si>
  <si>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   GL_CODE_COMBINATIONS cc,
   xla_distribution_links xdl,
   xla_transaction_entities xte,
   xla_events xe,
   xla_ae_headers xah,
   xla_ae_lines xal,
   gl_ledgers led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--   AND xah.GL_TRANSFER_STATUS_CODE &lt;&gt; 'Y'
   AND XAH.EVENT_ID = XE.EVENT_ID
   AND XAH.APPLICATION_ID = XE.APPLICATION_ID
   and xal.DISPLAYED_LINE_NUMBER &gt;=0
   AND Led.Ledger_Id  = acra.Set_Of_Books_Id
   AND xal.CODE_COMBINATION_ID = cc.CODE_COMBINATION_ID
   and led.CHART_OF_ACCOUNTS_ID = cc.CHART_OF_ACCOUNTS_ID
   and cc.ENABLED_FLAG = 'Y'  AND ( xe.last_update_date    &gt;= to_date('24-APR-20','DD-MON-RR HH24:MI:SS') ) </t>
  </si>
  <si>
    <t xml:space="preserve"> SELECT acra.cash_receipt_id||'-'||acrha.CASH_RECEIPT_HISTORY_ID||'-'||xe.EVENT_ID||'-'||xe.EVENT_NUMBER as ECC_SPEC_ID
    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--	AND xe.event_status_code = 'U'
    AND xe.process_status_code &lt;&gt; 'U'
    AND xte.ENTITY_ID = xe.ENTITY_ID
    AND Led.Ledger_Id  = acra.Set_Of_Books_Id
    and acra.org_id =org.Organization_Id
	and xe.application_id  = xte.application_id  AND ( xe.last_update_date    &gt;= to_date('24-APR-20','DD-MON-RR HH24:MI:SS') ) </t>
  </si>
  <si>
    <t xml:space="preserve">SELECT /*+ LEADING(ps) */
                                 'ECC_SPEC_ID' as ATTRIBUTE_NAME,
                                   rct.customer_trx_id as ATTRIBUTE_VALUE,
                                  'LIKE' AS OPERATOR  from
    gl_period_statuses ps,
    ra_customer_trx_all rct,
    ra_cust_trx_line_gl_dist_all ragd,
	ra_cust_trx_types_all rctt,
    AR_PAYMENT_SCHEDULES_ALL arp,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--   AND xah.GL_TRANSFER_STATUS_CODE &lt;&gt; 'Y'
	and xah.ACCOUNTING_ENTRY_STATUS_CODE &lt;&gt; 'N'
    and xal.DISPLAYED_LINE_NUMBER &gt;=0
    AND XE.EVENT_ID = XAH.EVENT_ID
    AND XAH.APPLICATION_ID = XE.APPLICATION_ID
    AND Led.Ledger_Id  = rct.Set_Of_Books_Id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to_date('24-APR-20','DD-MON-RR HH24:MI:SS') ) </t>
  </si>
  <si>
    <t xml:space="preserve">SELECT
                      rct.customer_trx_id||'-'||arp.PAYMENT_SCHEDULE_ID||'-'||xe.event_id||'-'||xe.EVENT_NUMBER as ECC_SPEC_ID
                    FROM
                    gl_period_statuses             ps,
                    ra_customer_trx_all            rct,
                    ra_cust_trx_types_all          rctt,
                    ar_payment_schedules_all       arp,
                    xla_transaction_entities   xte,
                    xla_events                 xe,
                    gl_ledgers                     led,
                    hz_cust_accounts               b_bill,
                    hz_parties                     b_bill_party,
                    hz_cust_site_uses_all          u_bill,
                    ra_rules                       rr
                WHERE
                    ps.application_id = 222
                    AND ps.set_of_books_id = rct.set_of_books_id
                    AND xe.event_date BETWEEN ps.start_date AND ps.end_date
                    AND ps.closing_status = 'O'
                    AND rct.complete_flag = 'Y'
                    AND rct.customer_trx_id = arp.customer_trx_id
                    AND rct.cust_trx_type_id = rctt.cust_trx_type_id
                    AND rr.rule_id (+) = rct.invoicing_rule_id
                    AND rct.org_id = rctt.org_id
                    AND xe.application_id = 222
                    AND xte.entity_id = xe.entity_id
                    AND xe.application_id = xte.application_id
                 --   AND xe.event_status_code = 'U'
                    AND xe.process_status_code &lt;&gt; 'U'
                    AND xte.source_application_id = 222
                    AND rct.customer_trx_id = xte.source_id_int_1
                    AND led.ledger_id = rct.set_of_books_id
                    AND rct.bill_to_customer_id = b_bill.cust_account_id
                    AND b_bill.party_id = b_bill_party.party_id
                    AND rct.bill_to_site_use_id = u_bill.site_use_id
                    AND rct.org_id = u_bill.org_id  AND ( xe.last_update_date    &gt;= to_date('24-APR-20','DD-MON-RR HH24:MI:SS') ) </t>
  </si>
  <si>
    <t>select * from (SELECT  /*+ leading(cmreq_v.temp.process_t) full(cmreq_v.temp.process_t) */ DISPUTE_NUMBER
, DISPUTE_REASON
, DISPUTE_REASON_CODE
, DISPUTE_STATUS
, DISPUTE_REQUESTOR
, CURRENCY
, CURRENCY_CODE
, TRANSACTION_NUMBER
, SALESPERSON
, SALES_ORDER
, OPERATING_UNIT
, ACCOUNT_NUMBER
, BILL_TO_CUSTOMER
, BILL_TO_LOCATION
, COLLECTOR
, PROFILE_CLASS
, DISPUTE_DATE
, TRANSACTION_DATE
, DUE_DATE
, ECC_SPEC_ID
, DISPUTE_STATUS_CODE
, DISPUTE_AMOUNT
, TRANSACTION_CLASS
, TRANSACTION_CLASS_CODE
, TRANSACTION_ID
, ECC_LAST_UPDATE_DATE
, ORG_ID
, STATUS
, BILL_TO_CUSTOMER_ID
, BILL_TO_SITE_USE_ID
, TRANSACTION_AMOUNT
, BILL_TO_CONTACT
, SHIP_TO_CUSTOMER
, SHIP_TO_LOCATION
, PURCHASE_ORDER_NUMBER
, DUE_AMOUNT
, PURCHASE_ORDER_DATE
, RECORD_TYPE
, LANGUAGE
  FROM ari_ecc_cmreq_v
  WHERE ( ( to_date(to_char(ECC_LAST_UPDATE_date,'DD-MON-RR HH24:MI:SS'),'DD-MON-RR HH24:MI:SS')   &gt;=  to_date('24-APR-20','DD-MON-RR HH24:MI:SS')
       AND ECC_LAST_UPDATE_DATE &lt; sysdate)) and language in ('US'))
PIVOT(max(SALESPERSON) as SALESPERSON, max(OPERATING_UNIT) as OPERATING_UNIT, max(CURRENCY) as CURRENCY, max(DISPUTE_REASON) as DISPUTE_REASON,
   max(DISPUTE_STATUS) as DISPUTE_STATUS,max(TRANSACTION_CLASS) as TRANSACTION_CLASS
   for LANGUAGE in ('US' "US"))</t>
  </si>
  <si>
    <t>select * from (SELECT ERROR_COUNT
, TYPE
, MESSAGE
, ORG_ID
, OPERATING_UNIT
, LEDGER_CURRENCY
, LEDGER
, ECC_SPEC_ID
, RECORD_TYPE
, LANGUAGE
  FROM ar_ecc_interface_error_v
 WHERE EXISTS
 (SELECT 1
          FROM fnd_concurrent_requests
         WHERE concurrent_program_id = 33048
           AND program_application_id = 222
And ( ( to_date(to_char(actual_completion_date,'DD-MON-RR HH24:MI:SS'),'DD-MON-RR HH24:MI:SS')   &gt;=  to_date('24-APR-20','DD-MON-RR HH24:MI:SS')
       AND actual_completion_date &lt; sysdate))
) and language in ('US')) PIVOT(max(OPERATING_UNIT) as OPERATING_UNIT, max(LEDGER_CURRENCY) as LEDGER_CURRENCY
   for LANGUAGE in ('US' "US"))</t>
  </si>
  <si>
    <t xml:space="preserve">There is SQLException while applying load rule for dataset okl-cash for job 58,798.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</si>
  <si>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 *
FROM    ( SELECT  DISTINCT
                to_char (a.id)
                || to_char (a.ocr_id)
                || to_char (a.error_seq_number) ecc_spec_id
               ,a.error_seq_number
               ,a.error_type
               ,a.error_code
               ,CASE
                WHEN    b.trx_status_code = 'DISCARDED'
                        THEN    NULL
                ELSE    a.error_current_yn END error_current_yn
               ,a.message_text
               ,(SELECT  batch_name
                FROM    okl_ctr_reading_batches_all
                WHERE   id = b.ocb_id) batch_name
               ,(SELECT  source_type_code
                FROM    okl_ctr_reading_batches_all
                WHERE   id = b.ocb_id) channel
               ,b.contract_number
               ,cct.name counter_name
               ,to_char (nvl (okl_meter_util_pvt.get_usage_end_period_date (b.counter_id
                                                                           ,b.khr_id
                                                                           ,b.kle_id
                                                                           ,b.value_timestamp)
                             ,b.value_timestamp)
                        ,'yyyy-mm') reading_period
               ,(SELECT  vendor_name
                FROM    po_vendors
                WHERE   vendor_id = oeu.vendor_id) vendor_name
               ,mit.description usage_item_name
               ,mit.language language_code
               ,mit.organization_id org_id
               ,(
                SELECT  fa.manufacturer_name manufacturer_name
                FROM    fa_categories_b cat
                       ,fa_book_controls fbc
                       ,fa_books fb
                       ,fa_additions_b fa
                       ,fa_methods fm
                       ,okc_k_lines_b cle
                       ,okc_k_items item
                WHERE   item.cle_id = cle.id
                AND     fa.asset_id = to_number (item.object1_id1)
                AND     cat.category_id = fa.asset_category_id
                AND     fbc.book_type_code = fb.book_type_code
                AND     nvl (trunc (fbc.date_ineffective)
                            ,trunc (sysdate) + 1) &gt; trunc (sysdate)
                AND     fb.asset_id = fa.asset_id
                AND     fb.transaction_header_id_out IS NULL
                AND     fb.date_ineffective IS NULL
                AND     fb.deprn_method_code = fm.method_code
                AND     fb.life_in_months = fm.life_in_months
                AND     book_class = 'CORPORATE'
                AND     cle.cle_id = b.kle_id
                ) manufacturer_name
        FROM    okl_ctr_reading_errors a
               ,okl_counter_readings b
               ,okl_ecc_usage_vendor_v oeu
               ,csi_counters_tl cct
               ,mtl_system_items_tl mit
        WHERE   a.ocr_id = b.id
        AND     b.khr_id = oeu.contract_id (+)
        AND     nvl(b.value_timestamp,sysdate)&gt;(sysdate -365*nvl(fnd_profile.value ('OKL_ECC_MM_HIST_YEARS'),1))
        AND     cct.counter_id = b.counter_id
        AND     mit.inventory_item_id = b.usage_item_id
        AND     mit.language = cct.language
	AND     mit.language in ('US')
        AND     (((oeu.asset_line_id IS NULL) OR (b.kle_id = oeu.asset_line_id)) AND
                ((oeu.usage_item_id IS NULL) OR (b.usage_item_id = oeu.usage_item_id)))
        AND     a.ocr_id IN (
                SELECT  oce.ocr_id
                FROM    okl_ctr_reading_errors oce
                       ,okl_counter_readings ocr
                WHERE   oce.ocr_id = ocr.id
		AND   (to_Date(oce.last_update_Date,'dd-mon-yyyy') &gt;=  to_Date('24-APR-20','dd-mon-yyyy') or to_Date(ocr.last_update_Date,'dd-mon-yyyy') &gt;=  to_Date('24-APR-20','dd-mon-yyyy') or (SELECT max(to_date(last_update_date,'dd-mon-yyyy')) FROM csi_counter_readings WHERE counter_id = ocr.counter_id) &gt;=to_Date('24-APR-20','dd-mon-yyyy')
         ))
        ORDER BY ecc_spec_id ASC
                ,error_seq_number ASC
        ) pivot (max(usage_item_name) as usage_item_name, max(counter_name) as counter_name for language_code in('US' "US"))</t>
  </si>
  <si>
    <t>select * from (
				SELECT  'OKL - '|| to_char (ccr.khr_id)|| to_char (crb.id) ecc_spec_id
				       ,'OKL' record_type
				       ,ccr.contract_number
				       ,ccr.khr_id
				       ,crb.id batch_id
				       ,crb.batch_name
				       ,crb.batch_reference_external
				       ,crb.batch_date
				       ,flv.meaning batch_status_code
                		       ,decode (crb.batch_reference_external,NULL,flv2.lookup_code ,crb.batch_reference_external) reading_source_code
				       ,crb.batch_status_code batch_status
				       ,decode(crb.batch_reference_external,null,flv2.meaning,crb.batch_reference_external) source_type_code
				       ,pov.vendor_name
				       ,oeu.vendor_id vendor_id
				       ,pov.segment1 vendor_number
				       ,(SELECT count(1) FROM okl_counter_readings ccr WHERE ccr.ocb_id = crb.id) total_reads
				       ,(SELECT count(1) FROM okl_counter_readings ccr WHERE ccr.ocb_id = crb.id AND ccr.trx_status_code = 'PROCESSED') total_passed
				       ,(SELECT count(1) FROM okl_counter_readings ccr WHERE ccr.ocb_id = crb.id AND ccr.trx_status_code = 'ERROR') total_error
				       ,(SELECT count(1) FROM okl_counter_readings ccr WHERE ccr.ocb_id = crb.id AND ccr.trx_status_code IN ('PASSED','PENDING')) total_pending
				       ,(SELECT count(1) FROM okl_counter_readings ccr WHERE ccr.ocb_id = crb.id AND ccr.trx_status_code = ('DISCARDED')) total_discarded
				       ,(SELECT count(1) FROM okl_counter_readings ccr WHERE ccr.ocb_id = crb.id AND ccr.trx_status_code = ('WARNING')) total_warning
				       ,flv1.description update_reads
				       ,(SELECT  inv_organization_id FROM    okc_k_headers_all_b  WHERE   id = ccr.khr_id) org_id
				        ,flv.language language_code
				FROM    okl_ctr_reading_batches_all crb
				       ,okl_counter_readings ccr
				       ,okl_ecc_usage_vendor_v oeu
				       ,po_vendors pov
				       ,fnd_lookup_values flv
				       ,fnd_lookup_values flv1
				       ,fnd_lookup_values flv2
				WHERE   crb.id (+) = ccr.ocb_id
				AND     oeu.contract_id (+) = ccr.khr_id
				AND     oeu.asset_line_id (+) = ccr.kle_id
				AND     pov.vendor_id (+) = oeu.vendor_id
				AND     flv.LOOKUP_TYPE ='OKL_METER_READS_STATUS_TYPE'
				AND     flv.LOOKUP_CODE = crb.batch_status_code
				and     nvl(flv.END_DATE_ACTIVE,sysdate+1) &gt;= sysdate
				AND     flv1.LOOKUP_TYPE ='OKL_ECC_ACTION_EVENTS'
				AND     flv1.LOOKUP_CODE = 'UPDATE'
				and     nvl(flv1.END_DATE_ACTIVE,sysdate+1) &gt;= sysdate
				AND     flv2.LOOKUP_TYPE = 'OKL_ECC_MM_SRC_MAPING'
				AND     flv2.LOOKUP_CODE = crb.source_type_code
				and     nvl(flv2.END_DATE_ACTIVE,sysdate+1) &gt;= sysdate
				AND     flv2.language = flv1.language
				AND     flv.language = flv1.language(+)
				AND     flv.language in ('US')
                                AND     nvl (ccr.value_timestamp,batch_date)&gt; (sysdate -365*nvl(fnd_profile.value ('OKL_ECC_MM_HIST_YEARS'),1))
				AND (to_date(CRB.last_update_Date,'dd-mon-yyyy') &gt;=  to_Date('24-APR-20','dd-mon-yyyy') or to_date(CCR.last_update_Date,'dd-mon-yyyy') &gt; to_date('24-APR-20','dd-mon-yyyy') or (select max(to_Date(last_update_Date,'dd-mon-yyyy')) from csi_counter_Readings where counter_id = ccr.counter_id) &gt;=  to_date('24-APR-20','dd-mon-yyyy') or (select max( to_Date(last_update_Date,'dd-mon-yyyy')) from okl_ctr_reading_errors where ocr_id = ccr.id)&gt;=  to_date('24-APR-20','dd-mon-yyyy'))
				GROUP BY ccr.contract_number
				        ,ccr.khr_id
				        ,crb.id
				        ,crb.batch_name
				        ,crb.batch_reference_external
				        ,crb.batch_date
				        ,flv.meaning
				        ,crb.source_type_code
				        ,pov.vendor_name
				        ,oeu.vendor_id
				       ,flv1.description
				       ,flv2.meaning
				       ,crb.batch_status_code
				       ,flv2.lookup_code
				       ,pov.segment1,flv.language)
					pivot
					(max(batch_status_code) as batch_status_code,
					max(source_type_code) as source_type_code ,
					max(update_reads) as update_reads for language_code in('US' "US"))</t>
  </si>
  <si>
    <t xml:space="preserve">select * from
	(SELECT
        'PSI_PROJ_TASK_DS_SETUP' record_type,
        'PSI_PROJ_TASK_'
        || TO_CHAR(accum.org_id)
        || '-'
        || TO_CHAR(accum.project_id)
        || '-'
        || TO_CHAR(accum.task_id) ecc_spec_id,
        accum.project_id,
        accum.segment1 project_number,
        accum.name project_name,
        accum.org_id,
        accum.operating_unit,
        (
            SELECT
                name
            FROM
                hr_all_organization_units_tl o2
            WHERE
                o2.language = accum.language
                AND o2.organization_id = accum.proj_carry_out_org_id
        ) project_organization,
        accum.projfunc_currency_code currency,
        accum.project_status_name project_status,
        pa_utils.get_lookup_values('PROJECT_SYSTEM_STATUS',accum.project_system_status_code,accum.language) project_status_code,
        accum.project_type project_type,
        pa_utils.get_lookup_values('PROJECT TYPE CLASS',accum.project_type_class_code,accum.language) project_type_class,
        accum.project_type_class_code project_type_class_code,
        pa_project_parties_utils.get_project_manager_name(accum.project_id) project_manager,
        accum.start_date project_start_date,
        accum.completion_date project_completion_date,
        DECODE(accum.task_id,0,NULL,accum.task_id) task_id,
        accum.task_number,
        accum.task_name,
        accum.top_task_id,
        (
            SELECT
                task_name
            FROM
                pa_tasks pt1
            WHERE
                pt1.task_id = accum.top_task_id
        ) top_task_name,
        (
            SELECT
                task_number
            FROM
                pa_tasks pt1
            WHERE
                pt1.task_id = accum.top_task_id
        ) top_task_number,
        accum.parent_task_id,
        (
            SELECT
                task_number
            FROM
                pa_tasks pt2
            WHERE
                pt2.task_id = accum.parent_task_id
        ) parent_task_number,
        (
            SELECT
                task_name
            FROM
                pa_tasks pt2
            WHERE
                pt2.task_id = accum.parent_task_id
        ) parent_task_name,
        accum.wbs_level,
        DECODE(accum.task_id,0,NULL,DECODE(pa_task_utils.check_child_exists(accum.task_id),1,'Y',0,'N')) check_child_exists,
        accum.task_start_date,
        accum.task_completion_date,
        (
            SELECT
                per.full_name
            FROM
                per_all_people_f per
            WHERE
                per.person_id (+) = accum.task_manager_person_id
                AND trunc(SYSDATE) BETWEEN per.effective_start_date (+) AND per.effective_end_date (+)
        ) task_manager,
        (
            SELECT
                name
            FROM
                hr_all_organization_units_tl o3
            WHERE
                o3.language = accum.language
                AND o3.organization_id = accum.task_carry_out_org_id
        ) task_organization,
        accum.billable_flag billable_flag,
        (
            SELECT
                ind_rate_sch_name
            FROM
                pa_ind_rate_schedules
            WHERE
                ind_rate_sch_id = accum.cost_ind_rate_sch_id
        ) burden_schedule,
        DECODE(accum.project_type_class_code,'CONTRACT',pa_utils.get_lookup_values('YES_NO',accum.billable_flag,accum.language) ) is_task_billable,
        DECODE(accum.project_type_class_code,'CAPITAL',pa_utils.get_lookup_values('YES_NO',accum.billable_flag,accum.language) ) is_task_capitalizable,
        nvl(accum.expenditure_budget_tot,0) expenditure_budget_tot,
        nvl(accum.expenditure_budget_itd,0) expenditure_budget_itd,
        nvl(accum.raw_cost,0) raw_cost,
        nvl(accum.burdened_cost,0) burdened_cost,
        accum.labor_hrs labor_hours,
        DECODE(accum.project_type_class_code,'CAPITAL',DECODE(accum.capital_cost_type_code,'R',nvl(accum.billable_raw_cost,0),nvl(accum.billable_brdn_cost,0)) ) capitalizable_cost,
        nvl(accum.revenue_budget_tot,0) revenue_budget_tot,
        nvl(accum.revenue_budget_itd,0) revenue_budget_itd,
		nvl(accum.commitment_amount,0) commitment_amount,
        nvl(accum.billable_raw_cost,0) billable_raw_cost,
        nvl(accum.billable_brdn_cost,0) billable_burden_cost,
        DECODE(accum.capital_cost_type_code,'R',nvl(accum.billable_raw_cost,0),nvl(accum.billable_brdn_cost,0)) billable_cost,
        accum.fin_perc_cmplt,
        accum.est_to_cmplt,
        accum.budget_cost_variance,
        accum.summarization_exception,
		accum.last_update_date,
        accum.language
      FROM
     (
 SELECT
            p.org_id,
            p.project_id,
            p.project_type,
            p.name,
            p.segment1,
            p.pji_source_flag,
            p.project_status_code,
            p.carrying_out_organization_id proj_carry_out_org_id,
            p.start_date,
            p.completion_date,
            p.projfunc_currency_code,
            pah.task_id,
            NULL task_number,
            NULL task_name,
            NULL top_task_id,
            NULL parent_task_id,
            0 wbs_level,
            NULL task_start_date,
            NULL task_completion_date,
            NULL task_manager_person_id,
            NULL task_carry_out_org_id,
            NULL billable_flag,
            NULL 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            AND p.project_id = pah.project_id
            AND pah.resource_list_id = 0
			AND pah.task_id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(greatest(pah.last_update_date, nvl(paa.last_update_date,pah.last_update_date), nvl(m.last_update_date,pah.last_update_date),
			         nvl(pabc.last_update_date,pah.last_update_date), nvl(pabr.last_update_date,pah.last_update_date)) &gt;= '24-APR-20'
				OR exists (select 1 from pa_expenditure_items_all ei where ei.project_id = p.project_id and ei.last_update_date &gt;= '24-APR-20'))
        UNION
 SELECT
            p.org_id,
            p.project_id,
            p.project_type,
            p.name,
            p.segment1,
            p.pji_source_flag,
            p.project_status_code,
            p.carrying_out_organization_id,
            p.start_date,
            p.completion_date,
            p.projfunc_currency_code,
            t.task_id,
            t.task_number,
            t.task_name,
            t.top_task_id,
            t.parent_task_id,
            t.wbs_level,
            t.start_date task_start_date,
            t.completion_date task_completion_date,
            t.task_manager_person_id,
            t.carrying_out_organization_id task_carry_out_org_id,
            t.billable_flag billable_flag,
            t.cost_ind_rate_sch_id,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			pa_tasks t,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			AND p.project_id = t.project_id
            AND t.project_id = pah.project_id (+)
            AND t.task_id = pah.task_id (+)
            AND pah.resource_list_id (+)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(exists ( SELECT 1
						  FROM
						      pa_project_accum_headers pah1,
						      pa_project_accum_budgets pab1,
						      pa_project_accum_actuals paa1,
						      pa_project_accum_commitments m1
						  WHERE
						      pah1.project_id = p.project_id
						      AND pah1.resource_list_id = 0
						      AND pah1.task_id = 0
						      AND pah1.project_accum_id = pab1.project_accum_id (+)
						      AND pah1.project_accum_id = paa1.project_accum_id (+)
						      AND pah1.project_accum_id = m1.project_accum_id (+)
						      AND pab1.budget_type_code (+) in ('AC','AR')
						      AND greatest(pah1.last_update_date, nvl(paa1.last_update_date,pah1.last_update_date), nvl(m1.last_update_date,pah1.last_update_date),
						  	         nvl(pab1.last_update_date,pah1.last_update_date)) &gt;= '24-APR-20')
				OR exists (select 1 from pa_expenditure_items_all ei where ei.project_id = p.project_id and ei.last_update_date &gt;= '24-APR-20'))
			) accum
) PIVOT (
max(OPERATING_UNIT) as OPERATING_UNIT,
max(PROJECT_ORGANIZATION) as PROJECT_ORGANIZATION,
max(PROJECT_STATUS_CODE) as PROJECT_STATUS_CODE,
max(PROJECT_TYPE_CLASS) as PROJECT_TYPE_CLASS,
max(TASK_ORGANIZATION) as TASK_ORGANIZATION,
max(IS_TASK_BILLABLE) as IS_TASK_BILLABLE,
max(IS_TASK_CAPITALIZABLE) as IS_TASK_CAPITALIZABLE
for LANGUAGE in ('US' "US")) 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</si>
  <si>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to_timestamp('24-APR-20 03.53.45.000000 PM')
     OR ppa.last_update_date &gt;= to_timestamp('24-APR-20 03.53.45.000000 PM')
     OR ppal.last_update_date &gt;= to_timestamp('24-APR-20 03.53.45.000000 PM')
	 OR EXISTS (select 1 from pa_expenditure_items_all peial
	            where peial.project_id = pp.project_id
				and peial.last_update_date &gt; to_timestamp('24-APR-20 03.53.45.000000 PM'))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to_timestamp('24-APR-20 03.53.45.000000 PM')
    OR EXISTS (select 1 from pa_expenditure_items_all peial
	           where peial.project_id = pp.project_id
			   and peial.last_update_date &gt; to_timestamp('24-APR-20 03.53.45.000000 PM'))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</si>
  <si>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 xml:space="preserve">  SELECT * FROM
	                       (SELECT  DELDATA AS ECC_SPEC_ID,
								 DELDATA AS RECORD_IDENTIFIER,
								 PROJECT_NAME ,
								 ORDER_NUMBER,
								 DELDATA,
								 BUSINESS_DOCUMENT_TYPE,
								 BUSINESS_DOCUMENT_TYPE_CODE,
								 DELIVERABLE_TYPE,
								 DELIVERABLE_TYPE_CODE,
								 DELIVERABLE_STATUS,
								 DELIVERABLE_STATUS_CODE,
								 RESPONSIBLE_PARTY_CODE,
								 RESPONSIBLE_PARTY,
								 DELIVERABLE_NAME,
								 DELIVERABLE_DESCRIPTION,
								 DISPLAY_SEQUENCE,
								 FIXED_DUE_DATE_YN,
								 ACTUAL_DUE_DATE,
								 RECURRING_YN,
								 AMENDMENT_NOTES,
								 STATUS_CHANGE_NOTES,
								 VENDOR_CONTACT_ID,
								 PARTY_NAME,
								 CONTACT,
								 PO_HEADER_ID,
								 DELIVERABLE_HOLD,
								 HOLD_AMOUNT,
								 DAYS_ON_HOLD,
								 ORG_ID,
								 PROJECT_ID,
								 PROJECT_NUMBER,
								 HOLD_DATE,
								 MANAGE_DELIVERABLE,
                                 LANGUAGE
                                 FROM (
										SELECT  pap.name project_name
											   ,poh.segment1 order_number
											   ,del.deliverable_id deldata
											   ,busdoctypes_tl.name business_document_type
											   ,del.business_document_type business_document_type_code
											   ,deliverabletypes_tl.name deliverable_type
											   ,del.deliverable_type deliverable_type_code
											   ,status_lookup.meaning deliverable_status
											   ,del.deliverable_status deliverable_status_code
											   ,del.responsible_party responsible_party_code
											   ,reptl.name responsible_party
											   ,del.deliverable_name
											   ,del.description deliverable_description
											   ,del.display_sequence
											   ,del.fixed_due_date_yn
											   ,del.actual_due_date
											   ,del.recurring_yn
											   ,del.amendment_notes
											   ,del.status_change_notes
											   ,poh.vendor_contact_id
											   ,CASE
												WHEN    del.deliverable_type = 'CONTRACTUAL'
												AND     responsible_party = 'SUPPLIER_ORG'
														THEN
																(
																SELECT  vendor_name
																FROM    ap_suppliers
																WHERE   vendor_id = poh.vendor_id
																)
												ELSE
														(
														SELECT  DISTINCT
																name
														FROM    hr_all_organization_units_tl
														WHERE   organization_id = poh.org_id
														AND     language (+) = lang.language_code
														) END party_name
											   ,CASE
												WHEN    del.deliverable_type = 'CONTRACTUAL'
												AND     responsible_party = 'SUPPLIER_ORG'
														THEN
																(
																SELECT  DISTINCT
																		party_name
																FROM    hz_parties
																WHERE   party_id = poh.vendor_contact_id
																)
												ELSE
														(
														SELECT  DISTINCT
																full_name
														FROM    per_all_people_f
														WHERE   person_id = del.internal_party_contact_id
														) END contact
											   ,poh.po_header_id
											   ,decode (nvl (holds.hold
															,0)
													   ,0
													   ,'N'
													   ,'Y') deliverable_hold
											   ,holds.hold_amount hold_amount
											   ,trunc (sysdate - holds.hold_date) days_on_hold
											   ,poh.org_id org_id
											   ,psco.project_id
											   ,pap.segment1 project_number
											   ,holds.hold_date hold_date
											   ,po_endeca_util_pub.po_get_action_text ('MANAGE_DELIVERABLE'
																					  ,20) manage_deliverable
											   ,lang.language_code LANGUAGE
										FROM    okc_deliverables del
											   ,po_headers_all poh
											   ,po_doc_style_headers ps
											   ,pa_supply_chain_options psco
											   ,pa_projects_all pap
											   ,po_proc_plan_header pph
											   ,fnd_lookup_values status_lookup
											   ,okc_deliverable_types_tl deliverabletypes_tl
											   ,okc_bus_doc_types_tl busdoctypes_tl
											   ,okc_resp_parties_b repb
											   ,okc_resp_parties_tl reptl
											   ,
												(
												SELECT  pod.po_header_id
													   ,count (1) hold
													   ,sum (apd.amount) hold_amount
													   ,min (ah.hold_date) hold_date
												FROM    ap_invoice_distributions_all apd
													   ,ap_holds_all ah
													   ,po_distributions_all pod
												WHERE   apd.project_id &gt; 0
												AND     ah.invoice_id = apd.invoice_id
												AND     pod.po_distribution_id &gt; 0
												AND     pod.po_distribution_id = apd.po_distribution_id
												AND     ah.hold_lookup_code = 'PO Deliverable'
												AND     ah.release_lookup_code IS NULL
												GROUP BY pod.po_header_id
												) holds
												,fnd_languages lang
										WHERE   poh.po_header_id = del.business_document_id
										AND     poh.revision_num = del.business_document_version
										AND     poh.po_header_id = holds.po_header_id (+)
										AND     business_document_type IN ('PO_STANDARD','RFQ')
										AND     psco.project_id IN
												(
												SELECT  DISTINCT
														project_id
												FROM    po_distributions_all
												WHERE   po_header_id = poh.po_header_id
												)
										AND     pap.project_id = psco.project_id
										AND     pph.project_id = psco.project_id
										AND     psco.enable_scp_flag = 'Y'
										AND     status_lookup.lookup_type = 'OKC_DELIVERABLE_STATUS'
										AND     status_lookup.lookup_code = del.deliverable_status
										AND     status_lookup.VIEW_APPLICATION_ID = 0
                                        AND     status_lookup.SECURITY_GROUP_ID = 0
										AND     status_lookup.language = lang.language_code
										AND     del.deliverable_status &lt;&gt; 'INACTIVE'
										AND     lang.installed_flag in ('I', 'B')
										AND     nvl(deliverabletypes_tl.language, lang.language_code) = lang.language_code
										AND     deliverabletypes_tl.deliverable_type_code = del.deliverable_type
										AND     nvl(busdoctypes_tl.language, lang.language_code) = lang.language_code
										AND     busdoctypes_tl.document_type = del.business_document_type
										AND     poh.style_id = ps.style_id
										AND 	repb.document_type_class = reptl.document_type_class(+)
										AND     repb.resp_party_code = reptl.resp_party_code(+)
										AND     nvl (repb.intent , 'XXX') = nvl (reptl.intent  ,'XXX')
										AND     nvl(reptl.language, lang.language_code) = lang.language_code
										AND     repb.resp_party_code(+) = del.responsible_party
										AND     nvl(repb.document_type_class, 'PO') = 'PO'
										AND     del.last_update_date &gt;= to_date(to_char(to_timestamp('24-APR-20'),'DD-MON-YY HH24.MI.SS'),'DD-MON-YY HH24.MI.SS') AND  LANG.LANGUAGE_CODE in ('US'))
										) PIVOT (
										 MAX(business_document_type) AS BUSINESS_DOCUMENT_TYPE,
										 MAX(deliverable_type) AS DELIVERABLE_TYPE,
										 MAX(party_name) AS PARTY_NAME,
										 MAX(responsible_party) AS RESPONSIBLE_PARTY,
										 MAX(deliverable_status) AS DELIVERABLE_STATUS
										for LANGUAGE in ('US' "US")
										 )</t>
  </si>
  <si>
    <t>SELECT
                            AH.AUCTION_HEADER_ID||'-'||NEG_TEAM.USER_ID||'-'||PITMDS.LINE_NUMBER||'-'
                            ||pbh.bid_number||'-'||pbip.LINE_NUMBER AS ecc_spec_id
                            FROM
                              pon_auction_headers_all AH,
                              pon_auction_item_prices_all PITMDS,
                              pon_neg_team_members NEG_TEAM,
                              pon_bid_headers pbh,
                              pon_bid_item_prices pbip
                            WHERE
                            PITMDS.auction_header_id(+)= AH.auction_header_id
                            AND NEG_TEAM.auction_header_id(+)= AH.auction_header_id
                            AND pbh.auction_header_id(+)= AH.auction_header_id
                            AND pbip.bid_number(+)=pbh.bid_number
                            AND pbh.bid_status &lt;&gt; 'ACTIVE'
                            AND greatest(AH.last_update_date,PITMDS.last_update_date,NEG_TEAM.last_update_date,pbh.last_update_date) &gt;
                            to_date(to_char(to_timestamp('24-APR-20'),'DD-MON-YY HH24.MI.SS'),'DD-MON-YY HH24.MI.SS')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</si>
  <si>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to_date(to_char(to_timestamp('24-APR-20'),'DD-MON-YY HH24.MI.SS'),'DD-MON-YY HH24.MI.SS'))
          or (AH.CLOSE_BIDDING_DATE between to_date(to_char(to_timestamp('24-APR-20'),'DD-MON-YY HH24.MI.SS'),'DD-MON-YY HH24.MI.SS')
                                      and to_date(to_char(to_timestamp('25-APR-20'),'DD-MON-YY HH24.MI.SS'),'DD-MON-YY HH24.MI.SS'))
         or (AH.OPEN_BIDDING_DATE between to_date(to_char(to_timestamp('24-APR-20'),'DD-MON-YY HH24.MI.SS'),'DD-MON-YY HH24.MI.SS')
                                      and to_date(to_char(to_timestamp('25-APR-20'),'DD-MON-YY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</si>
  <si>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to_date(to_char(to_timestamp('24-APR-20'),'DD-MON-YY HH24.MI.SS'),'DD-MON-YY HH24.MI.SS'))
          or (AH.CLOSE_BIDDING_DATE between to_date(to_char(to_timestamp('24-APR-20'),'DD-MON-YY HH24.MI.SS'),'DD-MON-YY HH24.MI.SS')
                                      and to_date(to_char(to_timestamp('25-APR-20'),'DD-MON-YY HH24.MI.SS'),'DD-MON-YY HH24.MI.SS'))
         or (AH.OPEN_BIDDING_DATE between to_date(to_char(to_timestamp('24-APR-20'),'DD-MON-YY HH24.MI.SS'),'DD-MON-YY HH24.MI.SS')
                                      and to_date(to_char(to_timestamp('25-APR-20'),'DD-MON-YY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</si>
  <si>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
select * from (
SELECT
auction_header_id||'-'||duration_code  ECC_SPEC_ID,
auction_header_id,
document_number,
auction_status_code,
duration_type,
duration,
org_id,
SECURITY_LEVEL_CODE as SECURITY_LEVEL_CODE_CODE,
CURRENCY_CODE,
PON_PCC_NEGOTIATIONS_UTIL_PVT.GET_NEG_TOTAL_AMOUNT(auction_header_id) NEGOTIATION_AMOUNT,
PON_PCC_NEGOTIATIONS_UTIL_PVT.get_authorized_userids(auction_header_id) AS AUTHORIZED_USER_IDS,
language
FROM (
SELECT
ah.auction_header_id,
ah.document_number,
ah.auction_status auction_status_code,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pon_pcc_negotiations_util_pvt.get_fnd_message('PON_PCC_DRAFT_TIME','396',HROU.language) as draft_type,
'DRAFT_TIME' as draft_type_code,
pon_pcc_negotiations_util_pvt.get_fnd_message('PON_PCC_BID_TIME','396',HROU.language) as bid_Type,
'BID_TIME' as bid_Type_code,
pon_pcc_negotiations_util_pvt.get_fnd_message('PON_PCC_ANALYZE_TIME','396',HROU.language) as analyze_type,
'ANALYZE_TIME' as analyze_type_code,
pon_pcc_negotiations_util_pvt.get_fnd_message('PON_PCC_AWARD_TIME','396',HROU.language) as award_type,
'AWARD_TIME' as award_type_code,
ah.org_id,
ah.SECURITY_LEVEL_CODE,
ah.currency_code,
hrou.language
FROM
pon_auction_headers_all ah,
PON_AUC_DOCTYPES DOC,
HR_ALL_ORGANIZATION_UNITS_TL HROU
where
hrou.organization_id (+) = ah.org_id
AND HROU.LANGUAGE IN ('US')
AND AH.DOCTYPE_ID = DOC.DOCTYPE_ID
AND DOC.INTERNAL_NAME &lt;&gt; 'SOLICITATION'
AND Decode(Nvl(AH.SUPP_REG_QUAL_FLAG, 'N'), 'Y', 'Y','N',
Nvl(AH.SUPP_EVAL_FLAG, 'N'), 'Y', 'Y','N') ='N'
AND AH.CREATION_DATE &gt;= nvl(fnd_date.Canonical_to_date(fnd_profile.Value('PO_PSC_ITEM_SUPP_LOAD_CUT_OFF')),AH.CREATION_DATE)
  AND  AH.LAST_UPDATE_DATE &gt; to_date(to_char(to_timestamp('24-APR-20'),'DD-MON-YY HH24.MI.SS'),'DD-MON-YY HH24.MI.SS')
) ah
unpivot ((duration_type,duration,duration_code) FOR  sol_duration IN ((draft_type,TOTAL_DRAFT_TIME,draft_type_code)AS '1',
                                                           (bid_Type,TOTAL_BID_TIME,bid_Type_code) AS '2',
                                                           (analyze_type,TOTAL_ANALYSE_TIME,analyze_type_code) AS '3' ,
                                                            (award_type,TOTAL_AWARD_TIME,award_type_code ) AS '4'
                                                            ) ) )pivot(Max(duration_type) AS duration_type FOR LANGUAGE IN ('US' "US"))</t>
  </si>
  <si>
    <t>select * from (
SELECT
ecc_spec_id||'-'||duration_type as ecc_spec_id,
grh_po_header_id,
grh_po_num,
grh_buyer_name,
language,
DOC_AUTHORIZED_USER_IDS,
SECURITY_LEVEL_CODE,
ORG_ID,
duration_type,
duration
FROM (
select poh.po_header_id                       AS ecc_spec_id,
poh.po_header_id                                                    AS grh_po_header_id,
poh.segment1    grh_po_num,
(SELECT emp.full_name
 FROM   per_all_people_f emp
 WHERE  emp.person_id = poh.agent_id
 AND ( ( emp.effective_end_date IS NULL )
       OR ( emp.effective_end_date =(SELECT Max(c.effective_end_date)
                                     FROM   per_all_people_f c
                                     WHERE  emp.person_id = c.person_id)
			    )
		  )) 	                                                          AS grh_buyer_name,
houtl.language                                                      AS language,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ORG_ID,
po_pcc_orders_util_pvt.GET_TIME_IN_POOL(poh.po_header_id)           AS time_in_pool,
po_pcc_orders_util_pvt.GET_TIME_IN_SOURCING(poh.po_header_id)       AS time_in_sourcing,
po_pcc_orders_util_pvt.GET_TIME_IN_ORDER_DRAFTING(poh.po_header_id) AS time_in_ord_drafting,
po_pcc_orders_util_pvt.GET_TIME_IN_ORDER_APPROVAL(poh.po_header_id) AS time_in_ord_approval,
po_pcc_orders_util_pvt.get_fnd_message('PO_PCC_ORD_TIME_IN_POOL','201',houtl.language) AS time_in_pool_msg,
po_pcc_orders_util_pvt.get_fnd_message('PO_PCC_ORD_TIME_IN_NEG','201',houtl.language) AS time_in_sourcing_msg,
po_pcc_orders_util_pvt.get_fnd_message('PO_PCC_ORD_TIME_IN_ORD_DRAFT','201',houtl.language) AS time_in_ord_drafting_msg,
po_pcc_orders_util_pvt.get_fnd_message('PO_PCC_ORD_TIME_IN_ORD_APP','201',houtl.language) AS time_in_ord_approval_msg
FROM po_headers_all poh,po_doc_style_headers doc_style, PO_DOCUMENT_TYPES_ALL pdt,
hr_all_organization_units_tl houtl
WHERE poh.type_lookup_code IN ('STANDARD')
AND doc_style.style_id = poh.style_id
AND nvl(doc_style.clm_flag,'N') = 'N'
AND pdt.org_id = poh.org_id
AND pdt.DOCUMENT_TYPE_CODE = 'PO'
AND pdt.DOCUMENT_SUBTYPE = poh.TYPE_LOOKUP_CODE
and houtl.LANGUAGE IN ('US')
AND houtl.organization_id (+) = poh.org_id  and poh.last_update_date &gt; to_date(to_char(to_timestamp('24-APR-20'),'DD-MON-YY HH24.MI.SS'),'DD-MON-YY HH24.MI.SS') ) grp_poh unpivot ((duration_type,duration) FOR  req_duration IN ((time_in_pool_msg,time_in_pool)AS '1',
                                                           (time_in_sourcing_msg,time_in_sourcing) AS '2',
                                                           (time_in_ord_drafting_msg,time_in_ord_drafting) AS '3' ,
                                                            (time_in_ord_approval_msg,time_in_ord_approval ) AS '4'
                                                            ))) pivot(Max(duration_type) AS duration_type FOR LANGUAGE IN ('US' "US"))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</si>
  <si>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gt.KEY=3136035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</si>
  <si>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gt.KEY=3136035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</si>
  <si>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gt.KEY=3136035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</si>
  <si>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gt.KEY=3136035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</si>
  <si>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gt.KEY=3136035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</si>
  <si>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'SUGGESTIONS'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review.review_id suggestion_id,
    review.reviewer_id suggester_id,
    (select full_name from per_all_people_f
      where person_id = review.reviewer_id
        and trunc(sysdate) BETWEEN effective_start_date
                               and effective_end_date) suggester_name,
    review.creation_date suggestion_date,
    review.review_title suggestion_title,
    REPLACE(review.review_comments,'|',',') suggestion_comments,
    nvl(review.status,'O') suggestion_status,
    (select meaning from fnd_lookup_values
      where lookup_type = 'ICX_REVIEW_STATUS_TYPE' and lookup_code = nvl(review.status,'O') AND language= houtl.language) suggestion_status_code,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suggestion_responses,
	(select count(action_id) from po_buyer_actions where entity_type = 'SUGGESTION' and entity_id = review.review_id and status &lt;&gt; 'CLOSED') open_suggestion_action_count,
    (select count(response_id) from icx_rvw_responses where review_id = review.review_id) suggestion_response_count,
	review.purchased_from suggestion_item_purchased_from,
    'No'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'No' has_review_responses,
    decode(
    (select count(action_id) from po_buyer_actions where entity_type = 'SUGGESTION' and entity_id = review.review_id and status &lt;&gt; 'CLOSED'),
    0, 'No', 'Yes') has_suggestion_action_flag,
    decode(
    (select count(response_id) from icx_rvw_responses where review_id = review.review_id),
    0, 'No', 'Yes') has_suggestion_responses,
    --iExpense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fnd_lookup_values_vl
      where lookup_type = 'PO_BUYER_ACTION_STATUS' and lookup_code = pba.status)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PO_PCC_IND_PROC_UTIL_PVT.get_cost_center_for_employee(review.reviewer_id) cost_center,
    review.org_id,
    --(select name from hr_all_organization_units_tl where organization_id = review.org_id and language = userenv('LANG')) org_name,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review.item_id inventory_item_id,
    (select concatenated_segments
       from mtl_system_items_kfv
      where review.item_id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review.vendor_id supplier_id,
    (select VENDOR_NAME from ap_suppliers aps where aps.VENDOR_ID = review.vendor_id) supplier,
    'N'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'NULL' DOC_AUTHORIZED_USER_IDS,
       'Manage Feedback' MANAGE_FEEDBACK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	   po_doc_style_headers doc_style
 where review.review_entity                                         = 'SG'
   and review.org_id                                                = fsp.org_id(+)
   and review.org_id                                                = ctxh.owning_org_id(+)
   --and ctxh.language                                                = houtl.LANGUAGE
   and review.po_line_id                                            = ctxh.po_line_id(+)
   and review.req_template_name                                     = ctxh.req_template_name(+)
   and review.req_template_line_num                                 = ctxh.req_template_line_num(+)
   and review.item_id                                               = ctxh.inventory_item_id(+)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pba.entity_type(+)                                           = 'SUGGESTION'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houtl.organization_id (+) = review.org_id
   AND doc_style.style_id(+) = apoh.style_id
   AND nvl(doc_style.clm_flag,'N') = 'N'
and houtl.language IN ('US')
--Load CutOff Condition
   and review.last_update_date &gt;= nvl(fnd_date.Canonical_to_date(fnd_profile.Value('PO_PSC_ITEM_SUPP_LOAD_CUT_OFF')),review.last_update_date)  AND (pba.last_update_date &gt; '24-APR-20'
                            OR ctxh.last_update_date &gt; '24-APR-20'
                            OR av.last_update_date &gt; '24-APR-20'
                            OR avtlp.last_update_date &gt;  '24-APR-20'
                            OR review.last_update_date &gt;  '24-APR-20'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 ,
        max(suggestion_status_code) AS suggestion_status_code,
        max(CAT_IP_CATEGORY_NAME) AS   CAT_IP_CATEGORY_NAME
        for LANGUAGE in ('US' "US"))</t>
  </si>
  <si>
    <t>select * from (select NULL
    || '-'
    || NULL
    || '-'
    || NULL
    || '-'
    || NULL
    || '-'
    || NULL
    || '-'
    || NULL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replace(PO_PCC_IND_PROC_UTIL_PVT.remove_stop_words(pla.item_description), ' ', UNISTR('|')) std_po_line_desc_for_tag,
    pla.from_header_id std_po_from_header_id,
    pla.from_line_id std_po_from_line_id,
    decode(nvl(pla.from_header_id, pla.contract_id), null, 'Yes', 'No') std_po_line_off_contract,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pla.unit_price std_po_loc_unit_price,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std_po_loc_amount,
    decode(nvl(pla.from_header_id, pla.contract_id), null,
       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    (select min(need_by_date) from po_line_locations_all where po_line_id = pla.po_line_id)  std_po_loc_need_by_date,
    pha.approved_date std_po_loc_approved_date,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spend_amount,
    decode(nvl(pla.from_header_id, pla.contract_id), null, 'Off-Contract', 'Contract') spend_type,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PO_PCC_IND_PROC_UTIL_PVT.get_cost_center_for_po(pla.po_line_id)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PO_PCC_IND_PROC_UTIL_PVT.get_doc_authorized_userIds('POPA', pha.TYPE_LOOKUP_CODE, pha.AUTHORIZATION_STATUS,
	pha.org_id, pha.AGENT_ID, pha.PO_HEADER_ID)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extract(YEAR from pha.approved_date) spend_year
  from po_buyer_actions pba,
       po_lines_all pla,
       po_headers_all pha,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
 where (
             ( pba.entity_type                                      = 'PO_HEADER'
           and pba.entity_id                                        = pla.po_header_id
             )
    or       ( pba.entity_type                                      = 'PO_LINE'
           and pba.entity_id                                        = pla.po_line_id
             )
       )
   and pha.po_header_id                                             = pla.po_header_id
   and pha.type_lookup_code                                         = 'STANDARD'
   and pla.org_id                                                   = fsp.org_id(+)
   and pla.from_header_id                                           = ctxh.po_header_id(+)
   and pla.from_line_id                                             = ctxh.po_line_id(+)
   and pla.org_id                                                   = ctxh.org_id(+)
   and ctxh.req_template_name(+)                                    = '-2'
   and ctxh.req_template_line_num(+)                                = -2
   and ctxh.language                                            = houtl.LANGUAGE(+)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pla.from_header_id                                           = apol.po_header_id(+)
   and pla.from_line_id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 houtl.organization_id (+) = ctxh.owning_org_id
   AND doc_style.style_id(+) = pha.style_id
   AND nvl(doc_style.clm_flag,'N') = 'N'
   and houtl.language IN ('US')
--Load CutOff Condition
   and pha.last_update_date &gt;= nvl(fnd_date.Canonical_to_date(fnd_profile.Value('PO_PSC_ITEM_SUPP_LOAD_CUT_OFF')),pha.last_update_date)  AND (pba.last_update_date &gt; '24-APR-20'
                            OR ctxh.last_update_date &gt; '24-APR-20'
                            OR av.last_update_date &gt; '24-APR-20'
                            OR avtlp.last_update_date &gt;  '24-APR-20'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</si>
  <si>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||'...',ctxh.req_template_name),'INTERNAL_TEMPLATE',DECODE(least(LENGTH(ctxh.req_template_name) , 20),20,SUBSTR(ctxh.req_template_name,1,17)
        ||'...',ctxh.req_template_name),'QUOTATION',ICX_CAT_UTIL_PVT.get_message('ICX_CAT_QUOTATION_SOURCE','NUMBER',ctxh.document_number) ,
        'BLANKET',ICX_CAT_UTIL_PVT.get_message('ICX_CAT_BLANKET_SOURCE','NUMBER',ctxh.document_number),'GLOBAL_BLANKET',
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Least(pha.end_date, pla.expiration_date),
         Nvl(pha.end_date, pla.expiration_date)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pha.amount_limit agreement_amount_limit,
    NVL(pha.blanket_total_amount,0) agreed_agreement_amount,
    NVL(pla.committed_amount,0)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ctxh.org_id,
    --(select name from hr_all_organization_units_tl where organization_id = ctxh.org_id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 houtl.language) line_type,
    pha.currency_code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  PO_PCC_IND_PROC_UTIL_PVT.get_doc_authorized_userIds('POPA', pha.TYPE_LOOKUP_CODE, pha.AUTHORIZATION_STATUS,
	pha.org_id, pha.AGENT_ID, pha.PO_HEADER_ID) DOC_AUTHORIZED_USER_IDS,
    NULL project_ids,
    'N' is_proj_ref_on_po,
	(SELECT lkp.meaning
          FROM   fnd_lookup_values lkp
          WHERE  lkp.lookup_type = 'PO_DOCUMENT_CREATION_METHOD'
                 AND lkp.LANGUAGE =  houtl.language
                 AND lkp.lookup_code = pha.document_creation_method) document_creation_method,
    (CASE
	 WHEN NVL(pha.authorization_status,'INCOMPLETE') IN ('INCOMPLETE','IN PROCESS','PRE-APPROVED')
		OR EXISTS (SELECT 1
				  FROM po_change_requests
				  WHERE document_header_id = pha.po_header_id
				  and request_status = 'PENDING')
		OR 	SYSDATE  &gt;= pha.end_date - 30
		OR PO_CORE_S.get_total(Decode(pha.type_lookup_code,'BLANKET','GA','GC'), pha.po_header_id) &gt;=
		   (pha.amount_limit * 0.9)
		OR pha.end_date &lt;= SYSDATE
		OR  PO_CORE_S.get_total(Decode(pha.type_lookup_code,'BLANKET','GA','GC'), pha.po_header_id) =
		    pha.amount_limit
		OR exists (select 1 from po_buyer_actions
	             WHERE Trunc(Nvl(completion_date,SYSDATE )) - Trunc(TARGET_DATE)   &gt; 0
                 and status  &lt;&gt; 'CLOSED'  and entity_type = 'PA_HEADER' and entity_id =pha.po_header_id)
     THEN  'Y'
	 ELSE 'N'
 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null performance_date,
	   null ontime_delivery_rating,
       null quality_rating,
       null price_comp_rating ,
    houtl.language
  from po_buyer_actions pba,
       icx_cat_items_ctx_hdrs_tlp ctxh,
       icx_cat_attribute_values av,
       icx_cat_attribute_values_tlp avtlp,
       po_lines_all pla,
       po_headers_all pha,
       financials_system_params_all fsp,
       hr_all_organization_units_tl houtl,
	   po_doc_style_headers doc_style
 where (
             ( pba.entity_type                                      = 'PA_HEADER'
           and pba.entity_id                                        = pla.po_header_id
             )
    or       ( pba.entity_type                                      = 'PA_LINE'
           and pba.entity_id                                        = pla.po_line_id
             )
       )
   and 'Y'                                                          = pha.global_agreement_flag
   and pha.po_header_id                                             = pla.po_header_id
   and pla.org_id                                                   = fsp.org_id(+)
   and ctxh.po_line_id(+)                                           = pla.po_line_id
   and ctxh.po_header_id(+)                                         = pla.po_header_id
   and ctxh.org_id(+)                                               = pla.org_id
   and ctxh.language                                                = houtl.LANGUAGE(+)
   and ctxh.req_template_name(+)                                    = '-2'
   and ctxh.req_template_line_num(+)                                = -2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AND houtl.organization_id (+) = ctxh.owning_org_id
   AND doc_style.style_id(+) = pha.style_id
   AND nvl(doc_style.clm_flag,'N') = 'N'
   and houtl.language IN ('US')
 --Load CutOff Condition
   and pha.last_update_date &gt;= nvl(fnd_date.Canonical_to_date(fnd_profile.Value('PO_PSC_ITEM_SUPP_LOAD_CUT_OFF')),pha.last_update_date)  AND (pba.last_update_date &gt; '24-APR-20'
                              OR ctxh.last_update_date &gt; '24-APR-20'
                              OR av.last_update_date &gt; '24-APR-20'
                              OR avtlp.last_update_date &gt;  '24-APR-20'
                              OR pla.last_update_date &gt; '24-APR-20'
                              OR pha.last_update_date &gt; '24-APR-20'
              ))
     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    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</si>
  <si>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plla.line_location_id
    || '-'
    || NULL
    || '-'
    || NULL
    || '-'
    || NULL
    || '-'
    || NULL
    || '-'
    || NULL
    || '-'
    || NULL
    || '-'
    || 'STANDARD_PO'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VENDOR_NAME from ap_suppliers aps where aps.VENDOR_ID = pha.VENDOR_ID)  review_supplier,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replace(psgt.char1, ' ', UNISTR('|')) std_po_line_desc_for_tag,
    pla.from_header_id std_po_from_header_id,
    pla.from_line_id std_po_from_line_id,
    decode(nvl(pla.from_header_id, pla.contract_id), null, 'Yes', 'No') std_po_line_off_contract,
    plla.line_location_id std_po_line_location_id,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plla.quantity_cancelled std_po_loc_quantity_cancelled,
    plla.unit_meas_lookup_code std_po_loc_uom,
    (select uom_code from mtl_units_of_measure_tl WHERE unit_of_measure = plla.unit_meas_lookup_code and language =  houtl.language) std_po_loc_uom_code,
    pla.unit_price std_po_loc_unit_price,
    psgt.num1 std_po_loc_amount,
    decode(nvl(pla.from_header_id, pla.contract_id), null,
           psgt.num1,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	(select min(need_by_date) from po_line_locations_all where po_line_id = pla.po_line_id)  std_po_loc_need_by_date,
    plla.ship_to_location_id std_po_ship_location_id,
    (select loc_tl.location_code
       from hr_locations_all_tl loc_tl
      where plla.ship_to_location_id = loc_tl.location_id
        and loc_tl.language =  houtl.language
    ) std_po_ship_location,
	plla.quantity_received  std_po_loc_received_quantity,
	plla.quantity_rejected  std_po_loc_rejected_quantity,
    pha.approved_date std_po_loc_approved_date,
     psgt.num1 spend_amount,
    decode(nvl(pla.from_header_id, pla.contract_id), null, 'Off-Contract', 'Contract') spend_type,
    --action items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psgt.char2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psgt.char3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 houtl.language
                 AND lkp.lookup_code = pha.document_creation_method 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 THEN  'Y'
	 ELSE 'N'
    END )   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 houtl.language,
        extract(YEAR from pha.approved_date) spend_year
  from po_lines_all pla,
       po_headers_all pha,
       po_line_locations_all plla,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 ,
     po_session_gt psgt
 where pha.po_header_id                                             = pla.po_header_id
   and pla.po_line_id                                               = plla.po_line_id(+)
   and pha.type_lookup_code                                         = 'STANDARD'
   and pla.from_header_id                                           = ctxh.po_header_id(+)
   and pla.from_line_id                                             = ctxh.po_line_id(+)
   and pla.org_id                                                   = fsp.org_id(+)
   and pla.org_id                                                   = ctxh.org_id(+)
   and ctxh.req_template_name(+)                                    = '-2'
   and ctxh.req_template_line_num(+)                                = -2
   and Nvl(ctxh.LANGUAGE,houtl.LANGUAGE)                            = houtl.LANGUAGE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pla.from_header_id                                           = apol.po_header_id(+)
   and pla.from_line_id                                             = apol.po_line_id(+)
   and apol.po_header_id                                            = apoh.po_header_id(+)
and houtl.language IN ('US')
and (ctxh.po_header_id is null
         or 'Y' = (SELECT global_agreement_flag FROM po_headers_all WHERE po_header_id = ctxh.po_header_id))
   AND houtl.organization_id (+) = pha.org_id
   AND doc_style.style_id(+) = pha.style_id
   AND nvl(doc_style.clm_flag,'N') = 'N'
   AND psgt.index_char1(+) = 'IND_PROC_PO_' || pla.po_header_id ||'_'||  pla.po_line_id
   --Load CutOff Condition
   and pha.last_update_date &gt;= nvl(fnd_date.Canonical_to_date(fnd_profile.Value('PO_PSC_ITEM_SUPP_LOAD_CUT_OFF')),pha.last_update_date)  AND ( ctxh.last_update_date &gt; '24-APR-20'
                        OR av.last_update_date &gt; '24-APR-20'
                        OR avtlp.last_update_date &gt;  '24-APR-20'
                        OR plla.last_update_date &gt; '24-APR-20'
                        OR pla.last_update_date &gt;  '24-APR-20'
                        OR pha.last_update_date &gt;  '24-APR-20'
         ) )
   PIVOT (max(org_name) as Org_name,
        max(cat_source_type_code) as cat_source_type_code,
        max(cat_uom_code) as cat_uom_code,
        max(line_type) as line_type,
        max(cat_manufacturer) AS cat_manufacturer ,
        max(cat_item_description) AS cat_item_description,
        max(cat_long_description) AS cat_long_description,
        max(std_po_loc_uom_code) AS std_po_loc_uom_code,
        max(document_creation_method) AS document_creation_method,
        max(CAT_IP_CATEGORY_NAME) AS   CAT_IP_CATEGORY_NAME,
        max(STD_PO_SHIP_LOCATION) AS   STD_PO_SHIP_LOCATION
        for LANGUAGE in ('US' "US"))</t>
  </si>
  <si>
    <t>select * from (select NULL
       || '-'
       || NULL
       || '-'
       || NULL
       || '-'
       || NULL
       || '-'
       || NULL
       || '-'
       || NULL
       || '-'
       || NULL
       || '-'
       || ai.invoice_id
       || '-'
       || ail.line_number
       || '-'
       || ai.source
       || '-'
       || NULL
       || '-'
       || NULL
       || '-'
       || NULL
       || '-'
       || pba.action_id
       || '-'
       || pba.entity_id
       || '-'
       || pba.entity_type
       || '-'
       || NULL
       || '-'
       || NULL
       || '-'
       || NULL
       || '-'
       || 'iEXPENSE' ecc_spec_id,
       --catalog items
       --iExpense
       ai.invoice_id,
       ai.invoice_num invoice_number,
       ai.invoice_amount,
       ail.line_number invoice_line_number,
       ai.source invoice_source,
       ail.description invoice_description,
       ail.justification invoice_justification,
	     replace(PO_PCC_IND_PROC_UTIL_PVT.remove_stop_words(ail.justification) ,' ',UNISTR('|')) inv_just_split_words_tag,
       nvl(ail.base_amount, ail.amount) invoice_line_amount,
       ail.creation_date invoice_date,
       ail.merchant_name invoice_merchant_name,
       --standard po
       nvl(ail.base_amount, ail.amount) AS spend_amount,
       'iExpense' AS spend_type,
       --action items
       pba.action_id,
       pba.entity_id action_entity_id,
       pba.entity_type action_entity_type,
	   (select meaning from fnd_lookup_values
        where lookup_type = 'PO_BUYER_ACTION_ENTITY_TYPE' and lookup_code = pba.entity_type AND language= houtl.language) action_entity_type_code,
       pba.action_type,
       (select meaning
          from fnd_lookup_values_vl
         where lookup_type = decode(pba.entity_type, 'REVIEW',     'PO_BUYER_REVIEW_ACTIONS',
		                                             'SUGGESTION', 'PO_BUYER_SUGGESTION_ACTIONS',
                                                     'REQ_LINE',   'PO_BUYER_REQ_LINE_ACTIONS',
                                                     'PO_HEADER',  'PO_BUYER_PO_HEADER_ACTIONS',
                                                     'PO_LINE',    'PO_BUYER_PO_LINE_ACTIONS',
                                                     'PA_HEADER',  'PO_BUYER_PA_HEADER_ACTIONS',
                                                     'PA_LINE',    'PO_BUYER_PA_LINE_ACTIONS',   null)
           and lookup_code = pba.action_type
       ) action_type_code,
       pba.description action_description,
       pba.assignee_per_id,
       (select full_name from per_all_people_f
         where person_id = pba.assignee_per_id
           and trunc(sysdate) BETWEEN effective_start_date
                                  and effective_end_date) action_assignee,
       pba.target_date action_due_date,
       pba.status action_status,
       (select meaning from fnd_lookup_values
         where lookup_type = 'PO_BUYER_ACTION_STATUS' and lookup_code = pba.status AND language= houtl.language) action_status_code,
       pba.comments action_comments,
	   (case
		   when Trunc(Nvl(pba.COMPLETION_DATE,SYSDATE )) - Trunc(pba.TARGET_DATE)   &gt; 0
				 and pba.STATUS  &lt;&gt; 'CLOSED'
		   then
			 Trunc(Nvl(pba.COMPLETION_DATE,SYSDATE )) - Trunc(pba.TARGET_DATE)
		   else null
	   end ) action_days_remaining,
       --common
       ail.creation_date spend_date,
       (
       select REPLACE (ppg.group_name,'|',',')
         from per_all_assignments_f paf, pay_people_groups ppg
        where paf.people_group_id = ppg.people_group_id
          and paf.primary_flag = 'Y'
          and trunc(sysdate) between trunc(effective_start_date)
                                 and trunc(effective_end_date)
          and person_id = decode(ai.invoice_type_lookup_code, 'EXPENSE REPORT', (select employee_id from ap_suppliers where vendor_id = ai.vendor_id),
                                                              'PAYMENT REQUEST', ai.paid_on_behalf_employee_id, null)
          and rownum = 1
       ) employee_group,
       PO_PCC_IND_PROC_UTIL_PVT.get_cost_center_for_expense(ail.invoice_id, ail.line_number) cost_center,
       ail.org_id,
       --(select name from hr_all_organization_units_tl where organization_id = ail.org_id and language = userenv('LANG')) org_name,
       houtl.name org_name,
       (select currency_code from gl_sets_of_books where ail.set_of_books_id = set_of_books_id) functional_currency,
       ai.exchange_rate rate,
       ai.exchange_rate_type rate_type,
       ai.exchange_date rate_date,
       ai.invoice_currency_code transaction_currency,
       'N' is_proj_ref_on_po,
    houtl.language,
    extract(YEAR from ail.creation_date) spend_year,
    'NULL' DOC_AUTHORIZED_USER_IDS
  from ap_invoices_all ai,
       ap_invoice_lines_all ail,
       po_buyer_actions pba ,
       hr_all_organization_units_tl houtl
 where ai.source IN ('SelfService', 'XpenseXpress')
   and ai.invoice_id                                                = ail.invoice_id
   and pba.entity_type(+)                                           = 'EXPENSE'
   and pba.entity_id(+)                                             = ai.invoice_id
   AND houtl.organization_id (+) = ail.org_id
   and houtl.language IN ('US')
   --Load CutOff Condition
   and ail.last_update_date &gt;= nvl(fnd_date.Canonical_to_date(fnd_profile.Value('PO_PSC_ITEM_SUPP_LOAD_CUT_OFF')),ail.last_update_date) AND (pba.last_update_date &gt; '24-APR-20'
                            OR ai.last_update_date &gt; '24-APR-20'
                            OR ail.last_update_date &gt; '24-APR-20'
            ) )
   PIVOT (max(org_name) as Org_name,
        max(action_entity_type_code) as action_entity_type_code,
        max(action_type_code) as action_type_code,
        max(action_status_code) as action_status_code
 for LANGUAGE in ('US' "US"))</t>
  </si>
  <si>
    <t xml:space="preserve">select * from (select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'CATALOG_ITEMS'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review.review_id,
    review.reviewer_id,
    (select full_name from per_all_people_f
      where person_id = review.reviewer_id
        and trunc(sysdate) BETWEEN effective_start_date
                               and effective_end_date) reviewer_name,
    review.creation_date review_date,
    review.review_title,
    REPLACE(review.review_comments,'|',',') review_comments,
    review.rating review_rating,
    decode(review.review_entity, 'I', rating, null) review_item_rating,
    decode(review.review_entity, 'S', rating, null) review_supplier_rating,
    review.review_entity,
    (select meaning from fnd_lookup_values
      where lookup_type = 'ICX_REVIEW_ENTITY_TYPE' and lookup_code = review.review_entity AND language= houtl.language) review_for,
    (select VENDOR_NAME from ap_suppliers aps where aps.VENDOR_ID = review.vendor_id) review_supplier,
	review.vendor_id review_supplier_id,
    nvl(review.status,'O') review_status,
    (select meaning from fnd_lookup_values
      where lookup_type = 'ICX_REVIEW_STATUS_TYPE' and lookup_code = nvl(review.status,'O')
        AND language= houtl.language AND view_application_id = 3) review_status_code,
    review.purchased_from review_item_purchased_from,
	(select meaning from fnd_lookup_values
      where lookup_type = 'PO_REVIEW_PURCHASED_FROM_TYPES' and lookup_code = review.purchased_from AND language= houtl.language) review_purchased_from_code,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review_responses,
	(select count(usefull_flag) from icx_review_usefull_dtls where review_id = review.review_id and usefull_flag = 'Y') review_useful_count,
	REPLACE (psgt.char1,' ',UNISTR('|')) review_keywords,
	NVL(
        (SELECT 'Yes'
		   FROM icx_rvw_reviews
		  WHERE review_id    = review.review_id
			AND review_entity IN ('I', 'S')
			AND rating         &lt; 3
        ), 'No') open_poor_rating,
    (select count(action_id) from po_buyer_actions where entity_type = 'REVIEW' and entity_id = review.review_id and status &lt;&gt; 'CLOSED') open_review_action_count,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(select count(response_id) from icx_rvw_responses where review_id = review.review_id) review_response_count,
    (select count(usefull_flag) from icx_review_usefull_dtls where review_id = review.review_id and usefull_flag = 'Y')
    || '/'
    ||
    (select count(usefull_flag) from icx_review_usefull_dtls where review_id = review.review_id and usefull_flag = 'N') usefull_useless,
    apoh.amount_limit agreement_amount_limit,
    NVL(apoh.blanket_total_amount,0) agreed_agreement_amount,
    NVL(apol.committed_amount,0) agreed_line_amount,
    extract(YEAR from review.creation_date) review_year,
    --suggestions
    decode(
    (select count(action_id) from po_buyer_actions where entity_type = 'REVIEW' and entity_id = review.review_id and status &lt;&gt; 'CLOSED'),
    0, 'No', 'Yes')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decode(
    (select count(response_id) from icx_rvw_responses where review_id = review.review_id),
    0, 'No', 'Yes') has_review_responses,
    --iExpense
    --standard po
    --action items
    pba.action_id,
    pba.entity_id action_entity_id,
    pba.entity_type action_entity_type,
	(select meaning from fnd_lookup_values
      where lookup_type = 'PO_BUYER_ACTION_ENTITY_TYPE' and lookup_code = pba.entity_type AND language= houtl.language) action_entity_type_code,
    pba.action_type,
    (select meaning
       from fnd_lookup_values_vl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psgt.char2 cost_center,
    ctxh.org_id,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'N' is_proj_ref_on_po,
  (SELECT lkp.meaning
          FROM   fnd_lookup_values lkp
          WHERE  lkp.lookup_type = 'PO_DOCUMENT_CREATION_METHOD'
                 AND lkp.LANGUAGE = houtl.language
                 AND lkp.lookup_code = apoh.document_creation_method) document_creation_method,
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(SELECT MAX(poh.approved_date)
     FROM   po_headers_all poh,
            po_lines_all pol
     WHERE ctxh.po_line_id = pol.from_line_id
     AND poh.po_header_id    = pol.po_header_id
     and poh.type_lookup_code  = 'STANDARD'
    ) cat_last_used_on,
   psgt.date1 performance_date,
   psgt.num2 ontime_delivery_rating,
   psgt.num3 quality_rating,
   psgt.num4 price_comp_rating,
   houtl.LANGUAGE ,
    psgt.char3 DOC_AUTHORIZED_USER_IDS,
    psgt.num5 purchased_agreement_amount,
    psgt.num6 purchased_line_amount,
    'Update Catalog Item' UPDATE_CATALOG_ITEM,
    'Renegotiate Agreement' RENEGOTIATE_AGREEMENT,
    'Manage Review' MANAGE_REVIEW,
    'View Agreement' VIEW_AGREEMENT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    po_session_gt psgt
 where ctxh.owning_org_id                                           = fsp.org_id
   and ctxh.language                                                = houtl.LANGUAGE(+)
   and ctxh.owning_org_id                                           = review.org_id(+)
   and ctxh.po_line_id                                              = review.po_line_id(+)
   and ctxh.req_template_name                                       = review.req_template_name(+)
   and ctxh.req_template_line_num                                   = review.req_template_line_num(+)
   and ctxh.inventory_item_id                                       = review.item_id(+)
   and review.review_entity(+) &lt;&gt; 'Q'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pba.entity_type(+)                                           = 'REVIEW'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houtl.language IN ('US')
and (ctxh.po_header_id is null
         or 'Y' = (SELECT global_agreement_flag FROM po_headers_all WHERE po_header_id = ctxh.po_header_id))
	AND houtl.organization_id (+) = ctxh.org_id
  AND psgt.index_char1(+) = 'IND_PROC_ITEMS_' || ctxh.po_header_id ||'_'||  ctxh.po_line_id
  AND (psgt.num7 = review.review_id OR psgt.num7 IS NULL)
   --Load CutOff Condition
   and ctxh.last_update_date &gt;= nvl(fnd_date.Canonical_to_date(fnd_profile.Value('PO_PSC_ITEM_SUPP_LOAD_CUT_OFF')),ctxh.last_update_date)  AND (pba.last_update_date &gt; '24-APR-20'
                        OR ctxh.last_update_date &gt; '24-APR-20'
                        OR av.last_update_date &gt; '24-APR-20'
                        OR avtlp.last_update_date &gt;  '24-APR-20'
                        OR review.last_update_date &gt; '24-APR-20'
         ))
   PIVOT (max(org_name) as Org_name,
        max(cat_source_type_code) as cat_source_type_code,
        max(cat_uom_code) as cat_uom_code,
        max(review_for) as review_for,
        max(review_status_code) as review_status_code,
        max(review_purchased_from_code) as review_purchased_from_code,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for LANGUAGE in ('US' "US")) </t>
  </si>
  <si>
    <t>SELECT
          req_header.requisition_header_id || '-' || req_line.requisition_line_id || '-' || req_dist.distribution_Id AS ecc_spec_id
          FROM
          po_requisition_headers_all req_header,
          po_requisition_lines_all req_line,
          po_req_distributions_all req_dist
          WHERE
          req_header.requisition_header_id = req_line.requisition_header_id
          and (nvl(req_header.closed_code,'NO') = 'FINALLY CLOSED'
          or NVL(req_header.cancel_flag, 'N') = 'Y'
          or nvl(req_line.cancel_flag,'N') = 'Y'
          or Nvl(req_line.modified_by_agent_flag,'N') = 'Y'
          or Nvl(req_line.closed_code,'NO') IN ('CLOSED','FINALLY CLOSED')
          or  (nvl(req_header.AUTHORIZATION_STATUS,'NO') = 'RETURNED'
                  AND req_line.line_location_id IS NULL AND
                  nvl(req_line.reqs_in_pool_flag,'N')='N')
	  )
          AND req_line.requisition_line_id = req_dist.requisition_line_id(+)
          and req_header.last_update_date &gt; to_date(to_char(to_timestamp('24-APR-20'),'DD-MON-YY HH24.MI.SS'),'DD-MON-YY HH24.MI.SS')</t>
  </si>
  <si>
    <t xml:space="preserve">select * from (
SELECT
req_header.requisition_header_id || '-' || req_line.requisition_line_id || '-' || req_dist.distribution_Id  AS ecc_spec_id,
DFV_H.*, DFV_L.*, DFV_D.*,
req_header.requisition_header_id requisition_header_id,
req_header.segment1 requisition,
req_header.description description,
CASE
  WHEN req_header.closed_code = 'CLOSED'
  THEN fnd_message.Get_string('PO', 'PO_STATUS_CLOSED')
  WHEN req_header.closed_code = 'FINALLY CLOSED'
  THEN fnd_message.Get_string('PO', 'PO_STATUS_FINALLY_CLOSED')
  WHEN NVL(req_header.cancel_flag, 'N') = 'Y'
  THEN fnd_message.Get_string('PO', 'PO_STATUS_CANCELED')
  ELSE status_lkup.meaning
END  status,
status_lkup.lookup_code requisition_status_code,
status_lkup.LANGUAGE status_language,
nvl((SELECT emp.full_name FROM per_all_people_f emp WHERE emp.person_id = req_line.suggested_buyer_id
AND ( ( emp.effective_end_date IS NULL )
OR ( emp.effective_end_date =
  (SELECT Max(c.effective_end_date)
  FROM   per_all_people_f c
  WHERE  emp.person_id = c.person_id
) ) )),po_pcc_agreements_util_pvt.get_fnd_message ('PO_PCC_BUYER_UNASSIGNED', '201',status_lkup.language)) buyer_name,
req_header.preparer_id,
( SELECT emp.full_name
  FROM   per_all_people_f emp
  WHERE  emp.person_id = req_header.preparer_id
  AND ( ( emp.effective_end_date IS NULL )
  OR ( emp.effective_end_date =
    (SELECT Max(c.effective_end_date)
    FROM   per_all_people_f c
    WHERE  emp.person_id = c.person_id
  ) ) )
  ) 	preparer	,
por_view_reqs_pkg.get_req_total(req_header.requisition_header_id) amount	,
(SELECT sob.currency_code
FROM gl_sets_of_books sob,financials_system_params_all fsp
WHERE sob.set_of_books_id = fsp.set_of_books_id
AND fsp.org_id = req_header.org_id)
AS currency , -- functional currency
(SELECT description
  FROM   fnd_lookup_values
  WHERE  lookup_type = 'REQUISITION TYPE'
  AND lookup_code = req_header.type_lookup_code
  AND LANGUAGE = status_lkup.LANGUAGE
) 	requisition_type	,
req_header.creation_date 	creation_date	,
req_header.approved_date 	approved_date	,
EXTRACT( YEAR FROM approved_date ) approved_date_year,
To_Char(approved_date,'Month') approved_date_month,
To_Char(NULL) approved_date_range,
(SELECT houtl.name
  FROM   hr_all_organization_units_tl houtl
  WHERE  houtl.organization_id (+) = req_header.org_id
  AND houtl.LANGUAGE = status_lkup.LANGUAGE
) 	operating_unit	,
  req_header.org_id org_id,
  req_line.requisition_line_id requisition_line_id,
req_line.item_id,
req_line.line_num 	line_number,
  mtl_sys_item.concatenated_segments item,
req_line.item_description item_description,
req_line.category_id,
req_mtl_cat.concatenated_segments category,
req_line.quantity quantity,
req_line.quantity - req_line.quantity_cancelled requested_quantity,
req_line.need_by_date need_by_date,
(req_line.need_by_date -
         nvl(((SELECT nvl(lead_time,0)
          FROM icx_cat_attribute_values
          WHERE po_line_id = (SELECT po_line_id
                              FROM po_lines_all
                              WHERE po_header_id = req_line.BLANKET_PO_HEADER_ID
                              AND line_num = req_line.BLANKET_PO_LINE_NUM
                              AND ROWNUM =1) )), 0)) order_by_date,
EXTRACT( YEAR FROM need_by_date ) need_by_date_year,
To_Char(need_by_date,'Month') need_by_date_month,
NVL(req_line.REQS_IN_POOL_FLAG,'N') reqs_in_pool_flag,
req_line.unit_meas_lookup_code uom_code,
req_line.unit_meas_lookup_code uom,
req_line.unit_price unit_price,
req_line.line_type_id,
(SELECT line_type
FROM po_line_types_tl
WHERE line_type_id = req_line.line_type_id
AND LANGUAGE = status_lkup.language)	line_type	,
req_line.matching_basis,
req_line.item_revision  item_revision	,
  DECODE(req_line.matching_basis,
        'AMOUNT', req_line.amount,
		(req_line.quantity-NVL(req_line.quantity_cancelled,0)) * req_line.unit_price
  ) 	line_amount	,
    Nvl2(req_line.currency_code,req_line.currency_code,
    (SELECT sob.currency_code
    FROM gl_sets_of_books sob,financials_system_params_all fsp
    WHERE sob.set_of_books_id = fsp.set_of_books_id
    AND fsp.org_id = req_header.org_id)) line_currency,
(SELECT gsb.currency_code
  FROM   financials_system_params_all fsp,
        gl_sets_of_books gsb
  WHERE  fsp.set_of_books_id = gsb.set_of_books_id
  AND fsp.org_id = req_line.org_id
) 	line_functional_currency	,
(CASE WHEN req_line.MODIFIED_BY_AGENT_FLAG = 'Y' THEN 0
    WHEN req_line.currency_code IS NOT NULL AND req_line.matching_basis = 'AMOUNT'  THEN Nvl(req_line.currency_amount, req_line.amount)
    WHEN req_line.currency_code IS NOT NULL AND req_line.matching_basis &lt;&gt; 'AMOUNT'
     THEN (Nvl(req_line.currency_unit_price,req_line.unit_price) * (req_line.quantity - nvl(req_line.quantity_cancelled,0)))
    WHEN req_line.matching_basis = 'AMOUNT' THEN req_line.amount
    ELSE
          req_line.unit_price *(req_line.quantity - nvl(req_line.quantity_cancelled,0))
  END) 	line_currency_amount	,
  req_header.cancel_flag,
req_line.cancel_flag line_cancel_flag,
  req_header.closed_code,
req_line.closed_code line_closed_code,
req_line.modified_by_agent_flag,
( CASE
  WHEN req_line.cancel_flag='Y'
    THEN po_pcc_agreements_util_pvt.get_fnd_message ('PO_PCC_REQ_CANCELLED', '201',status_lkup.language)
  WHEN req_line.urgent_flag = 'Y' AND req_line.REQS_IN_POOL_FLAG='Y'
    THEN po_pcc_agreements_util_pvt.get_fnd_message ('PO_PCC_REQLINE_URGENT', '201',status_lkup.language)
  WHEN  req_line.REQS_IN_POOL_FLAG='Y' AND Trunc(req_line.need_by_date) &lt;
            Trunc(SYSDATE + (SELECT nvl(lead_time,0)
                            FROM icx_cat_attribute_values
                            WHERE po_line_id = (SELECT po_line_id
                                                FROM po_lines_all
                                                WHERE po_header_id = req_line.BLANKET_PO_HEADER_ID
                                                AND line_num = req_line.BLANKET_PO_LINE_NUM
                                                AND ROWNUM =1) ) )
    THEN po_pcc_agreements_util_pvt.get_fnd_message ('PO_PCC_REQLINE_LATE2', '201',status_lkup.language)
  WHEN req_line.REQS_IN_POOL_FLAG='Y' AND req_line.need_by_date &lt;= SYSDATE
    THEN po_pcc_agreements_util_pvt.get_fnd_message ('PO_PCC_REQLINE_LATE', '201',status_lkup.language)
  WHEN req_line.reqs_in_pool_flag = 'Y'
    THEN po_pcc_agreements_util_pvt.get_fnd_message ('PO_PCC_REQLINE_POOL', '201',status_lkup.language)
  WHEN req_line.at_sourcing_flag = 'Y'
    THEN po_pcc_agreements_util_pvt.get_fnd_message ('PO_PCC_REQLINE_NEG', '201',status_lkup.language)
    WHEN (SELECT Count(1)
      FROM
      po_distributions_all pod
      WHERE pod.REQ_DISTRIBUTION_ID IN (SELECT distribution_Id FROM po_req_distributions_all WHERE requisition_line_id = req_line.requisition_line_id)
      AND ROWNUM &lt; 2) &gt; 0
    THEN po_pcc_agreements_util_pvt.get_fnd_message ('PO_PCC_REQLINE_ORDER', '201',status_lkup.language)
  ELSE
    (SELECT meaning
    FROM   fnd_lookup_values
    WHERE  lookup_type = 'AUTHORIZATION STATUS'
    AND lookup_code = req_header.authorization_status
    AND LANGUAGE = status_lkup.language)
  END
)  line_status	,
req_line.to_person_id requester_id,
( SELECT emp.full_name
	FROM   per_all_people_f emp
	WHERE  emp.person_id = req_line.to_person_id
	AND ( ( emp.effective_end_date IS NULL )
	OR ( emp.effective_end_date =
		(SELECT Max(c.effective_end_date)
		FROM   per_all_people_f c
		WHERE  emp.person_id = c.person_id))
)) requester,
(SELECT SUM(Nvl(prd1.recoverable_tax,0))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	recoverable_tax	,
(SELECT SUM(Nvl(prd1.nonrecoverable_tax,0))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 	non_recoverable_tax	,
req_line.suggested_buyer_id,
( SELECT emp.full_name
  FROM   per_all_people_f emp
  WHERE  emp.person_id =req_line.suggested_buyer_id
  AND ( ( emp.effective_end_date IS NULL )
        OR ( emp.effective_end_date =
                  (SELECT Max(c.effective_end_date)
                  FROM   per_all_people_f c
                  WHERE  emp.person_id = c.person_id  )
			)
	)
) 	suggested_buyer	,
req_line.note_to_agent note_to_buyer,
req_line.suggested_vendor_name suggested_supplier	,
(SELECT description
  FROM   hr_locations_all_tl
  WHERE  location_id = req_line.deliver_to_location_id
        AND LANGUAGE = status_lkup.language
) 	deliver_to_location	,
req_line.deliver_to_location_id,
(SELECT LOCATION_CODE FROM HR_LOCATIONS_ALL_TL WHERE location_id = req_line.deliver_to_location_id
and language = status_lkup.language)  ship_to_location,
req_line.destination_type_code,
(SELECT meaning
  FROM   fnd_lookup_values
  WHERE  lookup_type = 'DESTINATION TYPE'
  AND lookup_code = req_line.destination_type_code
  AND LANGUAGE = status_lkup.language
)  destination_type	,
req_line.urgent_flag urgent_flag,
req_line.last_update_date req_last_upd_date,
Decode(req_header.type_lookup_code,
                  'INTERNAL',TO_CHAR(OE_ORDER_IMPORT_INTEROP_PUB.Get_Order_Number(PSP.order_source_id,req_line.requisition_header_id,req_line.requisition_line_id)),
                    po_v.segment1) AS purchase_order,
po_v.po_header_id,
req_line.blanket_po_header_id,
(SELECT segment1 FROM po_headers_all WHERE po_header_id = req_line.blanket_po_header_id) AS agreement,
(SELECT document_number FROM pon_auction_Headers_all WHERE auction_header_id = req_line.auction_header_id) AS negotiation,
To_Char(NULL) next_action_owner,
To_Char(NULL) next_action_type,
  DECODE (po_pcc_requisitions_util_pvt.is_fully_reserved('REQUISITION','LINE',req_line.requisition_line_id),'Y',
	           (SELECT meaning
               FROM fnd_lookup_values POLC
               WHERE POLC.lookup_type = 'DOCUMENT STATE'
               AND POLC.lookup_code = 'RESERVED'
               AND LANGUAGE = status_lkup.language),
			   (SELECT meaning
               FROM fnd_lookup_values POLC
               WHERE POLC.lookup_type = 'DOCUMENT STATE'
               AND POLC.lookup_code = 'NOT RESERVED'
               AND LANGUAGE = status_lkup.language)) AS reservation_status,
req_dist.distribution_id distribution_id,
req_header.segment1 || ', ' || req_line.line_Num requisition_line,
req_dist.distribution_num distribution_number,
req_dist.req_line_quantity distribution_quantity,
req_dist.code_combination_id,
(SELECT  concatenated_segments
  FROM gl_code_combinations_kfv  gl_code_kfv
  WHERE code_combination_id = req_dist.code_combination_id
)   	charge_account	,
req_dist.expenditure_type expenditure_type,
(SELECT name
FROM hr_all_organization_units_tl
WHERE organization_id=req_dist.expenditure_organization_id
AND LANGUAGE = status_lkup.language) expenditure_org,
req_dist.expenditure_item_date expenditure_item_date,
pa_project.name project ,
pa_project.project_id,
pa_project.project_currency_code project_currency_code,
pa_project.segment1 project_number,
pa_task.task_number task_number,
pa_task.task_id,
To_Char(NULL) project_status,
DECODE(req_line.requisition_line_id,NULL,NULL,pa_task.task_name ) task_name
FROM
po_requisition_headers_all req_header,
po_requisition_lines_all req_line,
po_req_distributions_all req_dist,
pa_projects_all pa_project,
pa_tasks  pa_task,
mtl_system_items_b_kfv mtl_sys_item,
ap_suppliers ap_supplier,
mtl_categories_kfv req_mtl_cat,
fnd_lookup_values status_lkup,
(SELECT poh.segment1,poh.po_header_id, pod.REQ_DISTRIBUTION_ID
FROM
po_distributions_all pod,
po_headers_all poh
WHERE pod.po_header_id = poh.po_header_id
AND poh.type_lookup_code = 'STANDARD'
) po_v,
ORG_ORGANIZATION_DEFINITIONS OOD,
PO_SYSTEM_PARAMETERS_ALL PSP,
 (select 'PO_REQ_H_ROW_ID','PO_REQ_H_CONTEXT','PO_REQ_H_CONCATENATED_SEGMENTS' from dual where 1=2  union select ROWIDTOCHAR(ROW_ID),CONTEXT,CONCATENATED_SEGMENTS from PO_REQUISITION_HEADERS_ALL_DFV) DFV_H, (select 'PO_REQ_L_ROW_ID','PO_REQ_L_CONTEXT','PO_REQ_L_CONCATENATED_SEGMENTS' from dual where 1=2  union select ROWIDTOCHAR(ROW_ID),CONTEXT,CONCATENATED_SEGMENTS from PO_REQUISITION_LINES_ALL3_DFV) DFV_L, (select 'PO_REQ_D_ROW_ID','PO_REQ_D_CONTEXT_VALUE','PO_REQ_D_CONCATENATED_SEGMENTS' from dual where 1=2  union select ROWIDTOCHAR(ROW_ID),CONTEXT_VALUE,CONCATENATED_SEGMENTS from PO_REQ_DISTRIBUTIONS_ALL1_DFV) DFV_D
WHERE
req_header.authorization_status = 'APPROVED'
and nvl(req_header.closed_code,'NO') &lt;&gt; 'FINALLY CLOSED'
and NVL(req_header.cancel_flag, 'N') &lt;&gt; 'Y'
and nvl(req_header.federal_flag,'N') = 'N'
AND req_header.requisition_header_id = req_line.requisition_header_id
and nvl(req_line.cancel_flag,'N') &lt;&gt; 'Y'
AND Nvl(req_line.modified_by_agent_flag,'N') &lt;&gt; 'Y'
AND Nvl(req_line.closed_code,'NO') NOT IN ('CLOSED','FINALLY CLOSED')
AND req_line.requisition_line_id = req_dist.requisition_line_id(+)
and req_dist.task_id  = pa_task.task_id (+)
and req_dist.project_id = 	pa_task.project_id (+)
and pa_task.project_id = pa_project.project_id(+)
AND NVL(req_header.authorization_status,'INCOMPLETE') = status_lkup.lookup_code
AND status_lkup.lookup_type = 'AUTHORIZATION STATUS'
AND status_lkup.LANGUAGE IN ('US')
and req_line.vendor_id = ap_supplier.vendor_id(+)
and req_line.category_id = req_mtl_cat.category_id(+) --req line category to req mtl category
and req_line.item_id = mtl_sys_item.inventory_item_id(+) --req line item to mtl system inv item
and req_line.destination_organization_id = mtl_sys_item.organization_id(+)
AND po_v.REQ_DISTRIBUTION_ID(+) = req_dist.distribution_id
AND      OOD.ORGANIZATION_ID(+) = req_line.SOURCE_ORGANIZATION_ID
AND      PSP.ORG_ID(+) = OOD.OPERATING_UNIT
AND (nvl(req_header.CONTRACTOR_REQUISITION_FLAG,'N')='N'
or (req_header.AUTHORIZATION_STATUS='APPROVED'  and
req_header.CONTRACTOR_STATUS='ASSIGNED'))
AND req_header.rowid = dfv_h."'PO_REQ_H_ROW_ID'" (+)
AND req_line.rowid = dfv_l."'PO_REQ_L_ROW_ID'" (+)
AND req_dist.rowid = dfv_d."'PO_REQ_D_ROW_ID'" (+) and Greatest(req_header.last_update_date, req_line.last_update_date) &gt; to_date(to_char(to_timestamp('24-APR-20'),'DD-MON-YY HH24.MI.SS'),'DD-MON-YY HH24.MI.SS')
               ) pivot(Max(status) AS status,
                                     Max(operating_unit) AS operating_unit,
                                     Max(buyer_name) AS buyer_name,
                                     Max(line_type) AS line_type,
                                     Max(line_status) AS line_status,
                                     Max(requisition_type) AS requisition_type,
                                     Max(deliver_to_location) AS deliver_to_location,
                                     Max(ship_to_location) AS ship_to_location,
                                     Max(destination_type) AS destination_type,
                                     Max(expenditure_org) AS expenditure_org,
                                     Max(reservation_status) AS reservation_status
                                     FOR status_language IN ('US' "US")) </t>
  </si>
  <si>
    <t>select aha.INVOICE_ID  ||'-'|| aha.LINE_LOCATION_ID ||'-'||REPLACE(aha.HOLD_LOOKUP_CODE,' ','_') ECC_SPEC_ID,
aha.invoice_id, aha.line_location_id, aha.HOLD_ID, aha.release_lookup_code, nvl(aha.release_lookup_code,'Yes') as on_hold_flag,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
  from ap_holds_all aha,po_line_locations_all po_lineloc,po_headers_all poh,PO_DOCUMENT_TYPES_ALL pdt,
  po_doc_style_headers doc_style
  where aha.line_location_id = po_lineloc.line_location_id
  AND aha.hold_lookup_code in
       (select hold_lookup_code
        from ap_hold_codes
        where hold_type = 'MATCHING HOLD REASON'
        and NVL(inactive_date, trunc(sysdate) + 1) &gt;= trunc(sysdate))
  AND pdt.org_id = poh.org_id
  AND pdt.DOCUMENT_TYPE_CODE = 'PO'
  AND pdt.DOCUMENT_SUBTYPE = poh.TYPE_LOOKUP_CODE
  AND po_lineloc.po_header_id = poh.po_header_id
  and poh.type_lookup_code IN ('STANDARD')
  AND doc_style.style_id = poh.style_id
  AND nvl(doc_style.clm_flag,'N') = 'N' and aha.last_update_date &gt; to_date(to_char(to_timestamp('24-APR-20'),'DD-MON-YY HH24.MI.SS'),'DD-MON-YY HH24.MI.SS')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</si>
  <si>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gt.KEY=3136029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</si>
  <si>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gt.KEY=3136029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</si>
  <si>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gt.KEY=3136029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</si>
  <si>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>Another job is already pending for this application po_ppcc. These jobs ids are 58616</t>
  </si>
  <si>
    <t>SELECT * FROM (
  SELECT /*+ leading(apl) cardinality(apl 10) index(apl PO_APPROVED_SUPPLIER_LIST_EN1) */
						DISTINCT
							'ASL_LIST' RECORD_TYPE,
							pov.segment1 || ' - ' || msi.concatenated_segments || psa.vendor_site_code ECC_SPEC_ID,
							pov.segment1 || ' - ' || msi.concatenated_segments || psa.vendor_site_code RECORD_IDENTIFIER,
							pov.segment1  supplier_number,
							pov.vendor_name supplier_name,
							psa.vendor_site_code supplier_site,
							msi.concatenated_segments  item_number,
							msi.description item_description,
							cat.concatenated_segments category_item,
							plc.meaning business_type,
							pst.status asl_status,
							apl.primary_vendor_item supplier_item,
							mma.manufacturer_name manufacturer,
							ORG.ORGANIZATION_ID as ORG_ID,
							1 amount9,
              lang.language_code language
						from
							MTL_SYSTEM_ITEMS_B_KFV msi,
							MTL_CATEGORIES_B_KFV cat,
							po_approved_supplier_list apl,
							AP_SUPPLIERS pov,
							AP_SUPPLIER_SITES_ALL psa,
							mtl_manufacturers mma,
							FND_LOOKUP_VALUES plc,
							po_asl_statuses pst,
							hz_parties hp,
							HZ_PARTY_SITES HPS,
							hz_organization_profiles org_profile	,
							HZ_LOCATIONS HL,
							hz_geo_struct_map_dtl dtl,
							hz_geo_struct_map map,
							HR_ALL_ORGANIZATION_UNITS ORG,
              FND_LANGUAGES lang
						where
							pst.status_id = apl.asl_status_id
							and plc.lookup_type = 'ASL_VENDOR_BUSINESS_TYPE'
							and plc.lookup_code = apl.vendor_business_type
							and plc.VIEW_APPLICATION_ID = 201
              and lang.installed_flag in ('I', 'B')
							and nvl(plc.language, lang.language_code) = lang.language_code
							and SECURITY_GROUP_ID = fnd_global.lookup_security_group(plc.LOOKUP_TYPE,plc.VIEW_APPLICATION_ID)
							and mma.manufacturer_id (+) = apl.manufacturer_id
							and psa.vendor_site_id = apl.vendor_site_id
							and pov.vendor_id = apl.vendor_id
							and psa.org_id = org.organization_id(+)
							and cat.CATEGORY_ID (+) = apl.category_id
							and msi.inventory_item_id = apl.item_id
							and msi.INVENTORY_ITEM_ID(+)  = apl.ITEM_ID
							and msi.ORGANIZATION_ID(+) = apl.OWNING_ORGANIZATION_ID
							AND hp.party_id = pov.party_id
							AND HPS.PARTY_SITE_ID(+) = psa.PARTY_SITE_ID
							AND org_profile.party_id(+)           = pov.party_id
							AND org_profile.effective_end_date(+) IS NULL
							AND dtl.map_id(+)                         = map.map_id
							AND NVL(hl.address_style, 'XX')        = NVL(map.address_style, NVL(hl.address_style, 'XX'))
							AND NVL(map.loc_tbl_name, 'HZ_LOCATIONS')                   = 'HZ_LOCATIONS'
							AND map.country_code(+)                   = hl.country
							AND nvl(dtl.loc_seq_num, 2)                    = 2
							AND HL.LOCATION_ID(+) = HPS.LOCATION_ID
              AND apl.last_update_date &gt;= to_date(to_char(to_timestamp('24-APR-20'),'DD-MON-YY HH24.MI.SS'),'DD-MON-YY HH24.MI.SS') AND  LANG.LANGUAGE_CODE in ('US')
				) PIVOT (
				 MAX(BUSINESS_TYPE) AS BUSINESS_TYPE
				for LANGUAGE in ('US' "US")
				 )</t>
  </si>
  <si>
    <t xml:space="preserve">There is SQLException while applying load rule for dataset po-clm-solicitations for job 58,565.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</si>
  <si>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3136030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</si>
  <si>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58,565.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</si>
  <si>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3136027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</si>
  <si>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3136027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</si>
  <si>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3136027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</si>
  <si>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3136027 )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</si>
  <si>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3136027 )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</si>
  <si>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3136027 )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</si>
  <si>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3136024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</si>
  <si>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3136024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</si>
  <si>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3136024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</si>
  <si>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3136024 )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</si>
  <si>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3136024 )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</si>
  <si>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3136024 )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</si>
  <si>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3136023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</si>
  <si>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58,565.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</si>
  <si>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select * from (select
          orc.contract_id||'-'||ord.deliverable_id as ecc_spec_id,
          orc.contract_id acquisition_plan_summary,
          orc.contract_number acquisition_plan_number,
          orc.contract_name name,
          lkup1.meaning status,
          lkup1.language doc_language,
          orc.contract_status_code,
          orc.latest_signed_ver_number,
          orc.contract_version_num version,
          orc.version_comments,
          orc.contract_desc as description,
          orc.org_id,
          ou.name   operating_unit,
          orc.contract_type contract_type_code,
          docs.name contract_type,
          orc.owner_id,
          (select nvl(pf.full_name, fu.user_name)
          from   per_all_people_f   pf,
                  fnd_user    fu
          where  fu.user_id = orc.owner_id
          and    pf.person_id (+) = fu.employee_id
          and   (fu.employee_id is null or pf.effective_start_date = (select max(effective_start_date)
                                                                      from   per_all_people_f
                                                                      where  person_id = fu.employee_id)))  administrator,
          orc.currency_code currency,
          orc.amount,
          orc.contract_effective_date as effective_date,
          orc.contract_expiration_date as expiration_date,
          orc.reference_document_type source_doc_type,
          orc.reference_document_number source_doc_reference,
          orc.reference_document_id source_doc_id,
          (select nvl(pf.full_name, fu.user_name)
                  from   per_all_people_f   pf,
                        fnd_user    fu
                  where  fu.user_id = orc.contract_last_updated_by
                  and    pf.person_id (+) = fu.employee_id
                  and   (fu.employee_id is null or pf.effective_start_date = (select max(effective_start_date)
                                                                              from   per_all_people_f
                                                                              where  person_id = fu.employee_id))) last_updated_by,
          trunc(orc.contract_last_update_date) as last_updated_date,
          PO_ACQUISITION_ECC_UTIL_PVT.get_next_approver(orc.contract_id) AS next_approver_id,
          orc.authoring_party_code,
          orc.overall_risk_code,
          orc.cancellation_comments,
          orc.cancellation_date,
          orc.termination_comments,
          orc.termination_date,
          orc.keywords,
          orc.object_version_number,
          Trunc(orc.contract_expiration_date) - Trunc(orc.contract_effective_date) planned_duration,
          CASE
            when orc.contract_status_code &lt;&gt; 'APPROVED'
              THEN null
            when trunc(orc.contract_effective_date) &lt; trunc(sysdate)
              THEN Decode(
                  (SELECT 'INCOMPLETE' FROM okc_deliverables WHERE business_document_id=orc.contract_id AND deliverable_status&lt;&gt;'COMPLETED'
                    AND ROWNUM &lt;2),
                  'INCOMPLETE', (Trunc(SYSDATE) - Trunc(contract_effective_date)),
                  --NULL )
                  (SELECT Max(Trunc(completion_date)) FROM okc_deliverables WHERE orc.contract_id = business_document_id AND deliverable_status='COMPLETED'
                    --AND (business_document_version(+) = Decode(t1.contract_status_code,'APPROVED',t1.contract_version_num,-99))
                    ) - Trunc(orc.contract_effective_date))
            ELSE null
          end elapsed_duration,
          (SELECT
                LISTAGG(replace(wfn.TO_USER,',',''),'|') WITHIN GROUP  (ORDER BY orc.contract_id) AS approval_pending_with
                  FROM
                  wf_notifications wfn,
                  wf_item_activity_statuses wfa
                WHERE
                          wfn.notification_id = wfa.notification_id
                         AND wfa.item_type         = 'OKCREPMA'
                         AND SUBSTR(wfa.item_key, 0, INSTR(wfa.item_key, '_')-1) =  orc.WF_ITEM_KEY
                         AND wfn.status            = 'OPEN'
                  GROUP BY orc.contract_id) current_approvers,
          ord.deliverable_id milestone,
          ord.deliverable_type,
          ord.deliverable_name milestone_name,
          ord.description milestone_description,
          ord.fixed_due_date_yn,
          ord.actual_due_date due_date,
          ord.internal_party_contact_id,
          (select buyer_contact.full_name
            from   per_all_people_f buyer_contact
            where  buyer_contact.person_id = ord.internal_party_contact_id
            and  buyer_contact.effective_start_date &lt;= sysdate
            and (buyer_contact.effective_end_date is null or buyer_contact.effective_end_date&gt; sysdate)
          ) milestone_owner,
          ord.schedule_type,
          ord.fixed_start_date,
          ord.fixed_end_date,
          ord.internal_party_id,
          ord.deliverable_status milestone_status_code,
          CASE
            WHEN orc.contract_status_code='REJECTED' THEN lkup1.meaning
            WHEN ord.DELIVERABLE_STATUS='INACTIVE' THEN fnd_message.get_string('PO','PO_ECC_ACQUISITION_DRAFT')
            WHEN ord.DELIVERABLE_STATUS='COMPLETED' THEN PO_PON_ECC_UTIL_PVT.get_lookup_meaning(ord.deliverable_status,'OKC_DELIVERABLE_STATUS',0,lkup1.language)
            WHEN ord.DELIVERABLE_STATUS='FAILED_TO_PERFORM' THEN  PO_PON_ECC_UTIL_PVT.get_lookup_meaning(ord.deliverable_status,'OKC_DELIVERABLE_STATUS',0,lkup1.language)
            WHEN trunc(ord.actual_due_date) &gt;= SYSDATE and trunc(ord.actual_due_date) &lt; Trunc(NEXT_DAY(sysdate, 'SUNDAY')) AND ord.deliverable_status='OPEN'
            THEN  fnd_message.get_string('PO','PO_ECC_ACQUISITION_DUE')
            WHEN trunc(ord.actual_due_date) &lt; SYSDATE AND ord.deliverable_status='OPEN' THEN
            fnd_message.get_string('PO','PO_ECC_ACQUISITION_OVERDUE')
            ELSE fnd_message.get_string('PO','PO_ECC_ACQUISITION_OPEN')
          END milestone_status_derived,
          PO_PON_ECC_UTIL_PVT.get_lookup_meaning(ord.deliverable_status,'OKC_DELIVERABLE_STATUS',0,lkup1.language) milestone_status,
          ord.business_document_version,
          ord.start_event_date,
          ord.end_event_date,
          ord.del_category_code,
          ord.external_party_id,
          ord.external_party_contact_id,
          ord.external_party_role,
          ord.comments milestone_comments,
          ord.completion_date,
          Trunc(ord.actual_due_date) - Trunc(orc.contract_effective_date) milestone_planned_duration,
          CASE
          WHEN ord.deliverable_status='COMPLETED' THEN Trunc(ord.completion_date) -Trunc(orc.contract_effective_date)
          WHEN trunc(orc.contract_effective_date) &gt; trunc(sysdate) THEN null
          WHEN Trunc(orc.contract_effective_date) &lt; Trunc(SYSDATE) AND ord.actual_due_date IS NOT null THEN
               Trunc(SYSDATE) - Trunc(orc.contract_effective_date)
          end milestone_elapsed_duration
          FROM OKC_REP_CONTRACTS_ALL orc,
          okc_deliverables ord,
          FND_LOOKUP_VALUES  lkup1,
          HR_ALL_ORGANIZATION_UNITS_tl ou,
          okc_bus_doc_types_tl docs
          WHERE
          CONTRACT_TYPE='REP_ACQ'
          AND orc.creatioN_date &gt;= nvl(fnd_date.Canonical_to_date(fnd_profile.Value('PO_CLM_DASHBOARD_CUT_OFF')),orc.creation_date)
          AND orc.contract_id = ord.business_document_id(+)
          AND lkup1.lookup_type = 'OKC_REP_CONTRACT_STATUSES'
          AND   lkup1.lookup_code = orc.contract_status_code
          AND lkup1.language in ('US')
          and ou.organization_id = orc.org_id
          and ou.language = lkup1.language
          and docs.document_type = orc.contract_type
          and docs.language = lkup1.language
          AND ord.business_document_version(+) = Decode(orc.contract_status_code,'APPROVED',orc.contract_version_num,-99)
          AND orc.creatioN_date &gt;= nvl(fnd_date.Canonical_to_date(fnd_profile.Value('PO_CLM_DASHBOARD_CUT_OFF')),orc.creation_date)
          AND (Greatest(orc.last_update_date,Nvl(ord.last_update_date,orc.last_update_date)) &gt; to_date(to_char(to_timestamp('24-APR-20'),'DD-MON-YY HH24.MI.SS'),'DD-MON-YY HH24.MI.SS')
               OR
               orc.contract_effective_date &lt;= sysdate )
          ) pivot(Max(status) AS status,
                                     Max(milestone_status) AS milestone_status,
                                     Max(operating_unit) AS operating_unit,
                                     Max(contract_type) AS contract_type,
                                     Max(milestone_status_derived) AS milestone_status_derived
                                     FOR doc_language IN ('US' "US")) </t>
  </si>
  <si>
    <t>SELECT * from (select pah.auction_header_id||'-'|| prt.protest_id ECC_SPEC_ID,
        pah.auction_header_id,
        pah.document_number SOLICITATION_NUMBER,
        po_pon_ecc_util_pvt.get_auction_status(pah.auction_header_id, hrou.language) document_status,
        pon_locale_pkg.get_party_display_name(pah.trading_partner_contact_id,12,hrou.language) buyer,
        prt.protest_id
      ,prt.protest_number
      ,prt.description protest_description
      ,prt.protest_category protest_category_code
      ,PO_PON_ECC_UTIL_PVT.get_lookup_meaning(prt.protest_category,'PO_PROTEST_CATEGORY',201,HROU.LANGUAGE) protest_category
      ,prt.protest_status protest_status_code
      ,PO_PON_ECC_UTIL_PVT.get_lookup_meaning(prt.protest_status,'PO_PROTEST_STATUS',201,HROU.LANGUAGE) protest_status
      ,DECODE(prt.protest_status, 'CLOSED', 'No', 'Yes') pending_solicitation_protests
      ,prt.document_id protest_document_id
      ,prt.document_type protest_document_type_code
      ,prt.created_by protest_created_by_id
      ,pon_locale_pkg.get_party_display_name(users.person_party_id) protest_created_by
      ,PO_PON_ECC_UTIL_PVT.get_lookup_meaning(prt.document_type,'DOCUMENT TYPE',201,HROU.LANGUAGE) protest_Document_Type
      ,prt.protest_case_number
      ,prt.filing_date protest_filing_date
      ,prt.resolution_date protest_resolution_date
      ,decode(nvl(prt.protestor_in_system,'N'),'Y',PO_PON_ECC_UTIL_PVT.get_fnd_message ('PO_YES', '201',hrou.language),PO_PON_ECC_UTIL_PVT.get_fnd_message ('PO_NO', '201',hrou.language)) protestor_in_system
       ,prt.supplier_id protest_supplier_id,
        prt.supplier_contact_name protest_Supplier_User,
        prt.supplier_name protest_Supplier_Organization,
        prt.supplier_contact_id protest_supp_contact_id,
        prt.address protest_address,
        prt.phone protest_telephone_number,
        prt.email protest_email,
        prt.fax protest_fax,
        prt.cage_code protest_CAGE_NCAGE_Code,
        prt.duns protest_duns_number,
        HROU.LANGUAGE LANGUAGE,
        pah.org_id,
     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    po_protests prt,
        fnd_user users,
        pon_auction_headers_all pah,
        HR_ALL_ORGANIZATION_UNITS_TL HROU
WHERE   prt.document_type = 'SOLICITATION'
        AND pah.auction_status NOT IN ('APPLIED','DELETED')
        AND users.user_id=    prt.created_by
        AND pah.auction_header_id= prt.document_id
        AND HROU.ORGANIZATION_ID = pah.ORG_ID
        and HROU.language in ( 'US')
         AND prt.last_update_date &gt; to_date(to_char(to_timestamp('24-APR-20'),'DD-MON-YY HH24.MI.SS'),'DD-MON-YY HH24.MI.SS')) PIVOT (max(protest_category) as protest_category,
                         max(protest_status) as protest_status,
                         max(protest_Document_Type) as protest_Document_Type,
                         max(buyer) as buyer,
                         max(document_status) as document_status,
                         max(protestor_in_system) as  protestor_in_system
                         FOR LANGUAGE in ('US' "US"))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</si>
  <si>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3136020 )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</si>
  <si>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3136020 )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</si>
  <si>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3136020 )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</si>
  <si>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3136020 )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</si>
  <si>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3136020 ) PIVOT ( max(protest_document_type) as protest_document_type
                                             FOR language in ( 'US' "US"))</t>
  </si>
  <si>
    <t xml:space="preserve">There is SQLException while applying load rule for dataset po-clm-idv for job 58,565.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</si>
  <si>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 select pah.auction_header_id||'-'||deliverable.deliverable_id as ECC_SPEC_ID,
       deliverable.deliverable_id,
       pah.auction_header_id,
       pah.document_number solicitation_number,
       deliverable.business_document_id,
       deliverable.BUSINESS_DOCUMENT_NUMBER,
       deliverable.business_document_version,
       'Y' AS deliverables_record,
       deliverable.deliverable_name,
       deliverable.deliverable_status deliverable_status_code,
       PO_PON_ECC_UTIL_PVT.get_lookup_meaning(deliverable.deliverable_status,'OKC_DELIVERABLE_STATUS',0,deliverabletypes_tl.language) deliverable_status,
       deliverable.del_category_code,
       PO_PON_ECC_UTIL_PVT.get_lookup_meaning(deliverable.del_category_code,'OKC_DEL_CATEGORIES',0,deliverabletypes_tl.language) deliverable_category,
       deliverable.deliverable_type deliverable_type_code,
       deliverabletypes_tl.name deliverable_type,
       resp_party_tl.name responsible_party,
              (CASE deliverable.responsible_party WHEN 'INTERNAL_ORG' THEN
                org.name
               ELSE
                okc_deliverable_process_pvt.get_party_name(deliverable.external_party_id,deliverable.responsible_party)
               END) party_name,
               deliverable.description,
               (SELECT Name
              FROM   HR_ALL_ORGANIZATION_UNITS_TL  hrou
              WHERE  deliverable.internal_party_id = hrou.organization_id
                      and hrou.language = deliverabletypes_tl.language) Internal_Organization,
               (SELECT distinct buyer_contact.full_name
              FROM   per_all_people_f buyer_contact
              WHERE  buyer_contact.person_id = deliverable.internal_party_contact_id
               AND  buyer_contact.effective_start_date &lt;= SYSDATE
      AND (buyer_contact.effective_end_date is NULL OR buyer_contact.effective_end_date&gt; sysdate)
       )  Internal_Contact,
       (SELECT party_name
              FROM   hz_parties
              WHERE  party_id = deliverable.external_party_contact_id)  supplier_contact,
       (SELECT distinct requester_contact.full_name
              FROM   per_all_people_f requester_contact
              WHERE  deliverable.requester_id = requester_contact.person_id
              AND requester_contact.effective_start_date &lt;= SYSDATE
             AND (requester_contact.effective_end_date is NULL OR requester_contact.effective_end_date&gt; sysdate)
      ) requestor_name ,
      busdoc_tl.name Document_Type,
      deliverable.completion_date actual_date_of_completion,
      deliverable.actual_due_date due_date,
      deliverable.comments notes,
      deliverable.description deliverable_description,
   DECODE(deliverable.deliverable_status, 'OPEN', 'Yes', 'SUBMITTED', 'Yes', 'No') deliverable_due_flag,
   CASE
	 WHEN
	   deliverable.actual_due_date &lt; sysdate and deliverable.deliverable_status = 'OPEN'
	 THEN 'OA_MEDIA/warningind_status.gif'
   else
   null
   end deliverable_alert,
case
   when deliverable.completion_date is not null and deliverable.deliverable_status = 'COMPLETED' then
     case
       when deliverable.completion_date &lt;= deliverable.actual_due_date  then
        PO_PON_ECC_UTIL_PVT.get_fnd_message ('PO_YES', '201',deliverabletypes_tl.language)
       else
        PO_PON_ECC_UTIL_PVT.get_fnd_message ('PO_NO', '201',deliverabletypes_tl.language)
       end
     else
      null
     end as on_time_completion,
   deliverabletypes_tl.language language ,
   pah.org_id,
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  okc_deliverables deliverable,
  okc_deliverable_types_tl deliverabletypes_tl,
  hr_all_organization_units org,
  okc_resp_parties_tl resp_party_tl,
  okc_bus_doc_types_b busdoc,
  okc_bus_doc_types_tl busdoc_tl,
  pon_bid_headers pbh,
  pon_auction_headers_all pah
WHERE
  pah.auction_status NOT IN ('APPLIED','DELETED')
  AND pbh.auction_header_id=pah.auction_header_id
  AND deliverable.business_document_type='SOLICITATION_RESPONSE'
  AND deliverable.deliverable_status &lt;&gt; 'INACTIVE'
  AND deliverable.business_document_id=pbh.bid_number
  AND deliverable.deliverable_type = deliverabletypes_tl.deliverable_type_code
  AND deliverabletypes_tl.language = deliverabletypes_tl.language
  and deliverable.internal_party_id = org.organization_id (+)
  and deliverable.responsible_party = resp_party_tl.resp_party_code
  and busdoc.document_type_class = resp_party_tl.document_type_class
  and busdoc.intent = resp_party_tl.intent
  and resp_party_tl.language = deliverabletypes_tl.language
  and deliverable.business_document_type = busdoc.document_type
  and busdoc.intent = resp_party_tl.intent
  and busdoc.document_type = busdoc_tl.document_type
  AND busdoc_tl.language = deliverabletypes_tl.language
  and deliverabletypes_tl.language in ( 'US')
  AND (deliverable.last_update_date &gt; to_date(to_char(to_timestamp('24-APR-20'),'DD-MON-YY HH24.MI.SS'),'DD-MON-YY HH24.MI.SS')
                OR (trunc(deliverable.creation_date) &gt;= trunc(to_date(to_char(to_timestamp(nvl(fnd_date.Canonical_to_date(fnd_profile.Value('PO_CLM_DASHBOARD_CUT_OFF')),deliverable.creation_date)),'DD-MON-YY HH24.MI.SS'),'DD-MON-YY HH24.MI.SS'))
                     and deliverable.actual_due_date &lt; sysdate and deliverable.deliverable_status = 'OPEN'
                     and to_date(to_char(to_timestamp('24-APR-20'),'DD-MON-YY HH24.MI.SS'),'DD-MON-YY HH24.MI.SS')&lt;=deliverable.actual_due_date))) PIVOT (max(deliverable_status) as deliverable_status,
                         max(deliverable_category) as deliverable_category,
                         max(deliverable_type) as deliverable_type,
                         max(responsible_party) as responsible_party,
                         max(Document_Type) as Document_Type,
                         max(Internal_Organization) as Internal_Organization,
                         max(on_time_completion) as on_time_completion
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</si>
  <si>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3136019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3136019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</si>
  <si>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3136018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3136018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</si>
  <si>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58,565.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</si>
  <si>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to_date(to_char(to_timestamp('24-APR-20 03.48.09.000000 PM'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to_date(to_char(to_timestamp('24-APR-20 03.48.09.000000 PM'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to_date(to_char(to_timestamp('24-APR-20 03.48.09.000000 PM'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to_date(to_char(to_timestamp('24-APR-20 03.48.09.000000 PM'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</si>
  <si>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
(SELECT v.* ,dfv.* FROM
      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,ia_unit_actual_amt
       ,ia_unit_estimated_amt
       ,ia_act_estm_variance
       ,ia_unit_act_estm_variance
       ,ia_act_estm_variance_percent
       ,ia_matched_percent
       ,ia_unmatched_amt
       ,ia_unmatched_percent
       ,ia_charge_amt,ia_unit_charge_amt
       ,(ia_charge_amt - ia_charge_est_amt) CHARGE_VAR
       ,ia_tax_amt,ia_unit_tax_amt
       ,(ia_tax_amt - ia_tax_est_amt) TAX_VAR
       ,ia_item_amt,ia_unit_item_amt
       ,(ia_item_amt - ia_item_est_amt) ITEM_VAR
       ,ia_charge_est_amt
       ,ia_tax_est_amt
       ,ia_item_est_amt
       ,(ia_charge_amt + ia_tax_amt + ia_item_amt) i_total_amt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    from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,ia_actual_amt / isl_primary_qty ia_unit_actual_amt
       ,ia_estimated_amt / isl_primary_qty ia_unit_estimated_amt
       ,(ia_actual_amt - ia_estimated_amt) ia_act_estm_variance
       ,(ia_actual_amt / isl_primary_qty) - (ia_estimated_amt / isl_primary_qty) ia_unit_act_estm_variance
       ,to_number (decode (ia_estimated_amt
                                  ,0
                                  ,0
                                  ,round (((ia_actual_amt - ia_estimated_amt) * 100) / ia_estimated_amt
                                         ,2))) ia_act_estm_variance_percent
       ,decode (ia_estimated_amt
                       ,0
                       ,0
                       ,round (decode (sign (ia_matched_amt)
                                      ,- 1
                                      ,0
                                      ,(ia_matched_amt) * 100) / ia_estimated_amt
                              ,2)) ia_matched_percent
               ,decode (sign (ia_estimated_amt - ia_matched_amt)
                       ,- 1
                       ,0
                       ,(ia_estimated_amt - ia_matched_amt)) ia_unmatched_amt
               ,decode (ia_estimated_amt
                       ,0
                       ,0
                       ,round (decode (sign (ia_estimated_amt - ia_matched_amt)
                                      ,- 1
                                      ,0
                                      ,(ia_estimated_amt - ia_matched_amt) * 100) / ia_estimated_amt
                              ,2)) ia_unmatched_percent
               ,nvl (sum (CASE
                          WHEN    (
                                          ia_component_type_code = 'CHARGE'
                                  )
                                  THEN    ia_actual_amt END) OVER (PARTITION BY ecc_spec_id,language)
                    ,0) ia_charge_amt
               ,nvl (sum (CASE
                          WHEN    (
                                          ia_component_type_code = 'CHARGE'
                                  )
                                  THEN    ia_actual_amt/isl_primary_qty END) OVER (PARTITION BY ecc_spec_id,LANGUAGE)
                    ,0) ia_unit_charge_amt
               ,nvl (sum (CASE
                          WHEN    (
                                          ia_component_type_code = 'TAX'
                                  )
                                  THEN    ia_actual_amt END) OVER (PARTITION BY ecc_spec_id,language)
                    ,0) ia_tax_amt
               ,nvl (sum (CASE
                          WHEN    (
                                          ia_component_type_code = 'TAX'
                                  )
                                  THEN    ia_actual_amt/isl_primary_qty END) OVER (PARTITION BY ecc_spec_id,LANGUAGE)
                    ,0) ia_unit_tax_amt
               ,nvl (sum (CASE
                          WHEN    (
                                          ia_component_type_code = 'ITEM PRICE'
                                  )
                                  THEN    ia_actual_amt END) OVER (PARTITION BY ecc_spec_id,language)
                    ,0) ia_item_amt
               ,nvl (sum (CASE
                          WHEN    (
                                          ia_component_type_code = 'ITEM PRICE'
                                  )
                                  THEN    ia_actual_amt/isl_primary_qty END) OVER (PARTITION BY ecc_spec_id,LANGUAGE)
                    ,0) ia_unit_item_amt
               ,nvl (sum (CASE
                          WHEN    (
                                          ia_component_type_code = 'CHARGE'
                                  )
                                  THEN    ia_estimated_amt END) OVER (PARTITION BY ecc_spec_id,language)
                    ,0) ia_charge_est_amt
               ,nvl (sum (CASE
                          WHEN    (
                                          ia_component_type_code = 'TAX'
                                  )
                                  THEN    ia_estimated_amt END) OVER (PARTITION BY ecc_spec_id,language)
                    ,0) ia_tax_est_amt
               ,nvl (sum (CASE
                          WHEN    (
                                          ia_component_type_code = 'ITEM PRICE'
                                  )
                                  THEN    ia_estimated_amt END) OVER (PARTITION BY ecc_spec_id,language)
                    ,0) ia_item_est_amt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FROM    (SELECT  ish.ship_header_id
         || '-'
         || islg.ship_line_group_id
         || '-'
         || nvl (isl.parent_ship_line_id
                ,isl.ship_line_id)
         || '-'
         || aa.component_type_code
         || '-'
         || aa.component_reference ECC_spec_id
        ,'LC' ECC_record_type
        ,greatest (ish.last_update_date
                  ,islg.last_update_date
                  ,isl.last_update_date) ECC_last_update_date
        ,flv3.language
        ,ish.ship_header_id ish_shipment_header_id
        ,ish.ship_num ish_shipment_num
        ,stb.ship_type_code ish_shipment_type_code
        ,sttl.ship_type_name ish_shipment_type
        ,ish.ship_status_code ish_shipment_status_code
        ,flv2.description ish_shipment_status
        ,ish.ship_date ish_shipment_date
        ,ish.org_id ish_org_id
        ,ou.name ish_operating_unit
        ,ish.organization_id ish_organization_id
        ,mp.organization_code ish_organization_code
        ,hao.name ish_organization_name
        ,hrl1.location_code ish_location_code
        ,hrl1.country ish_country
        ,to_number (to_char (ish.ship_date
                            ,'YYYY')) ish_shipment_year
        ,to_char (ish.ship_date
                 ,'YYYY')
         || ' '
         || to_char (ish.ship_date
                    ,'WW') ish_shipment_year_week
        ,to_char (ish.ship_date
                 ,'YYYY')
         || ' '
         || to_char (ish.ship_date
                    ,'MM') ish_shipment_year_month
        ,to_char (ish.ship_date
                 ,'YYYY')
         || ' '
         || to_char (ish.ship_date
                    ,'Q') ish_shipment_year_quarter
        ,nvl (ish.pending_matching_flag
             ,'N') ish_pending_matching_flag
        ,ish.attribute_category ish_attribute_category
        ,ish.attribute1 ish_attribute1
        ,ish.attribute2 ish_attribute2
        ,ish.attribute3 ish_attribute3
        ,ish.attribute4 ish_attribute4
        ,ish.attribute5 ish_attribute5
        ,ish.attribute6 ish_attribute6
        ,ish.attribute7 ish_attribute7
        ,ish.attribute8 ish_attribute8
        ,ish.attribute9 ish_attribute9
        ,ish.attribute10 ish_attribute10
        ,ish.attribute11 ish_attribute11
        ,ish.attribute12 ish_attribute12
        ,ish.attribute13 ish_attribute13
        ,ish.attribute14 ish_attribute14
        ,ish.attribute15 ish_attribute15
        ,islg.ship_line_group_id islg_shipment_line_group_id
        ,islg.ship_line_group_num islg_line_group_num
        ,islg.ship_line_group_reference islg_line_group_reference
        ,hp1.party_name islg_party_name
        ,hps1.party_site_name islg_party_site_name
        ,hl.country islg_party_site_country
        ,isl.ship_line_id isl_shipment_line_id
        ,isl.parent_ship_line_id isl_parent_shipment_line_id
        ,isl.ship_line_num isl_shipment_line_num
        ,msic.concatenated_segments isl_item
        ,msitl.description isl_item_description
        ,mcc.concatenated_segments isl_item_category_code
        ,mc.description isl_item_ctg_desc
        ,isl.primary_qty isl_primary_qty
        ,isl.primary_uom_code isl_primary_uom_code
        ,isl.primary_unit_price isl_primary_unit_price
        ,isl.attribute_category isl_attribute_category
        ,isl.attribute1 isl_attribute1
        ,isl.attribute2 isl_attribute2
        ,isl.attribute3 isl_attribute3
        ,isl.attribute4 isl_attribute4
        ,isl.attribute5 isl_attribute5
        ,isl.attribute6 isl_attribute6
        ,isl.attribute7 isl_attribute7
        ,isl.attribute8 isl_attribute8
        ,isl.attribute9 isl_attribute9
        ,isl.attribute10 isl_attribute10
        ,isl.attribute11 isl_attribute11
        ,isl.attribute12 isl_attribute12
        ,isl.attribute13 isl_attribute13
        ,isl.attribute14 isl_attribute14
        ,isl.attribute15 isl_attribute15
        ,gll.currency_code ia_currency_code
        ,aa.component_type_code ia_component_type_code
        ,flv1.description ia_component_type
        ,aa.component_reference_id ia_component_reference_id
        ,CASE
        WHEN    aa.component_type_code = 'CHARGE'
                THEN
                        (
                        SELECT  pet1.name
                        FROM    pon_price_element_types_tl pet1
                        WHERE   pet1.price_element_type_id = aa.component_reference_id
                        AND     pet1.language = flv3.language
                        )
        WHEN    aa.component_type_code = 'ITEM PRICE'
                THEN
                        (
                        SELECT  islt.ship_line_type_name
                        FROM    inl_ship_line_types_tl islt
                        WHERE   islt.ship_line_type_id = aa.component_reference_id
                        AND     islt.language = flv3.language
                        )
        ELSE    aa.component_reference END ia_component_reference
        ,round (aa.allocation_amt
               ,2) ia_actual_amt
        ,round (aa.estimated_allocation_amt
               ,2) ia_estimated_amt
        ,decode (aa.from_parent_table_name
                ,'INL_SHIP_LINES'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,m.to_parent_table_id
                                     ,m.match_id
                                     ,m.parent_match_id
                                     ,m.matched_amt
                                     ,
                                      (
                                      SELECT  max (m2.match_id)
                                      FROM    inl_matches m2
                                      WHERE   m2.ship_header_id =
							m.ship_header_id
                                      AND     nvl (m2.parent_match_id
                                                  ,m2.match_id) = nvl
							(m.parent_match_id
							,m.match_id)
                                      ) last_match_id
                              FROM    inl_matches m
                              WHERE   m.match_type_code
                                      || '' = 'ITEM'
                              AND     m.to_parent_table_name =
					'INL_SHIP_LINES'
                              ) m1
                      WHERE   m1.ship_header_id = ish.ship_header_id
                      AND     m1.to_parent_table_id = nvl
							(isl.parent_ship_line_id
							,isl.ship_line_id)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							(isl.parent_ship_line_id
							,isl.ship_line_id)
                      CONNECT BY PRIOR m1.match_id = m1.parent_match_id
                      )
                     ,0)
                ,'INL_CHARGE_LINES'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,m.charge_line_type_id
                                     ,
                                      (
                                      SELECT  max (m2.match_id)
                                      FROM    inl_matches m2
                                      WHERE   m2.ship_header_id =
						m.ship_header_id
                                      AND     nvl (m2.parent_match_id
                                                  ,m2.match_id) = nvl
								(m.parent_match_id
								,m.match_id)
                                      ) last_match_id
                              FROM    inl_matches m
                              WHERE   m.match_type_code
                                      || '' = 'CHARGE'
                              AND     m.to_parent_table_name =
						'INL_SHIP_LINES'
                              ) m1
                      WHERE   m1.ship_header_id = ish.ship_header_id
                      AND     m1.to_parent_table_id = nvl
(isl.parent_ship_line_id
,isl.ship_line_id)
                      AND     m1.charge_line_type_id =
aa.component_reference_id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m1.charge_line_type_id =
aa.component_reference_id
                      CONNECT BY PRIOR m1.match_id = m1.parent_match_id
                      )
                     ,0)
                ,'INL_TAX_LINES'
                ,nvl (
                      (
                      SELECT  sum (nvl (round (m1.matched_amt
                                              ,2)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,m.tax_code
                                     ,
                                      (
                                      SELECT  max (m2.match_id)
                                      FROM    inl_matches m2
                                      WHERE   m2.ship_header_id =
m.ship_header_id
                                      AND     nvl (m2.parent_match_id
                                                  ,m2.match_id) = nvl
(m.parent_match_id
,m.match_id)
                                      ) last_match_id
                              FROM    inl_matches m
                              WHERE   m.to_parent_table_name =
'INL_SHIP_LINES'
                              AND     m.match_type_code
                                      || '' = 'TAX'
                              ) m1
                      WHERE   m1.ship_header_id = ish.ship_header_id
                      AND     m1.to_parent_table_id = nvl
(isl.parent_ship_line_id
,isl.ship_line_id)
                      AND     m1.tax_code = aa.component_reference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m1.tax_code = aa.component_reference
                      CONNECT BY PRIOR m1.match_id = m1.parent_match_id
                      )
                     ,0)
                ,NULL) ia_matched_amt
        ,ph.segment1 ph_po_num
        ,ph.creation_date ph_po_creation_date
        ,flv3.meaning ph_po_type
        ,pbv.full_name ph_po_agent_name
        ,pl.line_num pl_po_line_num
        ,pl.vendor_product_num pl_supplier_item
        ,pl.unit_price pl_unit_price
        ,nvl (pl.closed_flag
             ,'Y') pl_line_closed_flag
        ,pll.shipment_num pll_po_shipment_num
        ,pll.need_by_date pll_need_by_date
        ,pll.promised_date pll_promised_date
        ,decode (sign (nvl (pll.closed_for_receiving_date
                           ,sysdate + 1) - sysdate)
                ,1
                ,'N'
                ,0
                ,'Y'
                ,'Y') pll_closed_for_receiving_flag
        ,decode (sign (nvl (pll.closed_for_invoice_date
                           ,sysdate + 1) - sysdate)
                ,1
                ,'N'
                ,0
                ,'Y'
                ,'Y') pll_closed_for_invoicing_flag
        ,pll.quantity * pl.unit_price pll_amount
        ,rsh.receipt_num rsh_receipt_num
        ,rsh.creation_date rsh_receipt_date
        ,hrl3.location_code rsh_ship_to_location_code
        ,rsh.bill_of_lading rsh_bill_of_lading
        ,rsh.packing_slip rsh_packing_slip
        ,rsh.shipped_date rsh_shipped_date
        ,rsh.waybill_airbill_num rsh_waybill_airbill_num
        ,hrl2.location_code rsl_deliver_to_location_code
        ,rsl.container_num rsl_container_num
FROM    (
         SELECT  a.ship_header_id
                ,a.ship_line_id
                ,a.adjustment_num
                ,a.from_parent_table_name
                ,a.component_type_code
                ,a.component_reference
                ,a.component_reference_id
                ,sum (nvl (a.allocation_amt
                          ,0)) allocation_amt
                ,sum (nvl (a.estimated_allocation_amt
                          ,0)) estimated_allocation_amt
         FROM    (
                 SELECT
                         ia.ship_header_id
                        ,ship_line_id
                        ,ia.adjustment_num
                        ,from_parent_table_name
                        ,decode (from_parent_table_name
                                ,'INL_SHIP_LINES'
                                ,'ITEM PRICE'
                                ,'INL_CHARGE_LINES'
                                ,'CHARGE'
                                ,'INL_TAX_LINES'
                                ,'TAX'
                                ,NULL) component_type_code
                        ,decode (from_parent_table_name
                                ,'INL_SHIP_LINES'
                                ,
                                 (
                                 SELECT   DISTINCT TO_CHAR(ISLT.SHIP_LINE_TYPE_ID)
                                 FROM    inl_ship_line_types_tl islt
                                        ,inl_ship_lines_all isl
                                 WHERE   islt.ship_line_type_id =
isl.ship_line_type_id
                                 AND     isl.ship_line_id =
from_parent_table_id
                                 )
                                ,'INL_CHARGE_LINES'
                                ,
                                 (
                                 SELECT DISTINCT TO_CHAR(petl.PRICE_ELEMENT_TYPE_ID)
                                 FROM    pon_price_element_types_tl petl
                                        ,inl_charge_lines cl
                                 WHERE   petl.price_element_type_id =
cl.charge_line_type_id
                                 AND  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
                        ,decode (from_parent_table_name
                                ,'INL_SHIP_LINES'
                                ,
                                 (
                                 SELECT  to_char (isl.ship_line_type_id)
                                 FROM    inl_ship_lines_all isl
                                 WHERE   isl.ship_line_id =
from_parent_table_id
                                 )
                                ,'INL_CHARGE_LINES'
                                ,
                                 (
                                 SELECT  to_char (cl.charge_line_type_id)
                                 FROM    inl_charge_lines cl
                                 WHERE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component_reference_id
                        ,allocation_amt
                        ,decode (parent_allocation_id
                                ,NULL
                                ,0
                                ,first_value (nvl (allocation_amt
                                                  ,0)) OVER (PARTITION
BY ia.ship_header_id
,parent_allocation_id
                                                             ORDER BY
ia.adjustment_num) ) estimated_allocation_amt
                 FROM    inl_allocations ia
                        ,inl_ship_headers_all ish
                 WHERE   ia.landed_cost_flag = 'Y'
                 AND     ish.last_update_date &gt; to_date(to_char(to_timestamp('24-APR-20'),'DD-MON-YY HH24.MI.SS'),'DD-MON-YY HH24.MI.SS')
                 AND     ish.ship_header_id = ia.ship_header_id
                 ) a
         GROUP BY a.ship_header_id
                 ,a.ship_line_id
                 ,a.adjustment_num
                 ,a.from_parent_table_name
                 ,a.component_type_code
                 ,a.component_reference
                 ,a.component_reference_id
         ) aa
        ,fnd_lookup_values flv3
        ,fnd_lookup_values flv2
        ,fnd_lookup_values flv1
        ,inl_ship_types_tl sttl
        ,inl_ship_types_b stb
        ,inl_ship_headers_all ish
        ,inl_ship_line_groups islg
        ,gl_ledgers gll
        ,rcv_shipment_headers rsh
        ,rcv_shipment_lines rsl
        ,mtl_system_items_tl msitl
        ,mtl_system_items_kfv msic
        ,inl_ship_lines_all isl
        ,mtl_parameters mp
        ,hr_all_organization_units hao
        ,hr_locations_all hrl3
        ,hr_locations_all hrl2
        ,hr_locations_all hrl1
        ,hz_parties hp1
        ,hz_party_sites hps1
        ,hz_locations hl
        ,po_line_locations_all pll
        ,po_lines_all pl
        ,po_headers_all ph
        ,per_all_people_f pbv
        ,mtl_categories_tl mc
        ,mtl_categories_kfv mcc
        ,hr_operating_units ou
WHERE   ou.organization_id = ish.org_id
AND     ou.set_of_books_id = gll.ledger_id
AND     flv3.lookup_code = ph.type_lookup_code
AND     flv3.lookup_type = 'PO TYPE'
AND     flv2.lookup_code = ish.ship_status_code
AND     flv2.lookup_type = 'INL_SHIP_STATUSES'
AND     flv2.language =  flv3.language
AND     decode (aa.from_parent_table_name
                ,'INL_SHIP_LINES'
                ,'SL'
                ,'INL_CHARGE_LINES'
                ,'CHL'
                ,'INL_TAX_LINES'
                ,'TXL'
                ,NULL) = flv1.lookup_code
AND     flv1.lookup_type = 'INL_COMPONENTS'
AND     flv1.language =  flv3.language
AND     hrl3.location_id (+) = rsh.ship_to_location_id
AND     hrl2.location_id (+) = rsl.deliver_to_location_id
AND     hrl1.location_id (+) = ish.location_id
AND     mc.category_id (+) = mcc.category_id
AND    ( mc.language IS NULL OR mc.language= flv3.language)
AND     mcc.category_id (+) = pl.category_id
AND     msitl.organization_id = msic.organization_id
AND     msitl.inventory_item_id = msic.inventory_item_id
AND     msitl.language =flv3.language
AND     msic.organization_id = ish.organization_id
AND     hao.organization_id = ish.organization_id
AND     msic.inventory_item_id = isl.inventory_item_id
AND     hl.location_id (+) = hps1.location_id
AND     hps1.party_site_id (+) = islg.party_site_id
AND     hp1.party_id (+) = islg.party_id
AND     pbv.person_id = ph.agent_id
AND     sysdate BETWEEN nvl (pbv.effective_start_date
                             ,sysdate - 1)
                 AND     nvl (pbv.effective_end_date
                             ,sysdate + 1)
AND     sttl.ship_type_id = stb.ship_type_id
AND     sttl.language =  flv3.language
AND     stb.ship_type_id = ish.ship_type_id
AND     mp.organization_id = ish.organization_id
AND     rsh.shipment_header_id (+) = rsl.shipment_header_id
AND     rsl.lcm_shipment_line_id (+) = nvl (isl.parent_ship_line_id
                                            ,isl.ship_line_id)
AND     NOT EXISTS
             (
             SELECT  'X'
             FROM    rcv_transactions a
                    ,rcv_shipment_headers b
             WHERE   a.lcm_shipment_line_id = isl.ship_line_id
             AND     a.po_line_location_id = pll.line_location_id
             AND     b.shipment_header_id = a.shipment_header_id
             AND     b.asn_type IS NOT NULL
             AND     b.asn_type &lt;&gt; 'LCM'
             )
AND     ph.po_header_id = pl.po_header_id
AND     pl.po_line_id = pll.po_line_id
AND     pll.line_location_id = isl.ship_line_source_id
AND     aa.ship_header_id = ish.ship_header_id
AND     aa.ship_line_id = isl.ship_line_id
AND     aa.adjustment_num =
                             (
                             SELECT  max (adjustment_num)
                             FROM    inl_allocations a
                             WHERE   a.ship_header_id = aa.ship_header_id
                             )
AND     isl.ship_header_id = islg.ship_header_id
AND     isl.ship_line_group_id = islg.ship_line_group_id
AND     islg.ship_header_id = ish.ship_header_id
AND     ish.simulation_id IS NULL)) UNION SELECT  ecc_spec_id
       ,ecc_record_type
       ,ecc_last_update_date
       ,language
       ,ish_shipment_header_id
       ,ish_shipment_num
       ,ish_shipment_type_code
       ,ish_shipment_ty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</si>
  <si>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TO_DATE('25-APR-20 01:56:50','DD-MON-RR HH24:MI:SS') + 7 ))  AND (wdj.last_update_date &gt;= TO_DATE('25-APR-20 01:56:50','DD-MON-RR HH24:MI:SS')
                                                        OR wo.last_update_date &gt;= TO_DATE('25-APR-20 01:56:50','DD-MON-RR HH24:MI:SS')
                                                        OR we.last_update_date &gt;= TO_DATE('25-APR-20 01:56:50','DD-MON-RR HH24:MI:SS')
                                                        OR wmt.last_update_date &gt;= TO_DATE('25-APR-20 01:56:50','DD-MON-RR HH24:MI:SS')
                                                        OR bd.last_update_date &gt;= TO_DATE('25-APR-20 01:56:50','DD-MON-RR HH24:MI:SS')
                                                        OR bso.last_update_date &gt;= TO_DATE('25-APR-20 01:56:50','DD-MON-RR HH24:MI:SS')
                                                        OR mtr.last_update_date &gt;= TO_DATE('25-APR-20 01:56:50','DD-MON-RR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</si>
  <si>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TO_DATE('25-APR-20 01:56:50','DD-MON-RR HH24:MI:SS') + 7 )) AND (wdj.last_update_date &gt;= TO_DATE('25-APR-20 01:56:50','DD-MON-RR HH24:MI:SS')
													     OR we.last_update_date &gt;= TO_DATE('25-APR-20 01:56:50','DD-MON-RR HH24:MI:SS')
                                                         OR msn.last_update_date &gt;= TO_DATE('25-APR-20 01:56:50','DD-MON-RR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TO_DATE('25-APR-20 01:56:50','DD-MON-RR HH24:MI:SS')
													     OR we.last_update_date &gt;= TO_DATE('25-APR-20 01:56:50','DD-MON-RR HH24:MI:SS')
                                                         OR msn.last_update_date &gt;= TO_DATE('25-APR-20 01:56:50','DD-MON-RR HH24:MI:SS')
                                                         OR mog.last_update_date &gt;= TO_DATE('25-APR-20 01:56:50','DD-MON-RR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</si>
  <si>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TO_DATE('24-APR-20 14:00:33','DD-MON-RR HH24:MI:SS') + 7 ))  AND (wdj.last_update_date &gt;= TO_DATE('24-APR-20 14:00:33','DD-MON-RR HH24:MI:SS')
                                                        OR wo.last_update_date &gt;= TO_DATE('24-APR-20 14:00:33','DD-MON-RR HH24:MI:SS')
                                                        OR we.last_update_date &gt;= TO_DATE('24-APR-20 14:00:33','DD-MON-RR HH24:MI:SS')
                                                        OR wmt.last_update_date &gt;= TO_DATE('24-APR-20 14:00:33','DD-MON-RR HH24:MI:SS')
                                                        OR bd.last_update_date &gt;= TO_DATE('24-APR-20 14:00:33','DD-MON-RR HH24:MI:SS')
                                                        OR bso.last_update_date &gt;= TO_DATE('24-APR-20 14:00:33','DD-MON-RR HH24:MI:SS')
                                                        OR mtr.last_update_date &gt;= TO_DATE('24-APR-20 14:00:33','DD-MON-RR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</si>
  <si>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TO_DATE('24-APR-20 14:00:33','DD-MON-RR HH24:MI:SS') + 7 )) AND (wdj.last_update_date &gt;= TO_DATE('24-APR-20 14:00:33','DD-MON-RR HH24:MI:SS')
													     OR we.last_update_date &gt;= TO_DATE('24-APR-20 14:00:33','DD-MON-RR HH24:MI:SS')
                                                         OR msn.last_update_date &gt;= TO_DATE('24-APR-20 14:00:33','DD-MON-RR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TO_DATE('24-APR-20 14:00:33','DD-MON-RR HH24:MI:SS')
													     OR we.last_update_date &gt;= TO_DATE('24-APR-20 14:00:33','DD-MON-RR HH24:MI:SS')
                                                         OR msn.last_update_date &gt;= TO_DATE('24-APR-20 14:00:33','DD-MON-RR HH24:MI:SS')
                                                         OR mog.last_update_date &gt;= TO_DATE('24-APR-20 14:00:33','DD-MON-RR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</si>
  <si>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to_date(to_char(to_timestamp('24-APR-20 01.53.05.000000 PM'),'DD-MON-YY HH24.MI.SS'),'DD-MON-YY HH24.MI.SS'))) OR  ( to_date(to_char(e.inst_last_upd_date , 'DD-MON-YY HH24.MI.SS') , 'DD-MON-YY HH24.MI.SS' ) &gt;=  to_date(to_char(to_timestamp('24-APR-20 01.53.05.000000 PM'),'DD-MON-YY HH24.MI.SS'),'DD-MON-YY HH24.MI.SS'))  OR  ( to_date(to_char(coa.last_update_date , 'DD-MON-YY HH24.MI.SS') , 'DD-MON-YY HH24.MI.SS' ) &gt;=  to_date(to_char(to_timestamp('24-APR-20 01.53.05.000000 PM'),'DD-MON-YY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to_date(to_char(to_timestamp('24-APR-20 01.53.05.000000 PM'),'DD-MON-YY HH24.MI.SS'),'DD-MON-YY HH24.MI.SS')))))</t>
  </si>
  <si>
    <t>SELECT * FROM (SELECT * FROM CN_ECC_QUOTA_V
				WHERE ECC_LAST_UPDATE_DATE &gt;= to_date(to_char(to_timestamp('24-APR-20 01.38.38.000000 PM'),'DD-MON-YY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</si>
  <si>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to_date(to_char(to_timestamp('24-APR-20 01.38.38.000000 PM'),'DD-MON-YY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</si>
  <si>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to_date(to_char(to_timestamp('25-APR-20 01.25.14.000000 AM'),'DD-MON-YY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</si>
  <si>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to_date(to_char(to_timestamp('25-APR-20 01.25.14.000000 AM'),'DD-MON-YY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</si>
  <si>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to_date(to_char(to_timestamp('24-APR-20 01.24.15.000000 PM'),'DD-MON-YY HH24.MI.SS'),'DD-MON-YY HH24.MI.SS')
			and status_type IN (1,3, 6,17) </t>
  </si>
  <si>
    <t>SELECT * FROM ( select
ECC_SPEC_ID, RECORD_TYPE, RECORD_IDENTIFIER, v.ORGANIZATION_ID, ORGCODE, ORGNAME, v.BATCH_ID, BATCH_NO, BATCH_STATUS,
BATCH_STATUS_DESCRIPTION,BATCH_TYPE, BATCH_TYPE_DESCRIPTION, BATCH_DELAYED, BATCH_DELAY_TIME, BATCH_DELAY_STRING, BATCH_TERMINATED_IND, RECIPE_VALIDITY_RULE_ID,
ROUTINGID, PLANNEDSTARTDATE,PLANNEDCOMPDATE, ACTUALSTARTDATE, ACTUALCOMPDATE, CLOSEDATE, DUEDATE, FORMULA_ID, FORMULA_NO,
FORMULA_VERS, FORMULADESC, RECIPE_ID, RECIPE_NO, RECIPE_STATUS, RECIPE_STATUS_DESC,RECIPE_VERSION,
RECIPE_DESCRIPTION, ROUTING_NO, ROUTING_VERSION, ROUTING_DESCRIPTION, ROUTING_CLASS, ROUTING_STATUS, ROUTING_STATUS_DESC, FPO_ID, BATCH_HOLD_IND, HOLD_REASON, HOLD_START_DATE,
HOLD_COMMENTS, HOLD_REQUESTOR, BATCH_HOLD_TYPE, MATERIAL_DETAIL_ID, LINE_TYPE, LINE_DESCRIPTION, INVENTORY_ITEM_ID, ITEM_DESCRIPTION, ITEM, INVENTORY_PLANNING_CODE, PLANNER_CODE,
LINE_NO, PLANQTY,ACTUALQTY, WIPPLANQTY, DTL_UM, PLAN_MATERIAL_YIELD, WIP_PLAN_MATERIAL_YIELD, DTL_UNALLOC, STEPID, BATCHSTEP_NO, STEP_OPRN_NAME, STEP_OPRN_DESC, STEP_STATUS, STEPPLANNEDSTARTDATE,
STEPPLANNEDCOMPDATE, STEPACTUALSTARTDATE, STEPACTUALCOMPDATE, STEPCLOSEDATE, STEPPLANNEDQTY, STEPACTUALQTY, ROUTINGSTEPID, STEP_DELAYED,
STEP_DELAY_TIME, STEP_DELAY_STRING, ACTIVITY, BATCHSTEP_ACTVITY_ID, ACTPLANSTARTDATE, ACTPLANCOMPDATE, ACTACTUALSTARTDATE, ACTACTUALCOMPDATE, OPRN_LINE_ID, RES, RESOURCE_DESC,
RESPRIM_RSRC_IND, RESCAPACITY_UM, RESPLANLUSG, RESACTUALUSG, RESPLANQTY, RESACTUALQTY, RESPLANSTARTDATE, RESACTUALSTARTDATE, RESPLANCOMPDATE, RESACTUALCOMPDATE, RESUSAGE_UM,
RESRESOURCE_QTY_UM, RESPLAN_RSRC_COUNT,RESACTUAL_RSRC_COUNT, PP_PROCESS_PARAM_ID, PP_PARAMETER_NAME, PP_PARAMETER_DESCRIPTION, PP_PARAMETER_ID, PP_ACTUAL_VALUE, PP_TARGET_VALUE, PP_MINIMUM_VALUE, PP_MAXIMUM_VALUE,
PP_PARAMETER_UOM, SAMPLE_ID, EVENT_SPEC_DISP_ID, RESULT_ID, SAMPLE_NUMBER, LAB_NAME, DISPOSITION, DISPOSITION_CODE, SAMPLESTEP_NO, SEQUENCE,
TEST, TEST_EVALUATION, RESULT, TARGET, UNIT, MIN_VALUE, MAX_VALUE, RESULT_DATE, TESTER, NONCONFORM_SEVERITY, NONCONFORMANCE_TYPE, NONCONFORMANCE_STATUS, NCM_DATE_OPENED,
NCM_PLAN_ID, NCM_COLLECTION_ID, NCM_OCCURRENCE, NCM_LAST_UPDATE_DATE, NONCONFORMANCE_NUMBER, NONCONFORMANCE_OWNER, NONCONFORMANCE_DESC, EID_LAST_UPDATE_DATE,
LANGUAGE, COMPLETED_TODAY, COMPLETED_LAST_WEEK, HAS_ACCEPTED_SAMPLES, HAS_REJECTED_SAMPLES, HAS_VARIANCE_SAMPLES,
TOTAL_NON_CONFORMANCES,NONCONFORMANCES 
from
OPM_ECC_QUALITY_V v
where
LAST_UPDATE_DATE &gt;= TO_DATE('24-APR-20','DD-MON-RR HH24:MI:SS')
and language in ('US')  )
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</si>
  <si>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SELECT * FROM (
select
ECC_SPEC_ID, RECORD_TYPE, RECORD_IDENTIFIER, v.ORGANIZATION_ID, ORGCODE, ORGNAME, v.BATCH_ID, BATCH_NO, BATCH_STATUS,
BATCH_STATUS_DESCRIPTION, BATCH_TYPE, BATCH_TYPE_DESCRIPTION, BATCH_DELAYED,
BATCH_DELAY_TIME, BATCH_DELAY_STRING, BATCH_TERMINATED_IND, RECIPE_VALIDITY_RULE_ID, ROUTINGID,
PLANNEDSTARTDATE, PLANNEDCOMPDATE, ACTUALSTARTDATE, ACTUALCOMPDATE, CLOSEDATE, DUEDATE, FORMULA_ID, FORMULA_NO, FORMULA_VERS,
FORMULADESC, RECIPE_ID, RECIPE_NO, RECIPE_STATUS, RECIPE_STATUS_DESC, RECIPE_VERSION, RECIPE_DESCRIPTION, ROUTING_NO,
ROUTING_VERSION, ROUTING_DESCRIPTION, ROUTING_CLASS, ROUTING_STATUS, ROUTING_STATUS_DESC, FPO_ID, BATCH_HOLD_IND,
HOLD_REASON, HOLD_START_DATE, HOLD_COMMENTS, HOLD_REQUESTOR, BATCH_HOLD_TYPE, MATERIAL_DETAIL_ID, LINE_TYPE, LINE_DESCRIPTION,
INVENTORY_ITEM_ID, ITEM_DESCRIPTION, ITEM, INVENTORY_PLANNING_CODE, PLANNER_CODE, LINE_NO, PLANQTY, ACTUALQTY,
WIPPLANQTY, DTL_UM, PLAN_MATERIAL_YIELD, WIP_PLAN_MATERIAL_YIELD, DTL_UNALLOC, STEPID, BATCHSTEP_NO, STEP_OPRN_NAME
, STEP_OPRN_DESC, STEP_STATUS, STEPPLANNEDSTARTDATE, STEPPLANNEDCOMPDATE, STEPACTUALSTARTDATE, STEPACTUALCOMPDATE, STEPCLOSEDATE, STEPPLANNEDQTY, STEPACTUALQTY, ROUTINGSTEPID, STEP_DELAYED, STEP_DELAY_TIME, STEP_DELAY_STRING, ACTIVITY,
BATCHSTEP_ACTVITY_ID, ACTPLANSTARTDATE, ACTPLANCOMPDATE, ACTACTUALSTARTDATE, ACTACTUALCOMPDATE, OPRN_LINE_ID, RES, RESOURCE_DESC, RESPRIM_RSRC_IND,
RESCAPACITY_UM, RESPLANLUSG,RESACTUALUSG, RESPLANQTY, RESACTUALQTY, RESPLANSTARTDATE, RESACTUALSTARTDATE,
RESPLANCOMPDATE, RESACTUALCOMPDATE, RESUSAGE_UM, RESRESOURCE_QTY_UM, RESPLAN_RSRC_COUNT, RESACTUAL_RSRC_COUNT,
PP_PROCESS_PARAM_ID, PP_PARAMETER_NAME, PP_PARAMETER_DESCRIPTION, PP_PARAMETER_ID, PP_ACTUAL_VALUE, PP_TARGET_VALUE, PP_MINIMUM_VALUE, PP_MAXIMUM_VALUE, PP_PARAMETER_UOM,
CUSTOMER_NAME, ORDER_NUMBER, RESERVATION_ID, SALES_ORDER_ID, ORD_LINE_ID, ORDERED_ITEM,
REQUEST_DATE, PROMISE_DATE, ORDER_QUANTITY_UOM, ORDERED_QUANTITY, TRANSACTION_TYPE_ID, TRANSACTION_TYPE_NAME, REAS_TRANSACTION_DATE,
REAS_TRANS_ID, LOT_NUMBER, SUBINVENTORY, LOCATOR_ID, TRANSACTION_QUANTITY, PRIMARY_QUANTITY, SECONDARY_TRANSACTION_QUANTITY, PRIMARY_UOM_CODE, SECONDARY_UOM_CODE, LPN_ID, REASON_ID, REASON_NAME, DESCRIPTION, EXP_LOT_NUMBER, EXP_PARENT_LOT_NUMBER,
EXP_SUPPLIER_LOT_NUMBER, EXP_LOT_GRADE_CODE, EXPIRATION_DATE, EXPIRATION_PERIOD, EXP_SUBINVENTORY, EXP_LOCATOR_ID, OH_EXP_TRANSACTION_QUANTITY, OH_EXP_PRIMARY_QUANTITY, SAMPLE_ID, EVENT_SPEC_DISP_ID, RESULT_ID, SAMPLE_NUMBER, LAB_NAME, DISPOSITION,
DISPOSITION_CODE, SAMPLESTEP_NO, SEQUENCE, TEST, TEST_EVALUATION, RESULT, TARGET, UNIT, MIN_VALUE, MAX_VALUE,
RESULT_DATE, TESTER, NONCONFORM_SEVERITY, NONCONFORMANCE_TYPE, NONCONFORMANCE_STATUS, NCM_DATE_OPENED, NCM_PLAN_ID, NCM_COLLECTION_ID, NCM_OCCURRENCE, NCM_LAST_UPDATE_DATE, NONCONFORMANCE_NUMBER, NONCONFORMANCE_OWNER,
NONCONFORMANCE_DESC, EID_LAST_UPDATE_DATE,
LANGUAGE, STARTING_TODAY, COMPLETING_TODAY, STARTED_TODAY, COMPLETED_TODAY, COMPLETED_YESTERDAY,
STARTING_TOMORROW, COMPLETING_TOMORROW, UPCOMING, FINISH_DELAYED, STARTED_LATE, UNALLOC_PRDT, ON_TRACK, DELAYED,ON_HOLD,UNALLOCATED,LAST_UPDATE_DATE 
from OPM_ECC_V v
where
LAST_UPDATE_DATE &gt;= TO_DATE('24-APR-20','DD-MON-RR HH24:MI:SS')
and language in ('US')  )
PIVOT (max(BATCH_HOLD_IND) AS BATCH_HOLD_IND ,max(ORGNAME) AS ORGNAME,max(BATCH_STATUS_DESCRIPTION) AS BATCH_STATUS_DESCRIPTION,max(STEP_STATUS) AS STEP_STATUS,max(LINE_DESCRIPTION)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RESOURCE_DESC,max(STEP_OPRN_DESC) as STEP_OPRN_DESC for LANGUAGE in ('US' "US"))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</si>
  <si>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to_date(to_char(to_timestamp('24-APR-20 01.01.19.000000 PM'),'DD-MON-YY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</si>
  <si>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select * from (SELECT ECC_SPEC_ID
    ,PERSON_ID
               ,COMPETENCY_NAME
               ,COM_EFFECTIVE_DATE_FROM
               ,COM_EFFECTIVE_DATE_TO
    ,LOGGED_USER_ID
    ,SECURITY_PROFILE_ID
               ,COM_LAST_UPDATE_DATE
,LANGUAGE
FROM PER_ECC_COMPETENCY_V where language in ('US') and COM_LAST_UPDATE_DATE &gt;=  to_date(to_char(to_timestamp('24-APR-20' ),'DD-MON-YY HH24.MI.SS'),'DD-MON-YY HH24.MI.SS')) PIVOT (max(COMPETENCY_NAME) as COMPETENCY_NAME for LANGUAGE in ('US' "US"))</t>
  </si>
  <si>
    <t>select * from (SELECT ECC_SPEC_ID
    ,PERSON_ID
               ,QUALIFICATION
    ,LOGGED_USER_ID
    ,SECURITY_PROFILE_ID
               ,QUA_LAST_UPDATE_DATE
,LANGUAGE
FROM PER_ECC_QUALIFICATION_V where language in ('US') and QUA_LAST_UPDATE_DATE &gt;=  to_date(to_char(to_timestamp('24-APR-20' ),'DD-MON-YY HH24.MI.SS'),'DD-MON-YY HH24.MI.SS')) PIVOT (max(QUALIFICATION) as QUALIFICATION for LANGUAGE in ('US' "US"))</t>
  </si>
  <si>
    <t>select * from (SELECT ECC_SPEC_ID
    ,PERSON_ID
               ,PERFORMANCE_RATING
               ,REVIEW_DATE
    ,LOGGED_USER_ID
    ,SECURITY_PROFILE_ID
               ,PER_LAST_UPDATE_DATE
,LANGUAGE
FROM PER_ECC_PERFORMANCE_V where language in ('US') and PER_LAST_UPDATE_DATE &gt;=  to_date(to_char(to_timestamp('24-APR-20' ),'DD-MON-YY HH24.MI.SS'),'DD-MON-YY HH24.MI.SS')) PIVOT (max(PERFORMANCE_RATING) as PERFORMANCE_RATING for LANGUAGE in ('US' "US"))</t>
  </si>
  <si>
    <t>select * from (SELECT ECC_SPEC_ID
    ,PERSON_ID
               ,TAG
    ,LOGGED_USER_ID
    ,SECURITY_PROFILE_ID
               ,TAG_LAST_UPDATE_DATE
,LANGUAGE
FROM PER_ECC_TAG_V where language in ('US') and TAG_LAST_UPDATE_DATE &gt;=  to_date(to_char(to_timestamp('24-APR-20' ),'DD-MON-YY HH24.MI.SS'),'DD-MON-YY HH24.MI.SS')) PIVOT (max(TAG) as TAG for LANGUAGE in ('US' "US"))</t>
  </si>
  <si>
    <t>select * from (SELECT ECC_SPEC_ID
    ,PERSON_ID
               ,PHONE_NUMBER
    ,LOGGED_USER_ID
    ,SECURITY_PROFILE_ID
               ,PHN_LAST_UPDATE_DATE
,LANGUAGE
FROM PER_ECC_PHONE_V where language in ('US') and PHN_LAST_UPDATE_DATE &gt;=  to_date(to_char(to_timestamp('24-APR-20' ),'DD-MON-YY HH24.MI.SS'),'DD-MON-YY HH24.MI.SS')) PIVOT (max(PHONE_NUMBER) as PHONE_NUMBER for LANGUAGE in ('US' "US"))</t>
  </si>
  <si>
    <t>select * from (SELECT ECC_SPEC_ID
    ,PERSON_ID
               ,ADDRESS_STYLE
               ,ADDRESS_TYPE
               ,ADDRESS
               ,ADDRESS_DATE_FROM
               ,ADDRESS_DATE_TO
    ,LOGGED_USER_ID
    ,SECURITY_PROFILE_ID
               ,ADD_LAST_UPDATE_DATE
,LANGUAGE
FROM PER_ECC_ADDRESS_V where language in ('US') and ADD_LAST_UPDATE_DATE &gt;=  to_date(to_char(to_timestamp('24-APR-20' ),'DD-MON-YY HH24.MI.SS'),'DD-MON-YY HH24.MI.SS')) PIVOT (max(ADDRESS_TYPE) as ADDRESS_TYPE for LANGUAGE in ('US' "US"))</t>
  </si>
  <si>
    <t>select * from (SELECT ECC_SPEC_ID
                ,PERSON_ID
                ,USER_ID
               ,ASG_EFFECTIVE_START_DATE
               ,ASG_EFFECTIVE_END_DATE
               ,ASSIGNMENT_ID
               ,ASG_PRIMARY_FLAG
               ,EMPLOYEE_CATEGORY
               ,EMPLOYMENT_CATEGORY
               ,ASSIGNMENT_CATEGORY
               ,ASSIGNMENT_STATUS
               ,ASSIGNMENT_TYPE
               ,REMOTE_WORKER
               ,PROBATION_PERIOD
               ,BARGAINING_UNIT
               ,ORGANIZATION
               ,PEOPLE_GROUP
               ,JOB
               ,POSITION
               ,GRADE
               ,PAYROLL
               ,LOCATION
               ,GRADE_CHANGE
               ,JOB_CHANGE
               ,POSITION_CHANGE
               ,LOCATION_CHANGE
               ,ORGANIZATION_CHANGE
    ,SALARY_CHANGE
    ,COUNTRY
               ,SUPERVISOR
               ,SUPERVISOR_ID
               ,SUPERVISOR_USER_ID
               ,SALARY_BASIS
               ,REGULATORY_REGION
               ,DERIVED_LOCATION
               ,COORDINATES
    ,LOGGED_USER_ID
    ,SECURITY_PROFILE_ID
               ,ASG_LAST_UPDATE_DATE
               ,IS_MANAGER
,LANGUAGE
FROM PER_ECC_ASSIGNMENT_V where language in ('US') and ASG_LAST_UPDATE_DATE &gt;=  to_date(to_char(to_timestamp('24-APR-20' ),'DD-MON-YY HH24.MI.SS'),'DD-MON-YY HH24.MI.SS')) PIVOT (max(EMPLOYEE_CATEGORY) as EMPLOYEE_CATEGORY, max(EMPLOYMENT_CATEGORY) as EMPLOYMENT_CATEGORY,
  max(BARGAINING_UNIT) as BARGAINING_UNIT, max(COUNTRY) as COUNTRY, max(PROBATION_PERIOD) as PROBATION_PERIOD
                                                  , max(ORGANIZATION) as ORGANIZATION
                                                  , max(JOB) as JOB
                                                  , max(POSITION) as POSITION
                                                  , max(LOCATION) as LOCATION
                                                  , max(GRADE) as GRADE for LANGUAGE in ('US' "US"))</t>
  </si>
  <si>
    <t>select * from (SELECT ECC_SPEC_ID
        ,PERSON_ID
               ,PERSON
               ,IMAGE
               ,BUSINESS_GROUP_ID
               ,PEOPLE_EFFECTIVE_START_DATE
               ,PEOPLE_EFFECTIVE_END_DATE
               ,FIRST_NAME
               ,LAST_NAME
               ,MIDDLE_NAME
               ,KNOWN_AS
               ,FULL_NAME
               ,EMAIL_ADDRESS
               ,MARITAL_STATUS
               ,NATIONALITY
               ,PERSON_TYPE
               ,CURRENTLY_EMPLOYEE
               ,CURRENTLY_APPLICANT
               ,CURRENTLY_CONTINGENT_WORKER
               ,DATE_OF_BIRTH
               ,AGE
               ,BIRTH_ANNIVERSARY
               ,GENDER
               ,WORK_EXPERIENCE
               ,BLOOD_GROUP
               ,JOINING_DATE
               ,RELIEVING_DATE
               ,TENURE
               ,WORK_ANNIVERSARY
    ,LOGGED_USER_ID
    ,SECURITY_PROFILE_ID
               ,PEO_LAST_UPDATE_DATE
,LANGUAGE
FROM PER_ECC_PEOPLE_V where language in ('US') and PEO_LAST_UPDATE_DATE &gt;=  to_date(to_char(to_timestamp('24-APR-20' ),'DD-MON-YY HH24.MI.SS'),'DD-MON-YY HH24.MI.SS')) PIVOT (max(MARITAL_STATUS) as MARITAL_STATUS, max(NATIONALITY) as NATIONALITY, max(GENDER) as GENDER, max(PERSON_TYPE) as PERSON_TYPE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</si>
  <si>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QA_ECC_RESULTS_NC_V WHERE ECC_LAST_UPDATE_DATE &gt;= to_date('24-APR-20','DD-MON-YYYY HH24:MI:SS') AND LANGUAGE IN ('US'))
                                PIVOT ( MAX(ITEM_DESCRIPTION) AS ITEM_DESCRIPTION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</si>
  <si>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QA_ECC_RESULTS_V WHERE ECC_LAST_UPDATE_DATE &gt;= to_date('24-APR-20','DD-MON-RR HH24:MI:SS') AND LANGUAGE IN ('US'))
                                  PIVOT ( MAX(ITEM_DESCRIPTION) AS ITEM_DESCRIPTION FOR LANGUAGE IN ('US' "US"))</t>
  </si>
  <si>
    <t>SELECT * FROM ( SELECT TX_DESC,DATE_BUCKET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,TXN_NUMEBR,ECC_SPEC_ID,PLAN_NAME,PLAN_DESCRIPTION,PLAN_TYPE,PLAN_ID FROM QA_ECC_RESULTS_CA_V WHERE ECC_LAST_UPDATE_DATE &gt;= to_date('24-APR-20','DD-MON-RR HH24:MI:SS') AND LANGUAGE IN ('US'))
                                PIVOT ( MAX(ITEM_DESCRIPTION) AS ITEM_DESCRIPTION FOR LANGUAGE IN ('US' "US"))</t>
  </si>
  <si>
    <t>54s</t>
  </si>
  <si>
    <t>select * from (  select * from ICX_CAT_ECC_100793_VL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</si>
  <si>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</si>
  <si>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</si>
  <si>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</si>
  <si>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</si>
  <si>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</si>
  <si>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</si>
  <si>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</si>
  <si>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</si>
  <si>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</si>
  <si>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</si>
  <si>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</si>
  <si>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</si>
  <si>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</si>
  <si>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</si>
  <si>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</si>
  <si>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</si>
  <si>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</si>
  <si>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</si>
  <si>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</si>
  <si>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</si>
  <si>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</si>
  <si>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</si>
  <si>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</si>
  <si>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</si>
  <si>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</si>
  <si>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</si>
  <si>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</si>
  <si>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</si>
  <si>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</si>
  <si>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</si>
  <si>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</si>
  <si>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</si>
  <si>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</si>
  <si>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</si>
  <si>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</si>
  <si>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</si>
  <si>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</si>
  <si>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</si>
  <si>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</si>
  <si>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</si>
  <si>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</si>
  <si>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</si>
  <si>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</si>
  <si>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</si>
  <si>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</si>
  <si>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</si>
  <si>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</si>
  <si>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</si>
  <si>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</si>
  <si>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</si>
  <si>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</si>
  <si>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</si>
  <si>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</si>
  <si>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</si>
  <si>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</si>
  <si>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</si>
  <si>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</si>
  <si>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</si>
  <si>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</si>
  <si>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</si>
  <si>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</si>
  <si>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</si>
  <si>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</si>
  <si>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</si>
  <si>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</si>
  <si>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</si>
  <si>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</si>
  <si>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</si>
  <si>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</si>
  <si>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</si>
  <si>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</si>
  <si>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</si>
  <si>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</si>
  <si>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</si>
  <si>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</si>
  <si>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</si>
  <si>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</si>
  <si>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</si>
  <si>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</si>
  <si>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</si>
  <si>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</si>
  <si>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</si>
  <si>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</si>
  <si>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</si>
  <si>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</si>
  <si>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</si>
  <si>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</si>
  <si>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</si>
  <si>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</si>
  <si>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</si>
  <si>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</si>
  <si>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</si>
  <si>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</si>
  <si>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</si>
  <si>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</si>
  <si>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</si>
  <si>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</si>
  <si>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</si>
  <si>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</si>
  <si>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</si>
  <si>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</si>
  <si>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</si>
  <si>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</si>
  <si>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</si>
  <si>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</si>
  <si>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</si>
  <si>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</si>
  <si>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</si>
  <si>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</si>
  <si>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</si>
  <si>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</si>
  <si>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</si>
  <si>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</si>
  <si>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</si>
  <si>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</si>
  <si>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</si>
  <si>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</si>
  <si>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</si>
  <si>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</si>
  <si>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</si>
  <si>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</si>
  <si>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</si>
  <si>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</si>
  <si>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</si>
  <si>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</si>
  <si>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</si>
  <si>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</si>
  <si>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</si>
  <si>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</si>
  <si>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</si>
  <si>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</si>
  <si>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</si>
  <si>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</si>
  <si>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</si>
  <si>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</si>
  <si>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</si>
  <si>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</si>
  <si>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</si>
  <si>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</si>
  <si>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</si>
  <si>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</si>
  <si>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</si>
  <si>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</si>
  <si>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</si>
  <si>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to_date(to_char(to_timestamp('24-APR-20 12.08.36.000000 PM'),'DD-MON-YY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</si>
  <si>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to_date(to_char(to_timestamp('24-APR-20 12.08.36.000000 PM'),'DD-MON-YY HH24.MI.SS'),'DD-MON-YY HH24.MI.SS') </t>
  </si>
  <si>
    <t xml:space="preserve">SELECT
              ecc_spec_id,
              zonesi
              from icx_cat_ecc_zones_i WHERE ECC_LAST_UPDATE_DATE &gt;=  to_date(to_char(to_timestamp('24-APR-20 12.08.36.000000 PM'),'DD-MON-YY HH24.MI.SS'),'DD-MON-YY HH24.MI.SS') </t>
  </si>
  <si>
    <t xml:space="preserve">SELECT
              ecc_spec_id,
              zonesp
              from icx_cat_ecc_zones_p WHERE ECC_LAST_UPDATE_DATE &gt;=  to_date(to_char(to_timestamp('24-APR-20 12.08.36.000000 PM'),'DD-MON-YY HH24.MI.SS'),'DD-MON-YY HH24.MI.SS') </t>
  </si>
  <si>
    <t xml:space="preserve">SELECT
              ecc_spec_id,
              zonesb
              from icx_cat_ecc_zones_b WHERE ECC_LAST_UPDATE_DATE &gt;=  to_date(to_char(to_timestamp('24-APR-20 12.08.36.000000 PM'),'DD-MON-YY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</si>
  <si>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to_date(to_char(to_timestamp('24-APR-20 12.08.36.000000 PM'),'DD-MON-YY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</si>
  <si>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to_date(to_char(to_timestamp('24-APR-20 12.08.36.000000 PM'),'DD-MON-YY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</si>
  <si>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to_date(to_char(to_timestamp('24-APR-20 10.56.28.000000 AM'),'DD-MON-YY HH.MI.SS'),'DD-MON-YY HH.MI.SS')) PIVOT ( Max(source_doc_type) AS source_doc_type,
          Max(source_name) AS source_name,
          Max(item_description) AS item_description for LANGUAGE in ( 'US' "US"))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</si>
  <si>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to_date(to_char(to_timestamp('24-APR-20 10.56.28.000000 AM'),'DD-MON-YY HH.MI.SS'),'DD-MON-YY HH.MI.SS') UNION ALL SELECT ECC_SPEC_ID from RCV_ECC_RECEIPTS_ASNLCM_V
WHERE SHIPMENT_LINE_STATUS_CODE in('FULLY RECEIVED', 'CANCELLED')
 AND last_update_date &gt;  to_date(to_char(to_timestamp('24-APR-20 10.56.28.000000 AM'),'DD-MON-YY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to_date(to_char(to_timestamp('24-APR-20 10.56.28.000000 AM'),'DD-MON-YY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to_date(to_char(to_timestamp('24-APR-20 10.56.28.000000 AM'),'DD-MON-YY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to_date(to_char(to_timestamp('24-APR-20 10.56.28.000000 AM'),'DD-MON-YY HH.MI.SS'),'DD-MON-YY HH.MI.SS')</t>
  </si>
  <si>
    <t>25m 9s</t>
  </si>
  <si>
    <t>25m 1s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</si>
  <si>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to_date(to_char(to_timestamp('24-APR-20 06.47.21.000000 AM'),'DD-MON-YY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</si>
  <si>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to_date(to_char(to_timestamp('24-APR-20 06.47.21.000000 AM'),'DD-MON-YY HH24.MI.SS'),'DD-MON-YY HH24.MI.SS') </t>
  </si>
  <si>
    <t xml:space="preserve">There is SQLException while applying load rule for dataset okl-cash for job 57,977.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</si>
  <si>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(select
record_type,
ecc_spec_id,
tmp.expenditure_item_id,
tmp.expenditure_id,
tmp.project_id,
project_name,
project_number,
user_project_type,
project_type_class_code,
tmp.project_type,
project_manager,
project_start_date,
project_completion_date,
project_organization,
project_status_name,
project_status,
project_budget,
task_plan_capitalizable,
task_non_plan_capitalize,
proj_plan_capitalize,
proj_non_plan_capitalize,
tmp.proj_capitalizable,
actual_capitalizable,
actual_non_capitalizable,
actual_yet_to_capitalizable,
project_revenue_budget,
proj_grouping_method,
proj_grp_supplier_invoice,
proj_asset_cost_alloc_mhd,
proj_enbl_burden_cost_acc,
current_pa_period,
current_gl_period,
current_reporting_pa_period,
tmp.projfunc_currency_code,
tmp.number_of_assets,
tmp.proj_capitalized_cost,
(proj_capitalizable-proj_capitalized_cost)proj_cip_cost,
tmp.task_id,
tmp.task_number,
tmp.task_name,
tmp.top_task_id,
tmp.top_task_name,
tmp.top_task_number,
tmp.task_start_date,
tmp.task_finish_date,
tmp.task_manager,
tmp.task_organization,
tmp.task_burden_schedule,
tmp.task_billable_flag,
tmp.task_work_type,
tmp.expenditure_item_date,
tmp.expenditure_week_ending_date,
tmp.expenditure_type,
tmp.expenditure_category,
tmp.expenditure_type_class,
tmp.incurred_by_person_id,
tmp.employee_name,
tmp.employee_number,
tmp.location_code,
tmp.job_id,
tmp.job_name,
tmp.incurred_by_organization_id,
tmp.override_to_organization_id,
tmp.expenditure_organization_id,
tmp.expenditure_org_name,
tmp.non_labor_resource,
tmp.system_linkage_function,
tmp.transaction_source_code,
nvl (tmp.transaction_source,'Projects') transaction_source,
tmp.orig_transaction_ref,
tmp.expenditure_group,
tmp.ei_pend_burden_dist,
decode(tmp.ei_pend_burden_dist, 'Y', 1, 0) ei_pend_burden_dist_count,
tmp.ei_group_unreleased,
decode(tmp.ei_group_unreleased, 'Y', 1, 0) ei_group_unreleased_count,
tmp.ei_cost_exception,
decode(tmp.ei_cost_exception, 'Y', 1, 0) ei_cost_exception_count,
tmp.ei_uncosted,
decode(tmp.ei_uncosted, 'Y', 1, 0) ei_uncosted_count,
tmp.ei_costed,
decode(tmp.ei_costed, 'Y', 1, 0) ei_costed_count,
tmp.ei_costed_value,
tmp.quantity,
tmp.burden_cost,
tmp.ei_labor_cost,
tmp.ei_non_labor_cost,
tmp.unit_of_measure,
tmp.unit_of_measure_m,
tmp.raw_cost,
tmp.raw_cost_rate,
tmp.cost_distributed_flag,
tmp.cost_distributed,
tmp.cost_dist_rejection_code,
tmp.revenue_distributed,
tmp.revenue_distributed_flag,
tmp.billed,
tmp.billable_flag,
tmp.billable,
tmp.bill_hold_flag,
tmp.bill_hold,
tmp.billed_cost,
tmp.billable_unbilled_cost,
tmp.billable_onhold_cost,
tmp.bill_billable_cost,
tmp.bill_nonbilable_flag,
tmp.bill_nonbilable_cost,
tmp.bill_billhold_cost,
tmp.bill_billed_flag,
tmp.bill_billed_cost,
tmp.bill_not_billed_flag,
tmp.bill_not_billed_cost,
tmp.ei_work_burden_cost,
tmp.burdened_cost,
tmp.burdened_cost_rate,
tmp.denom_currency_code,
tmp.denom_raw_cost,
tmp.denom_burdened_cost,
tmp.acct_currency_code,
tmp.acct_rate_type,
tmp.acct_rate_date,
tmp.acct_exchange_rate,
tmp.acct_raw_cost,
tmp.acct_burdened_cost,
cip_cost,
tmp.project_currency_code,
tmp.project_raw_cost,
tmp.project_burdened_cost,
tmp.cost_bur_distributed_flag,
tmp.capitalizable_flag,
tmp.capitalizable,
tmp.asset_line_generated,
(decode(project_type_class_code,'CAPITAL',decode(capitalizable_flag,'N',tmp.cdl_amount,0),0))non_capitalizable_cost,
(decode(project_type_class_code,'CAPITAL',decode(capitalizable_flag,'Y',tmp.cdl_amount,0),0))capitalizable_cost,
(decode(project_type_class_code,'CAPITAL',decode(capitalized_flag,'Y',tmp.cdl_amount,0),0))capitalized_cost,
tmp.capitalized_flag,
tmp.capitalized,
tmp.capitalizable_cap_hold_flag,
tmp.capitalizable_cap_hold,
tmp.adjusted_expenditure_item_id,
tmp.net_zero_adjustment_flag,
tmp.net_zero_adjustment,
tmp.transferred_from_exp_item_id,
tmp.transferred_item_flag,
tmp.cc_cross_charge_code,
tmp.cc_cross_charge_type,
tmp.cc_bl_distributed_code,
tmp.org_id,
tmp.vendor_id,
tmp.vendor_name,
tmp.document_header_id,
tmp.document_distribution_id,
tmp.document_line_number,
tmp.document_payment_id,
tmp.document_type,
tmp.document_distribution_type,
tmp.Operating_Unit,
tmp.capital_cost_code_amt,
tmp.line_num,
tmp.line_type_code,
tmp.line_type,
tmp.reversed_flag,
tmp.transfer_status_code,
tmp.pa_date,
tmp.gl_date,
tmp.recvr_pa_date,
tmp.recvr_gl_date,
tmp.pa_period_name,
tmp.gl_period_name,
tmp.recvr_pa_period_name,
tmp.recvr_gl_period_name,
tmp.acct_event_id,
tmp.amount,
tmp.cdl_burdened_cost,
tmp.cdl_amount,
tmp.cdl_acct_status,
tmp.bl_acct_status,
tmp.exp_group_status_code,
tmp.exp_group_status,
tmp.expenditure_status,
tmp.precosting_status_code,
tmp.precosting_status,
asset_name,
tmp.work_type,
po_number,
po_line_number,
receipt_number,
receipt_line_number,
invoice_no,
invoice_line_number,
po_distribution_line_number,
invoice_distribution_line_no,
debit_account,
credit_account,
accounting_source,
transfer_status,
tmp.provider_le_name,
tmp.receiver_le_name,
tmp.receiver_operating_unit,
tmp.transfer_price,
tmp.labot_tp_sch_name,
tmp.non_labor_tp_sch_name,
accounting_status_code,
project_sla_acc_status,
sla_gl_acc_status,
pre_accounting_status,
tmp.project_exchange_rate,
tmp.project_rate_date,
tmp.project_rate_type,
tmp.revenue_accrued,
tmp.burden_schedule,
tmp.transfer_rejection_reason,
tmp.cc_rejection_reason,
alert_type,
alert_text,
cost_identifier,
unaccounted,
(decode(tmp.unaccounted,'Unaccounted','Y',null))ei_unaccounted,
(decode(tmp.unaccounted,'Unaccounted',1,0))ei_unaccounted_count,
(decode(tmp.unaccounted,'Unaccounted',tmp.raw_cost,null))ei_unaccounted_cost,
accounting_exception,
project_accounted,
sla_accounted,
gl_accounted,
(decode(nvl(tmp.project_accounted,'N'),'Y',tmp.amount,0))project_accounted_cost,
(decode(nvl(tmp.sla_accounted,'N'),'Y',tmp.amount,0))sla_accounted_cost,
(decode(nvl(tmp.gl_accounted,'N'),'Y',tmp.amount,0))gl_accounted_cost,
ei_account_exception,
(decode(nvl(tmp.ei_account_exception,'N'),'Y',tmp.amount,0))ei_account_exception_cost,
ei_accounted,
(decode(nvl(tmp.ei_accounted,'N'),'Y',tmp.amount,0))ei_accounted_cost,
sla_acct_code,
language,
NVL(tmp.sla_gl_acc_status,tmp.project_sla_acc_status) exp_accounting_stage,
( SELECT
nvl( pa_utils.get_lookup_values ( 'PA_EI_ACCOUNTING_STATUS',(CASE
WHEN(tmp.cost_distributed_flag = 'Y'
AND xea.gl_transfer_status_code = 'Y'
OR nvl(tmp.historical_flag, 'Y') = 'Y') THEN 'GL'
WHEN tmp.cost_distributed_flag = 'Y'
AND xea.gl_transfer_status_code &lt;&gt; 'Y'
AND pa_utils.iseifinalaccounted(cdl.expenditure_item_id, cdl.line_num) = 'Y' THEN 'PGL'
END), tmp.language),
pa_utils.get_lookup_values('PA_EI_ACCOUNTING_STATUS',(CASE
WHEN tmp.cost_distributed_flag = 'Y'
AND DECODE(cdl.transfer_status_code, 'X', 'PSLA', 'R', 'PSLA', 'P', 'PSLA', 'A', DECODE(pa_utils.iseifinalaccounted(cdl.expenditure_item_id, cdl.line_num), 'N', 'PSLA', 'SLA')) = 'PSLA'
THEN 'PSLA'
WHEN tmp.cost_distributed_flag = 'Y'
AND cdl.transfer_status_code NOT IN( 'V', 'G') THEN 'SLA'
END), tmp.language)
)
FROM
(
SELECT
        cd.*
    FROM
        (
            SELECT
                c.expenditure_item_id,
                c.transfer_status_code,
                c.acct_event_id,
                c.line_num
            FROM
                pa_cost_dist_lines_v c
            WHERE
                c.line_type IN (
                    'D'
                )
                AND c.creation_date &gt;= '24-APR-19'
				and (c.expenditure_item_id, c.line_num) in
				(select expenditure_item_id, max(line_num)
				from  pa_cost_dist_lines_v b
				where creation_date &gt;='24-APR-19'
				and line_type = 'D'
				group by b.expenditure_item_id
				)
        ) cd
) cdl,
xla_ae_headers xea
WHERE
tmp.cost_distributed_flag = 'Y'
AND cdl.expenditure_item_id = tmp.expenditure_item_id
and cdl.acct_event_id is not null
AND xea.balance_type_code (+) = 'A'
AND cdl.acct_event_id = xea.event_id(+)
AND tmp.set_of_books_id = xea.ledger_id(+)
) acct_status_tot_bur,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    and pa_utils.iseifinalaccounted(tmp.expenditure_item_id, cdl.line_num) = 'N'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'24-APR-19'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'24-APR-19'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pending_final_accounting,
decode(project_type_class_code, 'CAPITAL',
   (select case when cdl.transfer_status_code IN('P', 'A', 'V', 'T', 'R', 'G', 'B')
    AND(cdl.line_type = tmp.derive_tot_burden_flag
        OR cdl.line_type = DECODE(tmp.derive_tot_burden_flag, 'R', 'I', tmp.derive_tot_burden_flag)
       )
    AND( (cdl.line_type = 'I'
        AND cdl.transfer_status_code = 'G')
       OR cdl.line_type IN('R', 'D')
        AND cdl.transfer_status_code IN('P', 'V', 'A', 'B')
       )
    AND cdl.billable_flag = 'Y'
	AND tmp.capitalized_flag = 'N'
    and pa_utils.iseifinalaccounted(tmp.expenditure_item_id, cdl.line_num) = 'Y'
   then decode(tmp.capital_cost_type_code,'R',nvl(cdl.amount, 0),'B',nvl(cdl.burdened_cost, cdl.amount),nvl(cdl.amount, 0))
   else 0
   end
   from
           (
               SELECT
                   cd.*
               FROM
                   (
                       SELECT
                           c.expenditure_item_id,
                           c.transfer_status_code,
                           c.acct_event_id,
                           c.line_num,
                           c.amount,
                           c.burdened_cost,
                           c.billable_flag,
                           c.line_type
                       FROM
                           pa_cost_dist_lines_v c
                       WHERE c.creation_date &gt;= '24-APR-19'
                           AND ( c.expenditure_item_id,
                                 c.line_num ) IN (
                               SELECT
                                   expenditure_item_id,
                                   MAX(line_num)
                               FROM
                                   pa_cost_dist_lines_v b
                               WHERE
                                   creation_date &gt;= '24-APR-19'
                                   AND line_type in ('R','D')
                               GROUP BY
                                   b.expenditure_item_id, b.line_type
                           )
                   ) cd
           ) cdl where cdl.line_type = tmp.DERIVE_TOT_BURDEN_FLAG and cdl.expenditure_item_id = tmp.expenditure_item_id)
           , 0) proj_cost_pend_al_gen,
tmp.asset_asgn_exists_code,
DECODE(project_type_class_code, 'CAPITAL', pa_utils.get_lookup_values('PA_ASSET_ASG_LEVEL', tmp.asset_asgn_exists_code, tmp.language)) asset_assignment_exists,
tmp.grouped_task_id,
DECODE(project_type_class_code, 'CAPITAL', decode(tmp.grouped_task_id,-9999,NULL,(select task_number from pa_tasks where task_id = tmp.grouped_task_id))) grouped_task_number,
DECODE(project_type_class_code, 'CAPITAL', decode(tmp.grouped_task_id,-9999,NULL,(select task_name from pa_tasks where task_id = tmp.grouped_task_id))) grouped_task_name , dfv2.* 
from
(
SELECT DISTINCT
'PROJ_DS_EICDL' record_type,
'PROJ-'
|| TO_CHAR(ei.expenditure_item_id) ecc_spec_id,
ei.expenditure_item_id,
ei.expenditure_id,
ei.project_id,
ei.project_name,
ei.project_number,
ei.project_type user_project_type,
ei.project_type_class_code ,
ei.CAPITAL_COST_TYPE_CODE,
pa_utils.get_lookup_values('PROJECT TYPE CLASS', ei.project_type_class_code, ei.language) project_type,
ei.DERIVE_TOT_BURDEN_FLAG,
ei.project_manager,
ei.project_start_date,
ei.project_completion_date,
ei.project_organization,
ei.task_burden_schedule,
pa_utils.get_lookup_values('YES_NO',ei.task_billable_flag,ei.language) task_billable_flag,
ei.task_work_type,
ei.project_status_name,
ei.project_status,
(SELECT
        nvl(SUM(DECODE(ei.capital_cost_type_code, 'R', nvl(pbl.raw_cost, 0), nvl(pbl.burdened_cost, 0
        ))), 0)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project_budget,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'Y'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task_plan_capitalizable,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
    WHERE
        pbv.project_id = ei.project_id
		AND pra.task_id = ei.task_id
		AND ei.task_billable_flag = 'N'
        AND pbv.budget_type_code = pbt.budget_type_code
        AND pbt.budget_amount_code = 'C'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 task_non_plan_capitalize,
(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
    WHERE
        pbv.project_id = ei.project_id
        AND pbv.budget_type_code = pbt.budget_type_code
        AND pbt.budget_amount_code = 'C'
        AND pbv.budget_status_code = 'B'
        AND pbv.current_flag = 'Y'
        AND pbv.budget_entry_method_code = bem.budget_entry_method_code
        and bem.entry_level_code = 'P'
        AND pra.budget_version_id = pbv.budget_version_id
        AND pra.project_id = pbv.project_id
        AND pbl.budget_version_id = pra.budget_version_id
        AND pbl.resource_assignment_id = pra.resource_assignment_id)
	+
(SELECT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'Y'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'L','T')
        AND pra.budget_version_id = pbv.budget_version_id
        AND pra.project_id = pbv.project_id
        AND pbl.budget_version_id = pra.budget_version_id
        AND pbl.resource_assignment_id = pra.resource_assignment_id)
) proj_plan_capitalize,
(
SELECT
        (decode(project_type_class_code,'CAPITAL',nvl(SUM(DECODE(ei.capital_cost_type_code, 'R', nvl(pbl.raw_cost, 0), nvl(pbl.burdened_cost, 0
        ))), 0),0))
    FROM
        pa_budget_versions pbv,
        pa_budget_lines pbl,
        pa_resource_assignments pra,
        pa_budget_types pbt,
		pa_budget_entry_methods bem,
        pa_tasks pt
    WHERE
        pbv.project_id = ei.project_id
		AND pra.task_id = pt.task_id
		AND pt.billable_flag = 'N'
        AND pbv.budget_type_code = pbt.budget_type_code
        AND pbt.budget_amount_code = 'C'
        AND pbv.budget_status_code = 'B'
        AND pbv.current_flag = 'Y'
        AND pbv.budget_entry_method_code = bem.budget_entry_method_code
        and bem.entry_level_code in ( 'M', 'L', 'T')
        AND pra.budget_version_id = pbv.budget_version_id
        AND pra.project_id = pbv.project_id
        AND pbl.budget_version_id = pra.budget_version_id
        AND pbl.resource_assignment_id = pra.resource_assignment_id
) proj_non_plan_capitalize,
DECODE(project_type_class_code, 'CAPITAL', nvl(
        (SELECT
            SUM(DECODE(ei.capital_cost_type_code, 'R', nvl(paie.raw_cost, 0), nvl(paie.burden_cost, 0) ))
        FROM
            pa_expenditure_items_all paie
        WHERE
            paie.project_id = ei.project_id
			AND paie.billable_flag = 'Y'
            AND paie.creation_date &gt;= '24-APR-19'
    ),0), 0)  proj_capitalizable,
(decode(project_type_class_code,'CAPITAL',decode(ei.capitalizable_flag,'Y',(nvl(DECODE(ei.capital_cost_type_code, 'R', nvl(ei.raw_cost, 0), nvl(ei.burdened_cost, 0
        )), 0)),0),0))actual_capitalizable,
(decode(project_type_class_code,'CAPITAL',decode(ei.capitalizable_flag,'N',(nvl(DECODE(ei.capital_cost_type_code, 'R', nvl(ei.raw_cost, 0), nvl(ei.burdened_cost, 0
        )), 0)),0),0))actual_non_capitalizable,
( DECODE(project_type_class_code, 'CAPITAL', DECODE(ei.capitalizable_flag, 'Y',decode(ei.capitalized_flag,'N',(nvl(DECODE(ei.capital_cost_type_code
, 'R', nvl(ei.raw_cost, 0), nvl(ei.burdened_cost, 0)), 0)),0), 0), 0) ) actual_yet_to_capitalizable,
(SELECT
        SUM(nvl(pbl.revenue,0))
    FROM
        pa_budget_versions pbv,
        pa_budget_lines pbl,
        pa_resource_assignments pra,
        pa_budget_types pbt
    WHERE
        pbv.project_id = ei.project_id
        AND pbv.budget_type_code = pbt.budget_type_code
        AND pbt.budget_amount_code = 'R'
        AND pbv.budget_status_code = 'B'
        AND pbv.current_flag = 'Y'
        AND pra.budget_version_id = pbv.budget_version_id
        AND pra.project_id = pbv.project_id
        AND pbl.budget_version_id = pra.budget_version_id
        AND pbl.resource_assignment_id = pra.resource_assignment_id
)project_revenue_budget,
ei.proj_grouping_method,
ei.proj_grp_supplier_invoice,
ei.proj_asset_cost_alloc_mhd,
pa_utils.get_lookup_values('YES_NO', ei.total_burden_flag, ei.language) proj_enbl_burden_cost_acc,
(SELECT per.period_name FROM pa_periods_all per
 where start_date in
         (select max(start_date) from pa_periods_all per1
          where per1.status in ('O','F')
          and per1.org_id = ei.org_id)
      and per.org_id = ei.org_id) current_pa_period,
(SELECT per.gl_period_name FROM pa_periods_all per
 where start_date in
         (select max(start_date) from pa_periods_all per1
          where per1.status in ('O','F')
          and per1.org_id = ei.org_id)
      and per.org_id = ei.org_id) current_gl_period,
ei.current_pa_period current_reporting_pa_period,
ei.projfunc_currency_code,
(decode(project_type_class_code,'CAPITAL',(select count( project_asset_id ) from pa_project_assets_all ppaa where ppaa.project_id = ei.project_id),0)) number_of_assets,
(decode(project_type_class_code,'CAPITAL',nvl((select sum( current_asset_cost ) from pa_project_asset_lines_all ppal where ppal.project_id = ei.project_id and ppal.transfer_status_code = 'T'
                            		AND EXISTS(  SELECT   1
                     FROM pa_expenditure_items_all peia,pa_project_asset_line_Details ppald
                     WHERE peia.expenditure_item_id = ppald.expenditure_item_id
                     and  ppal.project_asset_line_detail_id = ppald.project_asset_line_detail_id
					 and peia.project_id = ei.project_id
                     AND peia.creation_date &gt;= '24-APR-19'
                  )),0),0)) proj_capitalized_cost,
ei.task_id,
ei.task_number,
ei.task_name,
ei.top_task_id,
ei.top_task_name,
ei.top_task_number,
ei.task_start_date,
ei.task_finish_date,
ei.task_manager,
ei.task_organization,
ei.expenditure_item_date,
ei.expenditure_ending_date expenditure_week_ending_date,
ei.expenditure_type,
ei.expenditure_category,
ei.expenditure_type_class,
ei.incurred_by_person_id,
ei.employee_name,
ei.employee_number,
ei.location_code,
ei.job_id,
ei.job_name,
ei.incurred_by_organization_id,
ei.override_to_organization_id,
ei.expenditure_organization_id,
ei.expenditure_org_name,
ei.non_labor_resource,
ei.system_linkage_function,
ei.transaction_source transaction_source_code,
ei.user_transaction_source transaction_source,
ei.orig_transaction_reference orig_transaction_ref,
ei.expenditure_group,
(CASE
WHEN ei.cost_distributed_flag = 'Y'
     AND ei.cost_burden_distributed_flag = 'N' THEN 'Y'
ELSE null
END)ei_pend_burden_dist,
( CASE
    WHEN ei.expenditure_group_status_code IN (
        'UPDATE_RELEASED',
        'RELEASED'
    ) THEN null
    ELSE 'Y'
END ) ei_group_unreleased,
(case when ei.cost_dist_rejection_code is not null then 'Y' else null end)ei_cost_exception,
(case when ei.expenditure_group_status_code IN (
        'UPDATE_RELEASED',
        'RELEASED'
    ) AND ei.cost_distributed_flag = 'N' then 'Y' else null end) ei_uncosted,
DECODE(ei.cost_distributed_flag, 'Y', 'Y', null) ei_costed,
DECODE(ei.cost_distributed_flag, 'Y', nvl(ei.burden_cost, 0), 0) ei_costed_value,
ei.quantity,
decode(ei.cost_distributed_flag,'Y',ei.burden_cost,0) burden_cost,
( CASE
    WHEN ei.system_linkage_function IN (
        'OT',
        'ST'
    ) THEN nvl(ei.burden_cost, 0)
    ELSE 0
END ) ei_labor_cost,
( CASE
    WHEN ei.system_linkage_function IN (
        'OT',
        'ST'
    ) THEN 0
    ELSE nvl(ei.burden_cost, 0)
END ) ei_non_labor_cost,
ei.unit_of_measure,
ei.unit_of_measure_m,
decode(ei.cost_distributed_flag,'Y',ei.raw_cost,0) raw_cost,
decode(ei.cost_distributed_flag,'Y',ei.raw_cost_rate,0) raw_cost_rate,
ei.cost_distributed_flag cost_distributed_flag,
pa_utils.get_lookup_values('YES_NO', ei.cost_distributed_flag, ei.language) cost_distributed,
pa_funds_control_utils.get_cost_rejection_reason(NVL(ei.cost_dist_rejection_code,ei.IND_COST_DIST_REJECTION_CODE),NULL) cost_dist_rejection_code,
decode(ei.project_type_class_code ,'INDIRECT',NULL,'CAPITAL',NULL,NVL(ei.revenue_distributed_flag,ei.capitalized_flag)) revenue_distributed,
pa_utils.get_lookup_values('YES_NO',decode(ei.project_type_class_code ,'INDIRECT',NULL,'CAPITAL',NULL,NVL(ei.revenue_distributed_flag,ei.capitalized_flag)), ei.language) revenue_distributed_flag,
pa_utils.get_lookup_values('YES_NO',(CASE WHEN ei.project_type_class_code = 'CONTRACT' AND bill_amount IS NOT NULL THEN 'Y'
WHEN ei.project_type_class_code = 'CONTRACT' AND bill_amount IS NULL THEN 'N'
ELSE NULL END), ei.language) billed,
ei.billable_flag  billable_flag,
pa_utils.get_lookup_values('YES_NO',ei.billable_flag,ei.language)  billable,
ei.bill_hold_flag ,
pa_utils.get_lookup_values('YES_NO',ei.bill_hold_flag,ei.language) bill_hold,
( CASE
WHEN ei.billable_flag = 'Y'
AND ei.bill_amount IS NOT NULL
AND nvl(ei.net_zero_adjustment_flag, 'N') = 'N'
AND ei.INVOICE_METHOD = 'WORK'
AND ei.cost_distributed_flag = 'Y' THEN ei.bill_amount
ELSE 0
END ) billed_cost,
( CASE
WHEN ei.billable_flag = 'Y'
AND ei.bill_amount IS NULL
AND nvl(ei.net_zero_adjustment_flag, 'N') = 'N'
AND ei.INVOICE_METHOD = 'WORK'
AND ei.cost_distributed_flag = 'Y' THEN ei.BURDEN_COST
ELSE 0
END ) billable_unbilled_cost,
( CASE
WHEN ei.billable_flag = 'Y'
AND ei.bill_amount IS NULL
AND ei.bill_hold_flag = 'Y'
AND nvl(ei.net_zero_adjustment_flag, 'N') = 'N'
AND ei.INVOICE_METHOD = 'WORK'
AND ei.cost_distributed_flag = 'Y' THEN ei.BURDEN_COST
ELSE 0
END ) billable_onhold_cost,
ei.bill_billable_cost,
pa_utils.get_lookup_values('YES_NO',ei.bill_nonbilable_flag,ei.language) bill_nonbilable_flag,
ei.bill_nonbilable_cost,
ei.bill_billhold_cost,
pa_utils.get_lookup_values('YES_NO',ei.bill_billed_flag,ei.language) bill_billed_flag,
ei.bill_billed_cost,
pa_utils.get_lookup_values('YES_NO',ei.bill_not_billed_flag,ei.language) bill_not_billed_flag,
ei.bill_not_billed_cost,
(case when ei.project_type_class_code = 'CONTRACT' AND ei.billable_flag = 'Y' AND ei.bill_amount IS NULL AND ei.cost_distributed_flag = 'Y' AND ei.invoice_method = 'WORK' then ei.burden_cost else 0 end)ei_work_burden_cost,
decode(ei.cost_distributed_flag,'Y',ei.burdened_cost,0) burdened_cost,
decode(ei.cost_distributed_flag,'Y',ei.burdened_cost_rate,0) burdened_cost_rate,
ei.denom_currency_code,
decode(ei.cost_distributed_flag,'Y',ei.denom_raw_cost,0) denom_raw_cost,
decode(ei.cost_distributed_flag,'Y',ei.denom_burdened_cost,0) denom_burdened_cost,
ei.acct_currency_code,
ei.acct_rate_type,
ei.acct_rate_date,
ei.acct_exchange_rate,
decode(ei.cost_distributed_flag,'Y',ei.acct_raw_cost,0) acct_raw_cost,
decode(ei.cost_distributed_flag,'Y',ei.acct_burdened_cost,0) acct_burdened_cost,
( DECODE(ei.capitalizable_flag, 'Y', DECODE(ei.capitalized_flag, 'N', ei.BURDEN_COST, 0), 0) - DECODE(
ei.capitalized_flag, 'Y', ei.BURDEN_COST, 0) - DECODE(ei.capitalizable_flag, 'N', ei.BURDEN_COST
, 0) ) cip_cost,
ei.project_currency_code,
decode(ei.cost_distributed_flag,'Y',ei.project_raw_cost,0) project_raw_cost,
decode(ei.cost_distributed_flag,'Y',ei.project_burdened_cost,0) project_burdened_cost,
pa_utils.get_lookup_values('YES_NO',ei.cost_burden_distributed_flag,ei.language) cost_bur_distributed_flag,
ei.capitalizable_flag,
pa_utils.get_lookup_values('YES_NO',ei.capitalizable_flag,ei.language) capitalizable,
pa_utils.get_lookup_values('YES_NO',ei.asset_line_generated,ei.language) asset_line_generated,
ei.capitalized_flag,
pa_utils.get_lookup_values('YES_NO',ei.capitalized_flag,ei.language) capitalized,
ei.bill_hold_flag capitalizable_cap_hold_flag,
decode(ei.project_type_class_code,'CAPITAL',pa_utils.get_lookup_values('YES_NO',ei.bill_hold_flag,ei.language)) capitalizable_cap_hold,
ei.adjusted_expenditure_item_id,
ei.net_zero_adjustment_flag ,
pa_utils.get_lookup_values('YES_NO',ei.net_zero_adjustment_flag,ei.language) net_zero_adjustment,
ei.transferred_from_exp_item_id,
ei.transferred_item_flag,
pa_utils.get_lookup_values('CC_CROSS_CHARGE_CODE', ei.cc_cross_charge_code, ei.language) cc_cross_charge_code,
pa_utils.get_lookup_values('CC_CROSS_CHARGE_TYPE', ei.cc_cross_charge_type, ei.language) cc_cross_charge_type,
pa_utils.get_lookup_values('CC_PROCESSED_CODE', ei.cc_bl_distributed_code, ei.language) cc_bl_distributed_code,
ei.org_id,
ei.vendor_id,
(
SELECT
vendor_name
FROM
ap_suppliers
WHERE
vendor_id = ei.vendor_id
) vendor_name,
ei.document_header_id,
ei.document_distribution_id,
ei.document_line_number,
ei.document_payment_id,
ei.document_type,
ei.document_distribution_type,
ei.prvdr_org_name Operating_Unit,
decode(ei.cost_distributed_flag,'Y',DECODE(ei.capital_cost_type_code, 'R', ei.raw_cost, DECODE(ei.cost_burden_distributed_flag,'Y', ei.BURDEN_COST,0)),0) capital_cost_code_amt,
cdl.line_num,
cdl.line_type line_type_code,
pa_utils.get_lookup_values('COST DISTRIBUTION LINE TYPE', cdl.line_type, ei.language) line_type,
cdl.reversed_flag,
cdl.transfer_status_code transfer_status_code,
cdl.pa_date,
cdl.gl_date,
cdl.recvr_pa_date,
cdl.recvr_gl_date,
cdl.pa_period_name,
cdl.gl_period_name,
cdl.recvr_pa_period_name,
cdl.recvr_gl_period_name,
cdl.acct_event_id,
decode(ei.cost_distributed_flag,'Y',cdl.amount,0) amount,
decode(ei.cost_distributed_flag,'Y',cdl.burdened_cost,0) cdl_burdened_cost,
decode(ei.cost_distributed_flag,'Y',DECODE(ei.capital_cost_type_code, 'R', cdl.AMOUNT, NVL(cdl.BURDENED_COST,cdl.AMOUNT)),0) cdl_amount,
pa_utils.get_lookup_values('YES_NO',pa_utils.iseifinalaccounted(ei.expenditure_item_id, cdl.line_num),ei.language) cdl_acct_status,
pa_utils.get_lookup_values('PA_XLA_TRANSFER_STATUS',(SELECT
DECODE(xe.process_status_code, 'P', 'A', 'U', 'P', 'I', 'R') FROM xla_events xe, pa_cc_dist_lines_all cc
WHERE
xe.application_id = 275
AND xe.event_id = cc.acct_event_id
AND cc.expenditure_item_id = ei.expenditure_item_id
AND cc.line_num = cdl.line_num
AND ei.cc_bl_distributed_code = 'Y'),ei.language) bl_acct_status,
ei.expenditure_group_status_code exp_group_status_code,
pa_utils.get_lookup_values('EXPENDITURE GROUP STATUS', ei.expenditure_group_status_code, ei.language) exp_group_status,
ei.expenditure_status_code EXPENDITURE_STATUS,
( CASE
WHEN ei.cost_dist_rejection_code IS NOT NULL THEN 'CE'
WHEN ei.cost_distributed_flag = 'N' AND ei.expenditure_group_status_code not in ('RELEASED','UPDATE_RELEASED') THEN 'UR'
WHEN ei.cost_distributed_flag = 'N' THEN 'UCST'
WHEN ei.cost_distributed_flag = 'Y' AND (cdl.transfer_status_code IN ('X','R') OR xla.process_status_code = 'I') THEN 'CAE'
WHEN ei.cost_distributed_flag = 'Y' AND pa_utils.iseifinalaccounted(ei.expenditure_item_id, cdl.line_num) = 'Y' THEN 'ACCT'
WHEN ei.cost_distributed_flag = 'Y' THEN 'CST'
ELSE NULL
END ) precosting_status_code,
( CASE
WHEN ei.cost_dist_rejection_code IS NOT NULL THEN pa_utils.get_lookup_values('PA_EI_COSTING_STATUS','CE', ei.LANGUAGE)
WHEN ei.cost_distributed_flag = 'N' AND ei.expenditure_group_status_code not in  ('RELEASED', 'UPDATE_RELEASED') THEN pa_utils.get_lookup_values('PA_EI_COSTING_STATUS','UR', ei.LANGUAGE)
WHEN ei.cost_distributed_flag = 'N' THEN pa_utils.get_lookup_values('PA_EI_COSTING_STATUS','UCST', ei.LANGUAGE)
WHEN ei.cost_distributed_flag = 'Y' AND (cdl.transfer_status_code IN ('X','R') OR xla.process_status_code = 'I') THEN pa_utils.get_lookup_values('PA_EI_COSTING_STATUS','CAE', ei.LANGUAGE)
WHEN ei.cost_distributed_flag = 'Y' AND pa_utils.iseifinalaccounted(ei.expenditure_item_id, cdl.line_num) = 'Y' THEN pa_utils.get_lookup_values('PA_EI_COSTING_STATUS','ACCT', ei.LANGUAGE)
WHEN ei.cost_distributed_flag = 'Y' THEN pa_utils.get_lookup_values('PA_EI_COSTING_STATUS','CST', ei.LANGUAGE)
ELSE NULL
END ) precosting_status,
NULL asset_name,
ei.work_type_name WORK_TYPE,
(CASE WHEN ei.transaction_source LIKE 'PO%' THEN NVL(EI.receipt_po_number,ei.po_number)
WHEN ei.transaction_source LIKE 'AP%' THEN ei.matched_po_number
ELSE NULL
END
) po_number,
(CASE WHEN ei.transaction_source LIKE 'PO%' THEN nvl(ei.receipt_po_line_num,ei.po_line_number)
WHEN ei.transaction_source LIKE 'AP%' THEN ei.matched_po_line_number
ELSE NULL
END
) po_line_number,
(CASE WHEN ei.transaction_source LIKE 'PO%' THEN ei.receipt_number
WHEN ei.transaction_source LIKE 'AP%' THEN ei.matched_receipt_num
ELSE NULL
END) r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</si>
  <si>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to_timestamp('24-APR-20 03.53.02.000000 AM')
     OR ppa.last_update_date &gt;= to_timestamp('24-APR-20 03.53.02.000000 AM')
     OR ppal.last_update_date &gt;= to_timestamp('24-APR-20 03.53.02.000000 AM')
	 OR EXISTS (select 1 from pa_expenditure_items_all peial
	            where peial.project_id = pp.project_id
				and peial.last_update_date &gt; to_timestamp('24-APR-20 03.53.02.000000 AM'))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to_timestamp('24-APR-20 03.53.02.000000 AM')
    OR EXISTS (select 1 from pa_expenditure_items_all peial
	           where peial.project_id = pp.project_id
			   and peial.last_update_date &gt; to_timestamp('24-APR-20 03.53.02.000000 AM'))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</si>
  <si>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to_date(to_char(to_timestamp('24-APR-20'),'DD-MON-YY HH24.MI.SS'),'DD-MON-YY HH24.MI.SS'))
          or (AH.CLOSE_BIDDING_DATE between to_date(to_char(to_timestamp('24-APR-20'),'DD-MON-YY HH24.MI.SS'),'DD-MON-YY HH24.MI.SS')
                                      and to_date(to_char(to_timestamp('24-APR-20'),'DD-MON-YY HH24.MI.SS'),'DD-MON-YY HH24.MI.SS'))
         or (AH.OPEN_BIDDING_DATE between to_date(to_char(to_timestamp('24-APR-20'),'DD-MON-YY HH24.MI.SS'),'DD-MON-YY HH24.MI.SS')
                                      and to_date(to_char(to_timestamp('24-APR-20'),'DD-MON-YY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</si>
  <si>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to_date(to_char(to_timestamp('24-APR-20'),'DD-MON-YY HH24.MI.SS'),'DD-MON-YY HH24.MI.SS'))
          or (AH.CLOSE_BIDDING_DATE between to_date(to_char(to_timestamp('24-APR-20'),'DD-MON-YY HH24.MI.SS'),'DD-MON-YY HH24.MI.SS')
                                      and to_date(to_char(to_timestamp('24-APR-20'),'DD-MON-YY HH24.MI.SS'),'DD-MON-YY HH24.MI.SS'))
         or (AH.OPEN_BIDDING_DATE between to_date(to_char(to_timestamp('24-APR-20'),'DD-MON-YY HH24.MI.SS'),'DD-MON-YY HH24.MI.SS')
                                      and to_date(to_char(to_timestamp('24-APR-20'),'DD-MON-YY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</si>
  <si>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gt.KEY=3135047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</si>
  <si>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gt.KEY=3135047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</si>
  <si>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gt.KEY=3135047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</si>
  <si>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gt.KEY=3135047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</si>
  <si>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gt.KEY=3135047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</si>
  <si>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gt.KEY=3135040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</si>
  <si>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gt.KEY=3135040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</si>
  <si>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gt.KEY=3135040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</si>
  <si>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 xml:space="preserve">There is SQLException while applying load rule for dataset po-clm-solicitations for job 57,735.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</si>
  <si>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3135039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</si>
  <si>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57,735.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</si>
  <si>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3135038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</si>
  <si>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3135038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</si>
  <si>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3135038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</si>
  <si>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3135038 )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</si>
  <si>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3135038 )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</si>
  <si>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3135038 )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</si>
  <si>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3135034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</si>
  <si>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3135034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</si>
  <si>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3135034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</si>
  <si>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3135034 )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</si>
  <si>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3135034 )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</si>
  <si>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3135034 )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</si>
  <si>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3135033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</si>
  <si>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57,735.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</si>
  <si>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3135028 )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</si>
  <si>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3135028 )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</si>
  <si>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3135028 )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</si>
  <si>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3135028 )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</si>
  <si>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3135028 ) PIVOT ( max(protest_document_type) as protest_document_type
                                             FOR language in ( 'US' "US"))</t>
  </si>
  <si>
    <t xml:space="preserve">There is SQLException while applying load rule for dataset po-clm-idv for job 57,735.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</si>
  <si>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3135026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3135026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</si>
  <si>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3135025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3135025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</si>
  <si>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57,735.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</si>
  <si>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to_date(to_char(to_timestamp('24-APR-20 03.47.59.000000 AM'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to_date(to_char(to_timestamp('24-APR-20 03.47.59.000000 AM'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to_date(to_char(to_timestamp('24-APR-20 03.47.59.000000 AM'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to_date(to_char(to_timestamp('24-APR-20 03.47.59.000000 AM'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</si>
  <si>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TO_DATE('24-APR-20 13:56:29','DD-MON-RR HH24:MI:SS') + 7 ))  AND (wdj.last_update_date &gt;= TO_DATE('24-APR-20 13:56:29','DD-MON-RR HH24:MI:SS')
                                                        OR wo.last_update_date &gt;= TO_DATE('24-APR-20 13:56:29','DD-MON-RR HH24:MI:SS')
                                                        OR we.last_update_date &gt;= TO_DATE('24-APR-20 13:56:29','DD-MON-RR HH24:MI:SS')
                                                        OR wmt.last_update_date &gt;= TO_DATE('24-APR-20 13:56:29','DD-MON-RR HH24:MI:SS')
                                                        OR bd.last_update_date &gt;= TO_DATE('24-APR-20 13:56:29','DD-MON-RR HH24:MI:SS')
                                                        OR bso.last_update_date &gt;= TO_DATE('24-APR-20 13:56:29','DD-MON-RR HH24:MI:SS')
                                                        OR mtr.last_update_date &gt;= TO_DATE('24-APR-20 13:56:29','DD-MON-RR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</si>
  <si>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TO_DATE('24-APR-20 13:56:29','DD-MON-RR HH24:MI:SS') + 7 )) AND (wdj.last_update_date &gt;= TO_DATE('24-APR-20 13:56:29','DD-MON-RR HH24:MI:SS')
													     OR we.last_update_date &gt;= TO_DATE('24-APR-20 13:56:29','DD-MON-RR HH24:MI:SS')
                                                         OR msn.last_update_date &gt;= TO_DATE('24-APR-20 13:56:29','DD-MON-RR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TO_DATE('24-APR-20 13:56:29','DD-MON-RR HH24:MI:SS')
													     OR we.last_update_date &gt;= TO_DATE('24-APR-20 13:56:29','DD-MON-RR HH24:MI:SS')
                                                         OR msn.last_update_date &gt;= TO_DATE('24-APR-20 13:56:29','DD-MON-RR HH24:MI:SS')
                                                         OR mog.last_update_date &gt;= TO_DATE('24-APR-20 13:56:29','DD-MON-RR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</si>
  <si>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TO_DATE('24-APR-20 02:00:14','DD-MON-RR HH24:MI:SS') + 7 ))  AND (wdj.last_update_date &gt;= TO_DATE('24-APR-20 02:00:14','DD-MON-RR HH24:MI:SS')
                                                        OR wo.last_update_date &gt;= TO_DATE('24-APR-20 02:00:14','DD-MON-RR HH24:MI:SS')
                                                        OR we.last_update_date &gt;= TO_DATE('24-APR-20 02:00:14','DD-MON-RR HH24:MI:SS')
                                                        OR wmt.last_update_date &gt;= TO_DATE('24-APR-20 02:00:14','DD-MON-RR HH24:MI:SS')
                                                        OR bd.last_update_date &gt;= TO_DATE('24-APR-20 02:00:14','DD-MON-RR HH24:MI:SS')
                                                        OR bso.last_update_date &gt;= TO_DATE('24-APR-20 02:00:14','DD-MON-RR HH24:MI:SS')
                                                        OR mtr.last_update_date &gt;= TO_DATE('24-APR-20 02:00:14','DD-MON-RR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</si>
  <si>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TO_DATE('24-APR-20 02:00:14','DD-MON-RR HH24:MI:SS') + 7 )) AND (wdj.last_update_date &gt;= TO_DATE('24-APR-20 02:00:14','DD-MON-RR HH24:MI:SS')
													     OR we.last_update_date &gt;= TO_DATE('24-APR-20 02:00:14','DD-MON-RR HH24:MI:SS')
                                                         OR msn.last_update_date &gt;= TO_DATE('24-APR-20 02:00:14','DD-MON-RR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TO_DATE('24-APR-20 02:00:14','DD-MON-RR HH24:MI:SS')
													     OR we.last_update_date &gt;= TO_DATE('24-APR-20 02:00:14','DD-MON-RR HH24:MI:SS')
                                                         OR msn.last_update_date &gt;= TO_DATE('24-APR-20 02:00:14','DD-MON-RR HH24:MI:SS')
                                                         OR mog.last_update_date &gt;= TO_DATE('24-APR-20 02:00:14','DD-MON-RR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</si>
  <si>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to_date(to_char(to_timestamp('24-APR-20 01.52.45.000000 AM'),'DD-MON-YY HH24.MI.SS'),'DD-MON-YY HH24.MI.SS'))) OR  ( to_date(to_char(e.inst_last_upd_date , 'DD-MON-YY HH24.MI.SS') , 'DD-MON-YY HH24.MI.SS' ) &gt;=  to_date(to_char(to_timestamp('24-APR-20 01.52.45.000000 AM'),'DD-MON-YY HH24.MI.SS'),'DD-MON-YY HH24.MI.SS'))  OR  ( to_date(to_char(coa.last_update_date , 'DD-MON-YY HH24.MI.SS') , 'DD-MON-YY HH24.MI.SS' ) &gt;=  to_date(to_char(to_timestamp('24-APR-20 01.52.45.000000 AM'),'DD-MON-YY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to_date(to_char(to_timestamp('24-APR-20 01.52.45.000000 AM'),'DD-MON-YY HH24.MI.SS'),'DD-MON-YY HH24.MI.SS')))))</t>
  </si>
  <si>
    <t>SELECT * FROM (SELECT * FROM CN_ECC_QUOTA_V
				WHERE ECC_LAST_UPDATE_DATE &gt;= to_date(to_char(to_timestamp('24-APR-20 01.38.30.000000 AM'),'DD-MON-YY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</si>
  <si>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to_date(to_char(to_timestamp('24-APR-20 01.38.30.000000 AM'),'DD-MON-YY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</si>
  <si>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>30s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</si>
  <si>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to_date(to_char(to_timestamp('24-APR-20 01.24.43.000000 PM'),'DD-MON-YY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</si>
  <si>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to_date(to_char(to_timestamp('24-APR-20 01.24.43.000000 PM'),'DD-MON-YY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</si>
  <si>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to_date(to_char(to_timestamp('24-APR-20 01.23.40.000000 AM'),'DD-MON-YY HH24.MI.SS'),'DD-MON-YY HH24.MI.SS')
			and status_type IN (1,3, 6,17) 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</si>
  <si>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to_date(to_char(to_timestamp('24-APR-20 01.01.09.000000 AM'),'DD-MON-YY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</si>
  <si>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51s</t>
  </si>
  <si>
    <t>select * from (  select * from ICX_CAT_ECC_100793_VL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</si>
  <si>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</si>
  <si>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</si>
  <si>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</si>
  <si>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</si>
  <si>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</si>
  <si>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</si>
  <si>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</si>
  <si>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</si>
  <si>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</si>
  <si>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</si>
  <si>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</si>
  <si>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</si>
  <si>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</si>
  <si>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</si>
  <si>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</si>
  <si>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</si>
  <si>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</si>
  <si>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</si>
  <si>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</si>
  <si>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</si>
  <si>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</si>
  <si>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</si>
  <si>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</si>
  <si>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</si>
  <si>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</si>
  <si>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</si>
  <si>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</si>
  <si>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</si>
  <si>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</si>
  <si>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</si>
  <si>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</si>
  <si>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</si>
  <si>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</si>
  <si>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</si>
  <si>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</si>
  <si>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</si>
  <si>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</si>
  <si>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</si>
  <si>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</si>
  <si>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</si>
  <si>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</si>
  <si>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</si>
  <si>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</si>
  <si>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</si>
  <si>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</si>
  <si>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</si>
  <si>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</si>
  <si>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</si>
  <si>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</si>
  <si>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</si>
  <si>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</si>
  <si>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</si>
  <si>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</si>
  <si>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</si>
  <si>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</si>
  <si>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</si>
  <si>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</si>
  <si>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</si>
  <si>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</si>
  <si>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</si>
  <si>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</si>
  <si>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</si>
  <si>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</si>
  <si>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</si>
  <si>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</si>
  <si>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</si>
  <si>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</si>
  <si>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</si>
  <si>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</si>
  <si>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</si>
  <si>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</si>
  <si>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</si>
  <si>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</si>
  <si>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</si>
  <si>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</si>
  <si>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</si>
  <si>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</si>
  <si>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</si>
  <si>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</si>
  <si>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</si>
  <si>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</si>
  <si>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</si>
  <si>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</si>
  <si>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</si>
  <si>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</si>
  <si>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</si>
  <si>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</si>
  <si>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</si>
  <si>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</si>
  <si>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</si>
  <si>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</si>
  <si>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</si>
  <si>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</si>
  <si>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</si>
  <si>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</si>
  <si>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</si>
  <si>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</si>
  <si>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</si>
  <si>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</si>
  <si>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</si>
  <si>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</si>
  <si>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</si>
  <si>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</si>
  <si>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</si>
  <si>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</si>
  <si>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</si>
  <si>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</si>
  <si>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</si>
  <si>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</si>
  <si>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</si>
  <si>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</si>
  <si>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</si>
  <si>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</si>
  <si>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</si>
  <si>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</si>
  <si>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</si>
  <si>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</si>
  <si>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</si>
  <si>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</si>
  <si>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</si>
  <si>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</si>
  <si>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</si>
  <si>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</si>
  <si>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</si>
  <si>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</si>
  <si>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</si>
  <si>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</si>
  <si>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</si>
  <si>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</si>
  <si>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</si>
  <si>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</si>
  <si>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</si>
  <si>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</si>
  <si>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</si>
  <si>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</si>
  <si>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</si>
  <si>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</si>
  <si>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</si>
  <si>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</si>
  <si>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</si>
  <si>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</si>
  <si>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</si>
  <si>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</si>
  <si>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</si>
  <si>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to_date(to_char(to_timestamp('24-APR-20 12.07.29.000000 AM'),'DD-MON-YY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</si>
  <si>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to_date(to_char(to_timestamp('24-APR-20 12.07.29.000000 AM'),'DD-MON-YY HH24.MI.SS'),'DD-MON-YY HH24.MI.SS') </t>
  </si>
  <si>
    <t xml:space="preserve">SELECT
              ecc_spec_id,
              zonesi
              from icx_cat_ecc_zones_i WHERE ECC_LAST_UPDATE_DATE &gt;=  to_date(to_char(to_timestamp('24-APR-20 12.07.29.000000 AM'),'DD-MON-YY HH24.MI.SS'),'DD-MON-YY HH24.MI.SS') </t>
  </si>
  <si>
    <t xml:space="preserve">SELECT
              ecc_spec_id,
              zonesp
              from icx_cat_ecc_zones_p WHERE ECC_LAST_UPDATE_DATE &gt;=  to_date(to_char(to_timestamp('24-APR-20 12.07.29.000000 AM'),'DD-MON-YY HH24.MI.SS'),'DD-MON-YY HH24.MI.SS') </t>
  </si>
  <si>
    <t xml:space="preserve">SELECT
              ecc_spec_id,
              zonesb
              from icx_cat_ecc_zones_b WHERE ECC_LAST_UPDATE_DATE &gt;=  to_date(to_char(to_timestamp('24-APR-20 12.07.29.000000 AM'),'DD-MON-YY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</si>
  <si>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to_date(to_char(to_timestamp('24-APR-20 12.07.29.000000 AM'),'DD-MON-YY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</si>
  <si>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to_date(to_char(to_timestamp('24-APR-20 12.07.29.000000 AM'),'DD-MON-YY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</si>
  <si>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select * from( SELECT
  reiv.ecc_spec_id AS receiving_id,
  reiv.ecc_spec_id,
  reiv.trx_type,
  reiv.priority_flag,
  reiv.shipment_line_id,
  reiv.organization_code,
  reiv.expected_trx_date,
  inv_ecc_inbound_util_pvt.get_lookup_meaning(source_doc_type,'DOC_TYPE',3,msit.language) source_doc_type,
  reiv.parent_trx_type,
  decode(reiv.source_doc_type,'INTSHIP',inv_ecc_inbound_util_pvt.get_organization_name(reiv.source_name,msit.language),
         'REQ',inv_ecc_inbound_util_pvt.get_organization_name(reiv.source_name,msit.language),reiv.source_name) source_name,
  reiv.document_num,
  reiv.document_line_num,
  reiv.item_number,
  msit.description item_description,
  reiv.ordered_qty,
  reiv.primary_qty,
  reiv.trx_qty,
  reiv.amount,
  reiv.routing_id,
  reiv.to_organization_id,
  reiv.item_id,
  reiv.lpn_id,
  reiv.po_header_id,
  reiv.oe_order_header_id,
  reiv.license_plate_number,
  reiv.gross_weight,
  reiv.container_volume,
  reiv.content_volume,
  msit.LANGUAGE LANGUAGE
FROM rcv_ecc_inbound_v reiv,
     mtl_system_items_tl msit
WHERE reiv.item_id = msit.inventory_item_id
AND   reiv.to_organization_id = msit.organization_id
AND   msit.LANGUAGE in ( 'US')--PIVOT uptake change
AND   reiv.last_update_date &gt;  to_date(to_char(to_timestamp('23-APR-20 10.56.19.000000 PM'),'DD-MON-YY HH.MI.SS'),'DD-MON-YY HH.MI.SS')) PIVOT ( Max(source_doc_type) AS source_doc_type,
          Max(source_name) AS source_name,
          Max(item_description) AS item_description for LANGUAGE in ( 'US' "US"))</t>
  </si>
  <si>
    <t xml:space="preserve"> SELECT order_type_code|| '_' ||PO_LINE_LOCATION_ID as ECC_SPEC_ID from RCV_ECC_RECEIPTS_PO_V where
    (NVL(APPROVED_FLAG, 'N') != 'Y'
  or NVL(CANCEL_FLAG, 'N') != 'N'
  or NVL(CLOSED_CODE, 'OPEN') = 'FINALLY CLOSED'
  or TRANSACTION_QTY &lt;= 0)
  AND last_update_date &gt;  to_date(to_char(to_timestamp('23-APR-20 10.56.19.000000 PM'),'DD-MON-YY HH.MI.SS'),'DD-MON-YY HH.MI.SS') UNION ALL SELECT ECC_SPEC_ID from RCV_ECC_RECEIPTS_ASNLCM_V
WHERE SHIPMENT_LINE_STATUS_CODE in('FULLY RECEIVED', 'CANCELLED')
 AND last_update_date &gt;  to_date(to_char(to_timestamp('23-APR-20 10.56.19.000000 PM'),'DD-MON-YY HH.MI.SS'),'DD-MON-YY HH.MI.SS') UNION ALL SELECT SOURCE_DOCUMENT_CODE|| '_' ||SHIPMENT_LINE_ID as ECC_SPEC_ID from RCV_SHIPMENT_LINES
WHERE SOURCE_DOCUMENT_CODE IN ('INVENTORY', 'REQ')
AND SHIPMENT_LINE_STATUS_CODE = 'FULLY RECEIVED'
 AND last_update_date &gt;  to_date(to_char(to_timestamp('23-APR-20 10.56.19.000000 PM'),'DD-MON-YY HH.MI.SS'),'DD-MON-YY HH.MI.SS') UNION ALL SELECT Decode(order_type_code,'RETURN','RMA',order_type_code)|| '_' ||OE_ORDER_LINE_ID as ECC_SPEC_ID from rcv_ecc_receipts_rma_v
WHERE (OPEN_FLAG  != 'Y'
  OR BOOKED_FLAG   != 'Y'
  OR FLOW_STATUS_CODE != 'AWAITING_RETURN'
  OR TRANSACTION_QTY &lt;= 0)
 AND last_update_date &gt;  to_date(to_char(to_timestamp('23-APR-20 10.56.19.000000 PM'),'DD-MON-YY HH.MI.SS'),'DD-MON-YY HH.MI.SS') UNION ALL SELECT 'RS'|| '_' ||parent_transaction_id as ECC_SPEC_ID from rcv_transactions rt
 WHERE not exists (select 1 from rcv_supply rs where rt.parent_transaction_id = rs.rcv_transaction_id and rt.parent_transaction_id !=-1)
 AND last_update_date &gt;  to_date(to_char(to_timestamp('23-APR-20 10.56.19.000000 PM'),'DD-MON-YY HH.MI.SS'),'DD-MON-YY HH.MI.SS')</t>
  </si>
  <si>
    <t>select * from (
SELECT
ECC_SPEC_ID,
RECORD_TYPE,
EVENT_ID,
ORG_ID,
APPLICATION_ID,
INVOICE_ID,
INVOICE_TYPE_LOOKUP_CODE,
INVOICE_NUMBER,
TRANSACTION_CURRENCY,
INVOICE_DATE,
GL_DATE,
ACCOUNTED_AMOUNT,
PAYMENT_TYPE_FLAG,
PAYMENT_TYPE_DESC,
INSTALLMENT,
AMOUNT,
INVOICE_PAYMENT_ID,
CHECK_ID,
TRANSACTION_NUMBER,
TRANSACTION_DATE,
BANK_ACCOUNT_NAME,
VENDOR_ID,
SUPPLIER_NAME,
SUPPLIER_NUMBER,
SITE_CODE,
EVENT_STATUS_CODE,
EVENT_STATUS_DESC,
PROCESS_STATUS_CODE,
PROCESS_STATUS_DESC,
EVENT_TYPE_CODE,
EVENT_TYPE_DESC,
EVENT_NUMBER,
LEDGER_ID,
LEDGER_NAME,
CURRENCY_CODE,
PERIOD_NAME,
PERIOD_YEAR,
CLOSING_STATUS,
OPERATING_UNIT,
LANGUAGE
FROM
(
SELECT /*+ LEADING(ps) */
    ip.invoice_payment_id
    || '-'
    || xe.event_id
    || '-'
    || xe.event_number ecc_spec_id ,
    'PAY' AS record_type,
    xe.event_id,
    ai.org_id,
	xe.APPLICATION_ID,
    ai.invoice_id                 invoice_id,
    ai.invoice_type_lookup_code   invoice_type_lookup_code,
    ai.invoice_num                invoice_number,
	ai.invoice_currency_code TRANSACTION_CURRENCY,
    ai.invoice_date               AS invoice_date,
	ai.GL_DATE,
    ( ip.amount * nvl(ip.exchange_rate, 1) ) AS ACCOUNTED_AMOUNT,
    c.payment_type_flag,
	(
        SELECT
            meaning
        FROM
            fnd_lookup_values
        WHERE
            view_application_id = 200
            AND lookup_type = 'PAYMENT TYPE'
            AND language = outl.language
            AND lookup_code = c.payment_type_flag
    ) PAYMENT_TYPE_DESC,
    ip.payment_num                installment,
    ip.amount                     AMOUNT,
    ip.invoice_payment_id,
	c.check_id,
	c.check_number TRANSACTION_NUMBER,
    c.check_date TRANSACTION_DATE,
    c.bank_account_name,
    ai.vendor_id,
    hp.party_name                 supplier_name,
    pav.segment1                  supplier_number,
    pos.vendor_site_code          site_code,
    xe.event_status_code,
    (
        SELECT
            meaning
        FROM
            fnd_lookup_values
        WHERE
            view_application_id = 602
            AND lookup_type = 'XLA_EVENT_STATUS'
                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xe.process_status_code
    ) process_status_desc,
	xe.event_type_code,
    (select ett.description from XLA_EVENT_TYPES_TL ett where xe.EVENT_TYPE_CODE = ett. EVENT_TYPE_CODE and xe.application_id = ett.application_id and ett.language = outl.language) as EVENT_TYPE_DESC,
    xe.event_number,
    gl.ledger_id,
    gl.name                       ledger_name,
    gl.currency_code,
    ps.period_name,
    ps.period_year,
    ps.closing_status,
    outl.name                     operating_unit,
    outl.language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= 'U'
    AND xe.process_status_code = 'U' AND ( to_date(to_char(ip.last_update_date,'DD-MON-RR HH24:MI:SS'),'DD-MON-RR HH24:MI:SS')   &gt;=  to_date('23-APR-20','DD-MON-RR HH24:MI:SS')
       AND ip.last_update_date &lt; sysdate) )temp
where temp.language in ('US'))
PIVOT (max(OPERATING_UNIT) as OPERATING_UNIT, max(EVENT_STATUS_DESC) as EVENT_STATUS_DESC,
        max(PROCESS_STATUS_DESC) as PROCESS_STATUS_DESC,
		max(EVENT_TYPE_DESC) as EVENT_TYPE_DESC, max(PAYMENT_TYPE_DESC) as PAYMENT_TYPE_DESC,
    max(SUPPLIER_NAME) as SUPPLIER_NAME
For LANGUAGE in ('US' "US"))</t>
  </si>
  <si>
    <t>select * from (
SELECT
ECC_SPEC_ID,
RECORD_TYPE,
INVOICE_TYPE_LOOKUP_CODE,
ORG_ID,
TRANSACTION_CURRENCY,
SUPPLIER_NAME,
SUPPLIER_NUMBER,
SITE_CODE,
INVOICE_ID,
TRANSACTION_NUMBER,
TRANSACTION_DATE,
GL_DATE,
INVOICE_DISTRIBUTION_ID,
DISTRIBUTION_LINE_NUMBER,
INV_PERIOD,
AMOUNT,
ACCOUNTED_AMOUNT,
APPLICATION_ID,
EVENT_ID,
EVENT_STATUS_CODE,
EVENT_STATUS_DESC,
PROCESS_STATUS_CODE,
PROCESS_STATUS_DESC,
EVENT_TYPE_CODE,
EVENT_TYPE_DESC,
LINE_TYPE_LOOKUP_CODE,
LINE_TYPE_DESC,
EVENT_NUMBER,
LEDGER_ID,
LEDGER_NAME,
CURRENCY_CODE,
PERIOD_NAME,
PERIOD_YEAR,
CLOSING_STATUS,
OPERATING_UNIT,
LANGUAGE
FROM
(SELECT /*+ LEADING(ps) */
    aia.invoice_id
    || '-'
    ||aida.invoice_distribution_id
    || '-'
    || xe.event_id
    || '-'
    || xe.event_number ecc_spec_id,
    'INV' AS record_type,
    aia.invoice_type_lookup_code,
	aia.org_id,
	aia.invoice_currency_code as TRANSACTION_CURRENCY,
    ap.vendor_name         supplier_name,
    ap.segment1            supplier_number,
    pos.vendor_site_code   site_code,
    aia.invoice_id,
    aia.invoice_num        TRANSACTION_NUMBER,
    aia.invoice_date TRANSACTION_DATE,
    aia.gl_date,
    aida.invoice_distribution_id,
    aida.distribution_line_number,
    aida.period_name       inv_period,
    aida.amount,
	(CASE WHEN aida.base_amount IS NULL
    THEN (aida.amount * nvl(aida.exchange_rate,1))
    ELSE aida.base_amount
	END) as ACCOUNTED_AMOUNT,
    xe.application_id,
    xe.event_id,
    xe.event_status_code,
    (
        SELECT
            meaning
        FROM
            fnd_lookup_values
        WHERE
            view_application_id = 602
            AND lookup_type = 'XLA_EVENT_STATUS'
            AND language = outl.language
            AND lookup_code = xe.event_status_code
    ) event_status_desc,
    xe.process_status_code,
    (
        SELECT
            meaning
        FROM
            fnd_lookup_values
        WHERE
            view_application_id = 602
                            AND lookup_type = 'XLA_EVENT_PROCESS_STATUS'
            AND language = outl.language
            AND lookup_code = xe.process_status_code
    ) process_status_desc,
    xe.event_type_code,
	(select ett.description from XLA_EVENT_TYPES_TL ett where xe.EVENT_TYPE_CODE = ett. EVENT_TYPE_CODE and xe.application_id = ett.application_id AND ett.language = outl.language) as EVENT_TYPE_DESC,
    LINE_TYPE_LOOKUP_CODE,
    (select DISPLAYED_FIELD from AP_LOOKUP_CODES where LOOKUP_TYPE = 'INVOICE DISTRIBUTION TYPE'
    and LOOKUP_CODE = aida.LINE_TYPE_LOOKUP_CODE) as LINE_TYPE_DESC,
    xe.event_number,
    lgr.ledger_id,
    lgr.name               ledger_name,
    lgr.currency_code,
    ps.period_name,
    ps.period_year,
    ps.closing_status,
    outl.name              operating_unit,
    outl.language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= 'U' AND ( to_date(to_char(aia.last_update_date,'DD-MON-RR HH24:MI:SS'),'DD-MON-RR HH24:MI:SS')   &gt;=  to_date('23-APR-20','DD-MON-RR HH24:MI:SS')
       AND aia.last_update_date &lt; sysdate) )temp
where temp.language in ('US'))
PIVOT (max(OPERATING_UNIT) as OPERATING_UNIT, max(EVENT_STATUS_DESC) as EVENT_STATUS_DESC, max(PROCESS_STATUS_DESC) as PROCESS_STATUS_DESC,
    max(EVENT_TYPE_DESC) as EVENT_TYPE_DESC, max(LINE_TYPE_DESC) as LINE_TYPE_DESC, max(SUPPLIER_NAME) as SUPPLIER_NAME
For LANGUAGE in ('US' "US"))</t>
  </si>
  <si>
    <t>select * from (
SELECT
ECC_SPEC_ID,
RECORD_TYPE,
LEDGER_ID,
LEDGER_NAME,
CURRENCY_CODE,
OPERATING_UNIT,
LANGUAGE,
PERIOD_NAME,
PERIOD_YEAR,
CLOSING_STATUS,
ORG_ID,
INVOICE_ID,
INVOICE_TYPE_LOOKUP_CODE,
INVOICE_NUMBER,
INVOICE_CURRENCY,
INVOICE_DATE,
PAYMENT_TYPE_FLAG,
PAYMENT_TYPE_DESC,
INSTALLMENT,
INVOICE_PAYMENT_ID,
CHECK_ID,
TRANSACTION_NUMBER,
TRANSACTION_DATE,
BANK_ACCOUNT_NAME,
VENDOR_ID,
SUPPLIER_NAME,
SUPPLIER_NUMBER,
SITE_CODE,
APPLICATION_ID,
EVENT_ID,
EVENT_STATUS_CODE,
EVENT_STATUS_DESC,
PROCESS_STATUS_CODE,
PROCESS_STATUS_DESC,
EVENT_TYPE_CODE,
EVENT_TYPE_DESC,
EVENT_NUMBER,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DISPLAYED_LINE_NUMBER,
LINE_DESC,
ACCOUNT_CODE,
ACCOUNT_DESCRIPTION
FROM
(
SELECT /*+ LEADING(ps) */
    invoice_payment_id
    || '-'
    || xe.event_id
    || '-'
    || xe.event_number
    || '-'
    || xal.ae_header_id
    || '-'
    || xal.ae_line_num ecc_spec_id,
    'PAY' AS record_type,
    gl.ledger_id,
    gl.name ledger_name,
    gl.currency_code,
    outl.name operating_unit,
    outl.language,
    ps.period_name,
    ps.period_year,
    ps.closing_status,
    ai.org_id,
    ai.invoice_id invoice_id,
    ai.invoice_type_lookup_code invoice_type_lookup_code,
    ai.invoice_num invoice_number,
    ai.invoice_currency_code invoice_currency,
    ai.invoice_date AS invoice_date,
    c.payment_type_flag,
    (
        SELECT
            meaning
        FROM
            fnd_lookup_values
        WHERE
            view_application_id = 200
            AND   lookup_type = 'PAYMENT TYPE'
            AND   language = outl.language
            AND   lookup_code = c.payment_type_flag
    ) payment_type_desc,
    ip.payment_num installment,
    ip.invoice_payment_id,
    c.check_id,
    c.check_number transaction_number,
    c.check_date transaction_date,
    c.bank_account_name,
    ai.vendor_id,
    hp.party_name supplier_name,
    pav.segment1 supplier_number,
    pos.vendor_site_code site_code,
    xe.application_id,
    xe.event_id,
    Decode(xe.event_status_code,'Z','I',xe.event_status_code) as EVENT_STATUS_CODE,
    (
        SELECT
            meaning
        FROM
            fnd_lookup_values
        WHERE
            view_application_id = 602
            AND   lookup_type = 'XLA_EVENT_STATUS'
            AND   language = outl.language
            AND   lookup_code = Decode(xe.event_status_code,'Z','I',xe.event_status_code)
    ) event_status_desc,
    decode(xe.process_status_code,'Z','I',xe.process_status_code) as process_status_code,
    (
        SELECT
            meaning
        FROM
            fnd_lookup_values
        WHERE
            view_application_id = 602
            AND   lookup_type = 'XLA_EVENT_PROCESS_STATUS'
            AND   language = outl.language
            AND   lookup_code = decode(xe.process_status_code,'Z','I',xe.process_status_code)
    ) process_status_desc,
    xe.event_type_code,
    (
        SELECT
            ett.description
        FROM
            xla_event_types_tl ett
        WHERE
            xe.event_type_code = ett.event_type_code
            AND   xe.application_id = ett.application_id
            AND   ett.language = outl.language
    ) AS event_type_desc,
    xe.event_number,
    xah.ae_header_id,
    xah.gl_transfer_status_code,
    (
        SELECT
            meaning
        FROM
            fnd_lookup_values
        WHERE
            view_application_id = 602
            AND   lookup_type = 'GL_TRANSFER_FLAG'
            AND   language = outl.language
            AND   lookup_code = xah.gl_transfer_status_code
    ) gl_transfer_flag_desc,
    xah.accounting_entry_status_code,
    (
        SELECT
            meaning
        FROM
            fnd_lookup_values
        WHERE
            view_application_id = 602
            AND   lookup_type = 'XLA_ACCOUNTING_ENTRY_STATUS'
            AND   language = outl.language
            AND   lookup_code = xah.accounting_entry_status_code
    ) accounting_entry_status_desc,
    xah.accounting_entry_type_code,
    (
        SELECT
            meaning
        FROM
            fnd_lookup_values
        WHERE
            view_application_id = 602
            AND   lookup_type = 'XLA_ACCOUNTING_ENTRY_TYPE'
            AND   language = outl.language
            AND   lookup_code = xah.accounting_entry_type_code
    ) accounting_entry_type_desc,
    xah.je_category_name,
    (
        SELECT
            jct.description
        FROM
            gl_je_categories_tl jct
        WHERE
            xah.je_category_name = jct.je_category_name
            AND   jct.language = outl.language
    ) AS je_category_desc,
    xah.description,
    xah.balance_type_code,
    (
        SELECT
            meaning
        FROM
            fnd_lookup_values
        WHERE
            view_application_id = 602
            AND   lookup_type = 'XLA_BALANCE_TYPE'
            AND   language = outl.language
            AND   lookup_code = xah.balance_type_code
    ) balance_type_desc,
    xah.period_name gl_period_name,
    xal.ae_line_num,
    xal.accounting_date,
    xal.accounting_class_code,
    (
        SELECT
            meaning
        FROM
            fnd_lookup_values
        WHERE
            view_application_id = 602
            AND   lookup_type = 'XLA_ACCOUNTING_CLASS'
            AND   language = outl.language
            AND   lookup_code = xal.accounting_class_code
    ) accounting_class_code_desc,
    xal.business_class_code,
    (
        SELECT
            meaning
        FROM
            fnd_lookup_values
        WHERE
            view_application_id = 602
            AND   lookup_type = 'XLA_BUSINESS_FLOW_CLASS'
            AND   language = outl.language
            AND   lookup_code = xal.business_class_code
    ) business_class_code_desc,
    xal.code_combination_id xla_ccid,
    xal.entered_dr xla_entered_dr,
    xal.entered_cr xla_entered_cr,
    xal.accounted_dr xla_accounted_dr,
    xal.accounted_cr xla_accounted_cr,
    XAL.DISPLAYED_LINE_NUMBER,
    xal.description line_desc,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'VALUE') ) AS account_code,
    DECODE(xal.code_combination_id,NULL,NULL,fnd_flex_xml_publisher_apis.process_kff_combination_1(p_lexical_name =&gt; 'ACCOUNT CODE',p_application_short_name
=&gt; 'SQLGL',p_id_flex_code =&gt; 'GL#',p_id_flex_num =&gt; gl.chart_of_accounts_id,p_data_set =&gt; gl.chart_of_accounts_id,p_ccid =&gt; xal.code_combination_id
,p_segments =&gt; 'GL_ACCOUNT',p_show_parent_segments =&gt; 'Y',p_output_type =&gt; 'FULL_DESCRIPTION') ) AS account_description
FROM
    gl_period_statuses ps,
    ap_invoices_all ai,
    gl_ledgers gl,
    ap_invoice_payments_all ip,
    ap_checks_all c,
    ap_suppliers pav,
    ap_supplier_sites_all pos,
    hr_all_organization_units ou,
    hr_all_organization_units_tl outl,
    hz_parties hp,
    xla_events xe,
    xla_transaction_entities xte,
    xla_ae_headers xah,
    xla_ae_lines xal,
    gl_code_combinations cc
WHERE
    xe.application_id = 200
    AND   ps.adjustment_period_flag = 'N'
    AND   ps.set_of_books_id = ai.set_of_books_id
    AND   ai.gl_date BETWEEN ps.start_date AND ps.end_date
    AND   ps.closing_status = 'O'
    AND   ps.application_id = xe.application_id
    AND   ai.invoice_id = ip.invoice_id
    AND   ip.check_id = c.check_id
    AND   ai.set_of_books_id = gl.ledger_id
    AND   ou.organization_id = ai.org_id
    AND   ou.organization_id = outl.organization_id
    AND   ai.vendor_id = pav.vendor_id
    AND   ai.vendor_site_id = pos.vendor_site_id
    AND   hp.party_id = ai.party_id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AND   xah.gl_transfer_status_code &lt;&gt; 'Y'
    AND   xal.displayed_line_number &gt;= 0
    AND   xal.code_combination_id = cc.code_combination_id
    AND   gl.chart_of_accounts_id = cc.chart_of_accounts_id
    AND   cc.enabled_flag = 'Y' AND ( to_date(to_char(ip.last_update_date,'DD-MON-RR HH24:MI:SS'),'DD-MON-RR HH24:MI:SS')   &gt;=  to_date('23-APR-20','DD-MON-RR HH24:MI:SS')
       AND ip.last_update_date &lt; sysdate) )temp
    where temp.language in ('US'))
    PIVOT
    (max(OPERATING_UNIT) as OPERATING_UNIT,
    max(EVENT_STATUS_DESC) as EVENT_STATUS_DESC,
    max(PROCESS_STATUS_DESC) as PROCESS_STATUS_DESC,
    max(GL_TRANSFER_FLAG_DESC) as GL_TRANSFER_FLAG_DESC,
    max(ACCOUNTING_ENTRY_STATUS_DESC) as ACCOUNTING_ENTRY_STATUS_DESC,
    max(ACCOUNTING_ENTRY_TYPE_DESC) as ACCOUNTING_ENTRY_TYPE_DESC,
    max(BALANCE_TYPE_DESC) as BALANCE_TYPE_DESC, max(EVENT_TYPE_DESC) as EVENT_TYPE_DESC,
    max(JE_CATEGORY_DESC) as JE_CATEGORY_DESC,max(PAYMENT_TYPE_DESC) as PAYMENT_TYPE_DESC,
    max(ACCOUNTING_CLASS_CODE_DESC) as ACCOUNTING_CLASS_CODE_DESC,
    max(BUSINESS_CLASS_CODE_DESC) as BUSINESS_CLASS_CODE_DESC,
    max(SUPPLIER_NAME) as SUPPLIER_NAME
	For LANGUAGE in ('US' "US"))</t>
  </si>
  <si>
    <t>select * from (
SELECT
ECC_SPEC_ID,
RECORD_TYPE,
INVOICE_TYPE_LOOKUP_CODE,
ORG_ID,
TRANSACTION_CURRENCY,
VENDOR_ID,
SUPPLIER_NAME,
SUPPLIER_NUMBER,
SITE_CODE,
INVOICE_ID,
TRANSACTION_NUMBER,
TRANSACTION_DATE,
GL_DATE,
APPLICATION_ID,
EVENT_ID,
EVENT_STATUS_CODE,
EVENT_STATUS_DESC,
PROCESS_STATUS_CODE,
PROCESS_STATUS_DESC,
EVENT_TYPE_CODE,
EVENT_TYPE_DESC,
EVENT_NUMBER,
DISPLAYED_LINE_NUMBER,
AE_HEADER_ID,
GL_TRANSFER_STATUS_CODE,
GL_TRANSFER_FLAG_DESC,
ACCOUNTING_ENTRY_STATUS_CODE,
ACCOUNTING_ENTRY_STATUS_DESC,
ACCOUNTING_ENTRY_TYPE_CODE,
ACCOUNTING_ENTRY_TYPE_DESC,
JE_CATEGORY_NAME,
JE_CATEGORY_DESC,
DESCRIPTION,
BALANCE_TYPE_CODE,
BALANCE_TYPE_DESC,
GL_PERIOD_NAME,
AE_LINE_NUM,
ACCOUNTING_DATE,
ACCOUNTING_CLASS_CODE,
ACCOUNTING_CLASS_CODE_DESC,
BUSINESS_CLASS_CODE,
BUSINESS_CLASS_CODE_DESC,
XLA_CCID,
XLA_ENTERED_DR,
XLA_ENTERED_CR,
XLA_ACCOUNTED_DR,
XLA_ACCOUNTED_CR,
LINE_DESC,
ACCOUNT_CODE,
ACCOUNT_DESCRIPTION,
LEDGER_ID,
LEDGER_NAME,
CURRENCY_CODE,
PERIOD_NAME,
PERIOD_YEAR,
CLOSING_STATUS,
OPERATING_UNIT,
LANGUAGE
FROM (
SELECT /*+ LEADING(ps) */
    aia.invoice_id
    || '-'
    || xe.event_id
    || '-'
    || xe.event_number
    || '-'
    || xah.ae_header_id
    || '-'
    || xal.ae_line_num ecc_spec_id,
    'INV' AS record_type,
    aia.invoice_type_lookup_code,
	aia.org_id,
	aia.invoice_currency_code as TRANSACTION_CURRENCY,
	aia.VENDOR_ID,
    ap.vendor_name            supplier_name,
    ap.segment1               supplier_number,
	pos.vendor_site_code   site_code,
    aia.invoice_id,
    aia.invoice_num TRANSACTION_NUMBER,
    aia.invoice_date TRANSACTION_DATE,
    aia.gl_date,
    xe.application_id,
    xe.event_id,
    Decode(xe.event_status_code,'Z','I',xe.event_status_code) as EVENT_STATUS_CODE,
    (
        SELECT
            meaning
        FROM
            fnd_lookup_values
        WHERE
            view_application_id = 602
                            AND lookup_type = 'XLA_EVENT_STATUS'
            AND language = outl.language
            AND lookup_code = Decode(xe.event_status_code,'Z','I',xe.event_status_code)
    ) event_status_desc,
	Decode(xe.process_status_code,'Z','I',xe.process_status_code) as process_status_code,
    (
        SELECT
            meaning
        FROM
            fnd_lookup_values
        WHERE
            view_application_id = 602
            AND lookup_type = 'XLA_EVENT_PROCESS_STATUS'
            AND language = outl.language
            AND lookup_code = Decode(xe.process_status_code,'Z','I',xe.process_status_code)
    ) process_status_desc,
    xe.event_type_code,
    (select ett.description from XLA_EVENT_TYPES_TL ett where xe.EVENT_TYPE_CODE = ett. EVENT_TYPE_CODE and xe.application_id = ett.application_id
	AND ett.language = outl.language) as EVENT_TYPE_DESC,
    xe.event_number,
    xal.displayed_line_number,
    xah.ae_header_id,
    xah.gl_transfer_status_code,
    (
        SELECT
            meaning
        FROM
            fnd_lookup_values
        WHERE
            view_application_id = 602
            AND lookup_type = 'GL_TRANSFER_FLAG'
            AND language = outl.language
            AND lookup_code = xah.gl_transfer_status_code
    ) gl_transfer_flag_desc,
    xah.accounting_entry_status_code,
                    (
        SELECT
            meaning
        FROM
            fnd_lookup_values
        WHERE
            view_application_id = 602
            AND lookup_type = 'XLA_ACCOUNTING_ENTRY_STATUS'
            AND language = outl.language
            AND lookup_code = xah.accounting_entry_status_code
    ) accounting_entry_status_desc,
    xah.accounting_entry_type_code,
    (
        SELECT
            meaning
        FROM
            fnd_lookup_values
        WHERE
            view_application_id = 602
            AND lookup_type = 'XLA_ACCOUNTING_ENTRY_TYPE'
            AND language = outl.language
            AND lookup_code = xah.accounting_entry_type_code
    ) accounting_entry_type_desc,
    xah.je_category_name,
	(select DESCRIPTION from GL_JE_CATEGORIES_TL jct Where xah.JE_CATEGORY_NAME = jct.JE_CATEGORY_NAME and language=outl.language)JE_CATEGORY_DESC,
    xah.description,
    xah.balance_type_code,
    (
        SELECT
            meaning
        FROM
            fnd_lookup_values
        WHERE
            view_application_id = 602
                            AND lookup_type = 'XLA_BALANCE_TYPE'
            AND language = outl.language
            AND lookup_code = xah.balance_type_code
    ) balance_type_desc,
    xah.period_name           gl_period_name,
                    xal.ae_line_num,
    xal.accounting_date,
                    xal.accounting_class_code,
    (
        SELECT
            meaning
        FROM
            fnd_lookup_values
        WHERE
            view_application_id = 602
            AND lookup_type = 'XLA_ACCOUNTING_CLASS'
            AND language = outl.language
            AND lookup_code = xal.accounting_class_code
    ) accounting_class_code_desc,
    xal.business_class_code,
    (
        SELECT
            meaning
        FROM
            fnd_lookup_values
        WHERE
            view_application_id = 602
            AND lookup_type = 'XLA_BUSINESS_FLOW_CLASS'
            AND language = outl.language
            AND lookup_code = xal.business_class_code
    ) business_class_code_desc,
    xal.code_combination_id   xla_ccid,
    xal.entered_dr            xla_entered_dr,
    xal.entered_cr            xla_entered_cr,
    xal.accounted_dr          xla_accounted_dr,
    xal.accounted_cr          xla_accounted_cr,
    xal.description           line_desc,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'VALUE')) AS account_code,
    DECODE(xal.code_combination_id, NULL, NULL, fnd_flex_xml_publisher_apis.process_kff_combination_1(p_lexical_name =&gt; 'ACCOUNT CODE'
    , p_application_short_name =&gt; 'SQLGL', p_id_flex_code =&gt; 'GL#', p_id_flex_num =&gt; lgr.chart_of_accounts_id, p_data_set =&gt; lgr.
    chart_of_accounts_id, p_ccid =&gt; xal.code_combination_id, p_segments =&gt; 'GL_ACCOUNT', p_show_parent_segments =&gt; 'Y', p_output_type
    =&gt; 'FULL_DESCRIPTION')) AS account_description,
    lgr.ledger_id,
    lgr.name                  ledger_name,
    lgr.currency_code,
    ps.period_name,
    ps.period_year,
    ps.closing_status,
    outl.name                 operating_unit,
    outl.language
FROM
    ap_invoices_all                aia,
    ap_suppliers                   ap,
	ap_supplier_sites_all          pos,
    xla_events                     xe,
    XLA_TRANSACTION_ENTITIES XTE,
    xla_ae_headers                 xah,
    xla_ae_lines                   xal,
    gl_ledgers                     lgr,
    gl_period_statuses             ps,
    gl_code_combinations           cc,
    hr_all_organization_units      ou,
    hr_all_organization_units_tl   outl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    AND ou.organization_id = aia.org_id
    AND ou.organization_id = outl.organization_id
    AND lgr.ledger_id = aia.set_of_books_id
    AND ps.set_of_books_id = aia.set_of_books_id
    AND ps.application_id = xe.application_id
    AND aia.invoice_date BETWEEN ps.start_date AND ps.end_date
    AND ps.closing_status = 'O'
    AND xal.code_combination_id = cc.code_combination_id
    AND lgr.chart_of_accounts_id = cc.chart_of_accounts_id
    AND cc.enabled_flag = 'Y' AND ( to_date(to_char(aia.last_update_date,'DD-MON-RR HH24:MI:SS'),'DD-MON-RR HH24:MI:SS')   &gt;=  to_date('23-APR-20','DD-MON-RR HH24:MI:SS')
       AND aia.last_update_date &lt; sysdate)
    ) temp
    where temp.language in ('US'))
    PIVOT
    ( max(OPERATING_UNIT) as OPERATING_UNIT, max(EVENT_STATUS_DESC) as EVENT_STATUS_DESC, max(PROCESS_STATUS_DESC) as PROCESS_STATUS_DESC,
    max(GL_TRANSFER_FLAG_DESC) as GL_TRANSFER_FLAG_DESC, max(ACCOUNTING_ENTRY_STATUS_DESC) as ACCOUNTING_ENTRY_STATUS_DESC,
    max(ACCOUNTING_ENTRY_TYPE_DESC) as ACCOUNTING_ENTRY_TYPE_DESC, max(BALANCE_TYPE_DESC) as BALANCE_TYPE_DESC, MAX(EVENT_TYPE_DESC) as EVENT_TYPE_DESC,
     max(JE_CATEGORY_DESC) as JE_CATEGORY_DESC, max(ACCOUNTING_CLASS_CODE_DESC) as ACCOUNTING_CLASS_CODE_DESC, max(BUSINESS_CLASS_CODE_DESC) as BUSINESS_CLASS_CODE_DESC
    For LANGUAGE in ('US' "US"))</t>
  </si>
  <si>
    <t>SELECT /*+ LEADING(ps) */
    ip.invoice_payment_id
    || '-'
    || xe.event_id
    || '-'
    || xe.event_number ecc_spec_id ,
    'PAY' AS record_type
FROM
    gl_period_statuses             ps,
    ap_invoices_all                ai,
    gl_ledgers                     gl,
    ap_invoice_payments_all        ip,
    ap_checks_all                  c,
    ap_suppliers                   pav,
    ap_supplier_sites_all          pos,
    hr_all_organization_units      ou,
    hr_all_organization_units_tl   outl,
    hz_parties                     hp,
    xla_events                     xe
WHERE
    xe.application_id = 200
    AND ps.adjustment_period_flag = 'N'
    AND ps.set_of_books_id = ai.set_of_books_id
    AND ai.gl_date BETWEEN ps.start_date AND ps.end_date
    AND ps.closing_status = 'O'
    AND ps.application_id = xe.application_id
    AND ai.invoice_id = ip.invoice_id
    AND ip.check_id = c.check_id
    AND ps.set_of_books_id = ip.set_of_books_id
    AND ip.accounting_date BETWEEN ps.start_date AND ps.end_date
    AND ai.set_of_books_id = gl.ledger_id
    AND ou.organization_id = ai.org_id
    AND ou.organization_id = outl.organization_id
    AND ai.vendor_id = pav.vendor_id
    AND ai.vendor_site_id = pos.vendor_site_id
    AND hp.party_id = ai.party_id
    AND ai.payment_status_flag = 'Y'
    AND ip.posted_flag = 'N'
    AND ip.accounting_event_id = xe.event_id
    AND xe.event_status_code &lt;&gt; 'U'
    AND xe.process_status_code &lt;&gt; 'U'
	AND to_date(to_char(ip.last_update_date,'DD-MON-RR HH24:MI:SS'),'DD-MON-RR HH24:MI:SS')   &gt;=  to_date('23-APR-20','DD-MON-RR HH24:MI:SS')
	AND ip.last_update_date &lt; sysdate</t>
  </si>
  <si>
    <t>SELECT /*+ LEADING(ps) */
     aia.invoice_id
    || '-'
    ||aida.invoice_distribution_id
    || '-'
    || xe.event_id
    || '-'
    || xe.event_number ecc_spec_id,
    'INV' AS record_type
FROM
    ap_invoices_all                aia,
    ap_suppliers                   ap,
    ap_invoice_distributions_all   aida,
    ap_supplier_sites_all          pos,
    xla_events                     xe,
    gl_ledgers                     lgr,
    gl_period_statuses             ps,
    hr_all_organization_units      ou,
    hr_all_organization_units_tl   outl
WHERE
    aia.invoice_id = aida.invoice_id
    AND ap.vendor_id = aia.vendor_id
    AND aida.posted_flag = 'N'
    AND aida.distribution_line_number IS NOT NULL
    AND aia.vendor_site_id = pos.vendor_site_id
    AND xe.application_id = 200
    AND aida.accounting_event_id = xe.event_id
    AND aia.set_of_books_id = lgr.ledger_id
    AND ou.organization_id = aia.org_id
    AND ou.organization_id = outl.organization_id
    AND ps.adjustment_period_flag = 'N'
    AND ps.set_of_books_id = aia.set_of_books_id
    AND aia.gl_date BETWEEN ps.start_date AND ps.end_date
    AND ps.closing_status = 'O'
    AND ps.application_id = xe.application_id
    AND xe.event_status_code = 'U'
    AND xe.process_status_code &lt;&gt; 'U'
	AND to_date(to_char(aia.last_update_date,'DD-MON-RR HH24:MI:SS'),'DD-MON-RR HH24:MI:SS')   &gt;=  to_date('23-APR-20','DD-MON-RR HH24:MI:SS')
    AND aia.last_update_date &lt; sysdate</t>
  </si>
  <si>
    <t>SELECT
 invoice_payment_id
    || '-'
    || xe.event_id
    || '-'
    || xe.event_number
	|| '-'
	||xal.AE_HEADER_ID
	|| '-'
	||xal.AE_LINE_NUM
	ecc_spec_id,
    'PAY' AS record_type
FROM
    ap_invoices_all ai,
    gl_ledgers gl,
    ap_invoice_payments_all ip,
    ap_checks_all c,
    ap_suppliers pav,
    ap_supplier_sites_all pos,
    xla_events xe,
    xla_transaction_entities xte,
    xla_ae_headers xah,
    xla_ae_lines xal
WHERE
    xe.application_id = 200
    AND   ai.invoice_id = ip.invoice_id
    AND   ip.check_id = c.check_id
    AND   ai.set_of_books_id = gl.ledger_id
    AND   ai.vendor_id = pav.vendor_id
    AND   ai.vendor_site_id = pos.vendor_site_id
    AND   ai.payment_status_flag = 'Y'
    AND   ip.accounting_event_id = xe.event_id
    AND   xe.process_status_code &lt;&gt; 'U'
    AND   xte.application_id = 200
    AND   xte.application_id = xe.application_id
    AND   xte.entity_id = xe.entity_id
    AND   xte.source_id_int_1 = c.check_id
    AND   xte.application_id = xah.application_id
    AND   xte.entity_id = xah.entity_id
    AND   xah.application_id = xe.application_id
    AND   xah.event_id = xe.event_id
    AND   xal.ae_header_id = xah.ae_header_id
    AND   xal.application_id = xah.application_id
    AND   xah.zero_amount_flag = 'N'
    --AND   xah.gl_transfer_status_code &lt;&gt; 'Y'
    AND   xal.displayed_line_number &gt;= 0
    AND to_date(to_char(ip.last_update_date,'DD-MON-RR HH24:MI:SS'),'DD-MON-RR HH24:MI:SS')   &gt;=  to_date('23-APR-20','DD-MON-RR HH24:MI:SS')
    AND ip.last_update_date &lt; sysdate</t>
  </si>
  <si>
    <t>SELECT DISTINCT
    'ECC_SPEC_ID' as ATTRIBUTE_NAME,
    aia.invoice_id as ATTRIBUTE_VALUE,
    'LIKE' AS OPERATOR
FROM
    ap_invoices_all                aia,
    ap_suppliers                   ap,
	ap_supplier_sites_all          pos,
    xla_events                     xe,
    XLA_TRANSACTION_ENTITIES XTE,
    xla_ae_headers                 xah,
    xla_ae_lines                   xal
Where
    ap.vendor_id = aia.vendor_id
	AND aia.vendor_site_id = pos.vendor_site_id
    AND xe.application_id = 200
    AND xe.process_status_code &lt;&gt; 'U'
    AND XTE.APPLICATION_ID = 200
    AND NVL(XTE.SOURCE_ID_INT_1,-99)= AIA.INVOICE_ID
    AND XTE.ENTITY_ID = xah.ENTITY_ID
    AND XTE.LEDGER_ID = AIA.SET_OF_BOOKS_ID
    AND XE.ENTITY_ID = XTE.ENTITY_ID
    AND xah.application_id = xe.application_id
    AND xah.event_id = xe.event_id
    AND xal.ae_header_id = xah.ae_header_id
    AND xal.application_id = xah.application_id
    AND xah.zero_amount_flag = 'N'
    AND xah.gl_transfer_status_code &lt;&gt; 'Y'
    AND xal.displayed_line_number &gt;= 0
	AND to_date(to_char(aia.last_update_date,'DD-MON-RR HH24:MI:SS'),'DD-MON-RR HH24:MI:SS')   &gt;=  to_date('23-APR-20','DD-MON-RR HH24:MI:SS')
    AND aia.last_update_date &lt; sysdate</t>
  </si>
  <si>
    <t>select * from (SELECT ECC_SPEC_ID,
ATTRIBUTE_CATEGORY,
ATTRIBUTE1,
ATTRIBUTE2,
ATTRIBUTE3,
ATTRIBUTE4,
ATTRIBUTE5,
ATTRIBUTE6,
ATTRIBUTE7,
ATTRIBUTE8,
ATTRIBUTE9,
ATTRIBUTE10,
ATTRIBUTE11,
ATTRIBUTE12,
ATTRIBUTE13,
ATTRIBUTE14,
ATTRIBUTE15,
    record_type ,
        OPERATING_UNIT,
    ORG_ID ,
    invoice_id,
    invoice_type_lookup_code,
    invoice_type,
    invoice_number,
    legal_entity,
    invoice_amount ,
    inv_currency,
    inv_currency_code,
    invoice_date,
    VOUCHER_NUM,
    SOURCE,
     INSTALLMENT,
    AMOUNT,
    CHECK_NUMBER,
    CHECK_DATE,
    BANK_ACCOUNT_NAME,
    supplier_type,
    supplier_type_code,
    VENDOR_ID,
    Supplier_Name ,
    supplier_number ,
    site_code,
    Ledger,
    gl_currency,
    gl_currency_code,
    CREATION_DATE,
    LANGUAGE
from AP_ECC_PAID_HISTORY_V
Where CREATION_DATE &gt; trunc(sysdate)-7
And ( ( to_date(to_char(CREATION_DATE,'DD-MON-RR HH24:MI:SS'),'DD-MON-RR HH24:MI:SS')   &gt;=  to_date('23-APR-20','DD-MON-RR HH24:MI:SS')
       AND CREATION_DATE &lt; sysdate)) and language in ('US')) PIVOT ( max(SUPPLIER_TYPE) as SUPPLIER_TYPE,max(OPERATING_UNIT) as OPERATING_UNIT,max(INVOICE_TYPE) as INVOICE_TYPE, max (INV_CURRENCY) as INV_CURRENCY,
       max(GL_CURRENCY) as GL_CURRENCY
FOR LANGUAGE in ('US' "US"))</t>
  </si>
  <si>
    <t>SELECT hold.invoice_id || '_' || hold_id AS ECC_SPEC_ID
  FROM ap_holds_all hold
 WHERE HOLD.RELEASE_LOOKUP_CODE IS NOT NULL AND
to_date(to_char(HOLD.LAST_UPDATE_DATE,'DD-MON-RR HH24:MI:SS'),'DD-MON-RR HH24:MI:SS')   &gt;  to_date('23-APR-20','DD-MON-RR HH24:MI:SS')</t>
  </si>
  <si>
    <t>select * from (SELECT ECC_SPEC_ID,
ATTRIBUTE_CATEGORY,
ATTRIBUTE1,
ATTRIBUTE2,
ATTRIBUTE3,
ATTRIBUTE4,
ATTRIBUTE5,
ATTRIBUTE6,
ATTRIBUTE7,
ATTRIBUTE8,
ATTRIBUTE9,
ATTRIBUTE10,
ATTRIBUTE11,
ATTRIBUTE12,
ATTRIBUTE13,
ATTRIBUTE14,
ATTRIBUTE15,
  RECORD_TYPE,
  OPERATING_UNIT,
  ORG_ID,
  INVOICE_ID,
  INVOICE_TYPE_LOOKUP_CODE,
  INVOICE_TYPE,
  INVOICE_NUMBER,
  LEGAL_ENTITY,
  VALIDATION_STATUS,
  INVOICE_AMOUNT,
  INV_CURRENCY,
  INV_CURRENCY_CODE,
  INVOICE_DATE,
  PO_NUMBERS,
  VOUCHER_NUM,
  SOURCE,
  BASE_AMOUNT,
  PAYMENT_TERM,
  GL_DATE,
  EXCHANGE_RATE,
  DUE_DATE,
  PAYMENT_STATUS_FLAG,
  PAYMENT_STATUS,
  AMOUNT_REMAINING,
  AMOUNT_REMAINING_BASE,
  INSTALLMENT,
  SUPPLIER_TYPE,
  SUPPLIER_TYPE_CODE,
  VENDOR_ID,
  SUPPLIER_NAME,
  SUPPLIER_NUMBER,
  SITE_CODE,
  LEDGER_ID,
  LEDGER,
  GL_CURRENCY,
  GL_CURRENCY_CODE,
  LANGUAGE
FROM
  AP_ECC_PREPAYMENT_V pre
WHERE exists (	select 1 from AP_INVOICE_DISTRIBUTIONS_ALL aid where
   pre.INVOICE_ID = aid.invoice_id
     And  (( to_date(to_char(aid.last_update_date,'DD-MON-RR HH24:MI:SS'),'DD-MON-RR HH24:MI:SS')   &gt;=  to_date('23-APR-20','DD-MON-RR HH24:MI:SS')
       AND aid.last_update_date &lt; sysdate) OR
       ( to_date(to_char(ps_last_update_date,'DD-MON-RR HH24:MI:SS'),'DD-MON-RR HH24:MI:SS')   &gt;=  to_date('23-APR-20','DD-MON-RR HH24:MI:SS')
       AND ps_last_update_date &lt; sysdate) OR
       ( to_date(to_char(ai_last_update_date,'DD-MON-RR HH24:MI:SS'),'DD-MON-RR HH24:MI:SS')   &gt;=  to_date('23-APR-20','DD-MON-RR HH24:MI:SS')
       AND ai_last_update_date &lt; sysdate))) and language in ('US'))
PIVOT (max(OPERATING_UNIT) as OPERATING_UNIT , max(INVOICE_TYPE) as INVOICE_TYPE,max(PAYMENT_STATUS) as PAYMENT_STATUS,
 max(SUPPLIER_TYPE) as SUPPLIER_TYPE, max(PAYMENT_TERM) as PAYMENT_TERM,max (INV_CURRENCY) as INV_CURRENCY, max(GL_CURRENCY) as GL_CURRENCY
FOR LANGUAGE in ('US' "US"))</t>
  </si>
  <si>
    <t>select * from (SELECT
			'Asset Transfer' AS RECORD_TYPE ,
			NVL(MT.CONCURRENT_REQUEST_ID, 0)
			||'-'
			||MT.MASS_TRANSFER_ID AS ECC_SPEC_ID ,
			(
			CASE
			WHEN MT.CONCURRENT_REQUEST_ID IS NULL
			THEN MT.DATE_EFFECTIVE
			ELSE RS.ACTUAL_COMPLETION_DATE
			END ) ECC_LAST_UPDATE_DATE ,
			MT.CONCURRENT_REQUEST_ID REQUEST_NUM ,
			MT.MASS_TRANSFER_ID TRANS_NUM ,
			NVL(BC.ORG_ID,-9999) AS ORG_ID ,
			BC.BOOK_TYPE_CODE BOOK_CODE ,
			BC.BOOK_TYPE_NAME BOOK_NAME ,
			MT.TRANSACTION_DATE_ENTERED TRANS_DATE,
			DECODE(FC.CATEGORY_ID,NULL,NULL,
       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MT.DESCRIPTION TRANS_DESCRIPTION,
			(
			CASE
			WHEN RS.USER_CONCURRENT_PROGRAM_NAME = 'Mass Transfers Preview Report'
			THEN
			(SELECT MEANING
			FROM FA_LOOKUPS_TL
			WHERE LOOKUP_TYPE='MASS_TRX_STATUS'
			AND LOOKUP_CODE  ='PREVIEWED'
      AND LANGUAGE = fl.LANGUAGE_CODE
			)
			WHEN RS.USER_CONCURRENT_PROGRAM_NAME ='Mass Transfer'
			THEN
			(SELECT MEANING
			FROM FA_LOOKUPS_TL
			WHERE LOOKUP_TYPE='MASS_TRX_STATUS'
			AND LOOKUP_CODE  ='COMPLETED'
      AND LANGUAGE = fl.LANGUAGE_CODE
			)
			WHEN MT.CONCURRENT_REQUEST_ID IS NULL
			THEN
			(SELECT MEANING
			FROM FA_LOOKUPS_TL
			WHERE LOOKUP_TYPE='MASS_TRX_STATUS'
			AND LOOKUP_CODE  ='NEW'
      AND LANGUAGE = fl.LANGUAGE_CODE
			)
			END) TRANS_STATUS ,
			(
			CASE
			WHEN RS.USER_CONCURRENT_PROGRAM_NAME = 'Mass Transfers Preview Report'
			THEN 'PREVIEWED'
			WHEN RS.USER_CONCURRENT_PROGRAM_NAME ='Mass Transfer'
			THEN 'COMPLETED'
			WHEN MT.CONCURRENT_REQUEST_ID IS NULL
			THEN 'NEW'
			END) TRANS_STATUS_CODE
			,
			(
			CASE
			WHEN MT.FROM_LOCATION_ID &lt;&gt; MT.TO_LOCATION_ID
			THEN
			(SELECT MEANING
			FROM FA_LOOKUPS_TL
			WHERE LOOKUP_TYPE='FA_ECC_MASS_TRANSFER_TYPE'
			AND LOOKUP_CODE  ='LOCATION_TRANSFER'
      AND LANGUAGE = fl.LANGUAGE_CODE
			)
			||'|'
			ELSE ''
			END)
			|| (
			CASE
			WHEN MT.FROM_GL_CCID&lt;&gt; MT.TO_GL_CCID
			THEN
			(SELECT MEANING
			FROM FA_LOOKUPS_TL
			WHERE LOOKUP_TYPE='FA_ECC_MASS_TRANSFER_TYPE'
			AND LOOKUP_CODE  ='DEPRECIATION_EXPENSE_TRANSFER'
      AND LANGUAGE = fl.LANGUAGE_CODE
			)
			||'|'
			ELSE ''
			END)
			|| (
			CASE
			WHEN MT.FROM_EMPLOYEE_ID &lt;&gt; MT.TO_EMPLOYEE_ID
			THEN
			(SELECT MEANING
			FROM FA_LOOKUPS_TL
			WHERE LOOKUP_TYPE='FA_ECC_MASS_TRANSFER_TYPE'
			AND LOOKUP_CODE  ='EMPLOYEE_TRANSFER'
      AND LANGUAGE = fl.LANGUAGE_CODE
			)
			ELSE
			(SELECT MEANING
			FROM FA_LOOKUPS_TL
			WHERE LOOKUP_TYPE='FA_ECC_MASS_TRANSFER_TYPE'
			AND LOOKUP_CODE  ='NO_TRANSFER_DET'
      AND LANGUAGE = fl.LANGUAGE_CODE
			)
			END) AS TRANSFER_TYPE
			/* UNION ATTRIBUTES*/
			,
			''            AS CHANGE_TYPE 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fl.LANGUAGE_CODE AS LANGUAGE
			FROM FA_MASS_TRANSFERS MT,
			FA_BOOK_CONTROLS BC,
			FA_CATEGORIES_B FC,
			FND_CONC_REQ_SUMMARY_V RS ,
			FA_SYSTEM_CONTROLS FSC,
      FND_LANGUAGES fl
			WHERE MT.BOOK_TYPE_CODE                         = BC.BOOK_TYPE_CODE
      AND fl.INSTALLED_FLAG in ('B','I')
			AND BC.BOOK_CLASS                               = 'CORPORATE'
			AND BC.DATE_INEFFECTIVE                        IS NULL
			AND MT.CATEGORY_ID                              = FC.CATEGORY_ID(+)
			AND MT.CONCURRENT_REQUEST_ID                    = RS.REQUEST_ID(+)
			AND NVL(RS.USER_CONCURRENT_PROGRAM_NAME, '$$') &lt;&gt; 'Mass Transfer'
			AND ((MT.CONCURRENT_REQUEST_ID                 IS NULL
			AND ( (to_date(MT.DATE_EFFECTIVE,'DD-MON-RR HH24:MI:SS') &gt;= to_date('23-APR-20','DD-MON-RR HH24:MI:SS')
			AND MT.DATE_EFFECTIVE                           &lt; SYSDATE )))
			OR ( ( to_date(RS.ACTUAL_COMPLETION_DATE,'DD-MON-RR HH24:MI:SS')  &gt;=  to_date('23-APR-20','DD-MON-RR HH24:MI:SS')
			AND RS.ACTUAL_COMPLETION_DATE                   &lt; SYSDATE )))
      UNION ALL
			SELECT 'Asset revaluation' AS RECORD_TYPE,
			NVL(MR.LAST_REQUEST_ID,0)
			||'-'
			||MR.MASS_REVAL_ID
			||'-'
			||MRR.ASSET_ID AS ECC_SPEC_ID,
			MR.LAST_UPDATE_DATE ECC_LAST_UPDATE_DATE,
			MR.LAST_REQUEST_ID REQUEST_NUM,
			MR.MASS_REVAL_ID TRANS_NUM,
			NVL(BC.ORG_ID,-9999) AS ORG_ID,
			BC.BOOK_TYPE_CODE BOOK_CODE,
			BC.BOOK_TYPE_NAME BOOK_NAME,
			MR.REVAL_DATE TRANS_DATE,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'BASED_CATEGORY',
      P_SHOW_PARENT_SEGMENTS =&gt; 'N', P_OUTPUT_TYPE=&gt;'FULL_DESCRIPTION') ) MAJOR_CATEGORY 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'MINOR_CATEGORY',
      P_SHOW_PARENT_SEGMENTS =&gt; 'N', P_OUTPUT_TYPE=&gt;'FULL_DESCRIPTION')) MINOR_CATEGORY,
			DECODE(FC.CATEGORY_ID,NULL,NULL, FND_FLEX_XML_PUBLISHER_APIS.PROCESS_KFF_COMBINATION_1(P_LEXICAL_NAME =&gt; 'ASSETCATEGORY' ,
      P_APPLICATION_SHORT_NAME =&gt; 'OFA', P_ID_FLEX_CODE =&gt; 'CAT#', P_ID_FLEX_NUM =&gt; FSC.CATEGORY_FLEX_STRUCTURE,
      P_DATA_SET =&gt; FSC.CATEGORY_FLEX_STRUCTURE, P_CCID =&gt; FC.CATEGORY_ID, P_SEGMENTS =&gt; 'ALL', P_SHOW_PARENT_SEGMENTS =&gt; 'N',
      P_OUTPUT_TYPE=&gt;'FULL_DESCRIPTION')) ASSET_CATEGORY ,
			MR.DESCRIPTION TRANS_DESCRIPTION ,
			LO.MEANING AS TRANS_STATUS ,
			MR.STATUS  AS TRANS_STATUS_CODE ,
			''         AS TRANSFER_TYPE ,
			''         AS CHANGE_TYPE
			/* UNION ATTRIBUTES*/
			,
			AD.ASSET_NUMBER AS ASSET_NUMBER ,
			''              AS ASSET_DESCRIPTION ,
			''              AS ADDITION_ACCOUNTING_YEAR ,
			''              AS ADDITION_MONTH_YEAR ,
			TO_NUMBER('')   AS ADDITION_COST ,
			TO_NUMBER('')   AS ADDITION_UNITS ,
			''              AS ADDITION_SOURCE_NAME ,
			TO_NUMBER('')   AS ADDITION_BATCH_ID ,
			TO_DATE('')     AS ADDITION_BATCH_DATE ,
			''              AS ADDITION_PO_NUMBER ,
			TO_NUMBER('')   AS ADDITION_INV_ID ,
			''              AS ADDITION_INV_NUMBER ,
			TO_DATE('')     AS ADDITION_INV_DATE ,
			TO_NUMBER('')   AS ADDITION_INV_LINE_NUMBER ,
			''              AS ADDITION_INV_DESCRIPTION ,
			''              AS ADDITION_SUPPLIER_NUMBER ,
			''              AS ADDITION_SUPPLIER_NAME ,
			''              AS ADDITION_PROJ_NAME ,
			''              AS ADDITION_PROJ_TASK ,
			''              AS AMORTIZED,
      LO.LANGUAGE
			FROM FA_MASS_REVALUATIONS MR,
			FA_MASS_REVALUATION_RULES MRR,
			FA_BOOK_CONTROLS BC,
			FA_CATEGORIES_B FC ,
			FA_ADDITIONS_B AD,
			FA_SYSTEM_CONTROLS FSC,
      FA_LOOKUPS FL,
			FA_LOOKUPS_TL LO
			WHERE MR.MASS_REVAL_ID       = MRR.MASS_REVAL_ID(+)
			AND MR.BOOK_TYPE_CODE        = BC.BOOK_TYPE_CODE
			AND BC.BOOK_CLASS            = 'CORPORATE'
			AND BC.DATE_INEFFECTIVE     IS NULL
			AND MRR.CATEGORY_ID          = FC.CATEGORY_ID(+)
			AND MRR.ASSET_ID             = AD.ASSET_ID(+)
			AND MR.STATUS               &lt;&gt; ('COMPLETED')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 to_date('23-APR-20','DD-MON-RR HH24:MI:SS')
			AND MR.LAST_UPDATE_DATE      &lt; SYSDATE ))
      UNION ALL
			SELECT 'Asset Change' AS RECORD_TYPE,
			NVL(MC.CONCURRENT_REQUEST_ID,0)
			||'-'
			||MC.MASS_CHANGE_ID AS ECC_SPEC_ID,
			MC.LAST_UPDATE_DATE ECC_LAST_UPDATE_DATE,
			MC.CONCURRENT_REQUEST_ID REQUEST_NUM,
			MC.MASS_CHANGE_ID TRANS_NUM,
			NVL(BC.ORG_ID,-9999) AS ORG_ID,
			BC.BOOK_TYPE_CODE BOOK_CODE,
			BC.BOOK_TYPE_NAME BOOK_NAME,
			MC.TRANSACTION_DATE_ENTERED TRANS_DATE,
			''         AS ASSET_CATEGORY,
			''         AS MAJOR_CATEGORY,
			''         AS MINOR_CATEGORY,
			''         AS TRANS_DESCRIPTION ,
			LO.MEANING AS TRANS_STATUS ,
			MC.STATUS  AS TRANS_STATUS_CODE ,
			''         AS TRANSFER_TYPE ,
			(
			CASE
			WHEN MC.FROM_DATE_PLACED_IN_SERVICE &lt;&gt; MC.TO_DATE_PLACED_IN_SERVICE
			THEN
			(SELECT MEANING
			FROM FA_LOOKUPS_TL
			WHERE LOOKUP_TYPE='FA_ECC_MASS_CHANGE_TYPE'
			AND LOOKUP_CODE  ='DPIS_CHANGE'
      AND LANGUAGE = LO.LANGUAGE
			)
			||'|'
			ELSE ''
			END)
			|| (
			CASE
			WHEN MC.FROM_CONVENTION &lt;&gt; MC.TO_CONVENTION
			THEN
			(SELECT MEANING
			FROM FA_LOOKUPS_TL
			WHERE LOOKUP_TYPE='FA_ECC_MASS_CHANGE_TYPE'
			AND LOOKUP_CODE  ='PRORATE_CONVENTION_CHANGE'
      AND LANGUAGE = LO.LANGUAGE
			)
			||'|'
			ELSE ''
			END)
			|| (
			CASE
			WHEN MC.FROM_LIFE_IN_MONTHS &lt;&gt; MC.TO_LIFE_IN_MONTHS
			THEN
			(SELECT MEANING
			FROM FA_LOOKUPS_TL
			WHERE LOOKUP_TYPE='FA_ECC_MASS_CHANGE_TYPE'
			AND LOOKUP_CODE  ='ASSET_LIFE_CHANGE'
      AND LANGUAGE = LO.LANGUAGE
			)
			||'|'
			ELSE ''
			END)
			|| (
			CASE
			WHEN MC.FROM_METHOD_CODE &lt;&gt; MC.TO_METHOD_CODE
			THEN
			(SELECT MEANING
			FROM FA_LOOKUPS_TL
			WHERE LOOKUP_TYPE='FA_ECC_MASS_CHANGE_TYPE'
			AND LOOKUP_CODE  ='DEPRECIATION_METHOD_CHANGE'
      AND LANGUAGE = LO.LANGUAGE
			)
			||'|'
			ELSE ''
			END)
			|| (
			CASE
			WHEN MC.FROM_BASIC_RATE &lt;&gt; MC.FROM_ADJUSTED_RATE
			THEN
			(SELECT MEANING
			FROM FA_LOOKUPS_TL
			WHERE LOOKUP_TYPE='FA_ECC_MASS_CHANGE_TYPE'
			AND LOOKUP_CODE  ='DEPRECIATION_RATE_CHANGE'
      AND LANGUAGE = LO.LANGUAGE
			)
			||'|'
			ELSE ''
			END)
			|| (
			CASE
			WHEN MC.FROM_PRODUCTION_CAPACITY &lt;&gt; MC.TO_PRODUCTION_CAPACITY
			THEN
			(SELECT MEANING
			FROM FA_LOOKUPS_TL
			WHERE LOOKUP_TYPE='FA_ECC_MASS_CHANGE_TYPE'
			AND LOOKUP_CODE  ='PRODUCTION_CAPACITY_CHANGE'
      AND LANGUAGE = LO.LANGUAGE
			)
			||'|'
			ELSE ''
			END)
			|| (
			CASE
			WHEN MC.FROM_UOM &lt;&gt; MC.TO_UOM
			THEN
			(SELECT MEANING
			FROM FA_LOOKUPS_TL
			WHERE LOOKUP_TYPE='FA_ECC_MASS_CHANGE_TYPE'
			AND LOOKUP_CODE  ='UNIT_CHANGE'
      AND LANGUAGE = LO.LANGUAGE
			)
			||'|'
			ELSE ''
			END )
			|| (
			CASE
			WHEN MC.FROM_GROUP_ASSOCIATION &lt;&gt; MC.TO_GROUP_ASSOCIATION
			THEN
			(SELECT MEANING
			FROM FA_LOOKUPS_TL
			WHERE LOOKUP_TYPE='FA_ECC_MASS_CHANGE_TYPE'
			AND LOOKUP_CODE  ='GROUP_ASSOCIATION_CHANGE'
      AND LANGUAGE = LO.LANGUAGE
			)
			||'|'
			ELSE ''
			END)
			|| (
			CASE
			WHEN MC.FROM_SALVAGE_TYPE        &lt;&gt; MC.TO_SALVAGE_TYPE
			OR MC.FROM_PERCENT_SALVAGE_VALUE &lt;&gt; MC.TO_PERCENT_SALVAGE_VALUE
			OR MC.FROM_SALVAGE_VALUE         &lt;&gt; MC.FROM_SALVAGE_VALUE
			THEN
			(SELECT MEANING
			FROM FA_LOOKUPS_TL
			WHERE LOOKUP_TYPE='FA_ECC_MASS_CHANGE_TYPE'
			AND LOOKUP_CODE  ='SALVAGE_VALUE_CHANGE'
      AND LANGUAGE = LO.LANGUAGE
			)
			||'|'
			ELSE ''
			END)
			|| (
			CASE
			WHEN MC.FROM_DEPRN_LIMIT_TYPE &lt;&gt; MC.TO_DEPRN_LIMIT_TYPE
			OR MC.TO_DEPRN_LIMIT          &lt;&gt; MC.TO_DEPRN_LIMIT
			OR MC.FROM_DEPRN_LIMIT_AMOUNT &lt;&gt; MC.TO_DEPRN_LIMIT_AMOUNT
			THEN
			(SELECT MEANING
			FROM FA_LOOKUPS_TL
			WHERE LOOKUP_TYPE='FA_ECC_MASS_CHANGE_TYPE'
			AND LOOKUP_CODE  ='DEPRECIATION_LIMIT_CHANGE'
      AND LANGUAGE = LO.LANGUAGE
			)
			ELSE
			(SELECT MEANING
			FROM FA_LOOKUPS_TL
			WHERE LOOKUP_TYPE='FA_ECC_MASS_CHANGE_TYPE'
			AND LOOKUP_CODE  ='NO_CHANGE_DET'
      AND LANGUAGE = LO.LANGUAGE
			)
			END )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MC.AMORTIZE_FLAG AMORTIZED,
      LO.LANGUAGE
			FROM FA_MASS_CHANGES MC,
			FA_BOOK_CONTROLS BC,
      FA_LOOKUPS FL,
			FA_LOOKUPS_TL LO
			WHERE MC.BOOK_TYPE_CODE      = BC.BOOK_TYPE_CODE
			AND BC.BOOK_CLASS            = 'CORPORATE'
			AND BC.DATE_INEFFECTIVE     IS NULL
			AND MC.STATUS               &lt;&gt; 'COMPLETED'
			AND LO.LOOKUP_TYPE           ='MASS_TRX_STATUS'
			AND FL.LOOKUP_TYPE = lo.LOOKUP_TYPE
       AND FL.lookup_code = lo.lookup_code
			 and FL.enabled_flag='Y'
			AND MC.STATUS                = LO.LOOKUP_CODE
			AND ( ( to_date(to_char(MC.LAST_UPDATE_DATE,'DD-MON-RR HH24:MI:SS'),'DD-MON-RR HH24:MI:SS')&gt;=  to_date('23-APR-20','DD-MON-RR HH24:MI:SS')
			AND MC.LAST_UPDATE_DATE      &lt; SYSDATE ))
			UNION ALL
			SELECT 'Asset Reclass' AS RECORD_TYPE,
			  NVL(MR.CONCURRENT_REQUEST_ID, 0)
			  ||'-'
			  ||MR.MASS_RECLASS_ID AS ECC_SPEC_ID,
			  MR.LAST_UPDATE_DATE ECC_LAST_UPDATE_DATE,
			  MR.CONCURRENT_REQUEST_ID REQUEST_NUM,
			  MR.MASS_RECLASS_ID TRANS_NUM,
			  NVL(BC.ORG_ID,-9999) AS ORG_ID,
			  MR.BOOK_TYPE_CODE BOOK_CODE,
			  BC.BOOK_TYPE_NAME BOOK_NAME,
			  MR.TRANSACTION_DATE_ENTERED TRANS_DATE,
			  '' AS ASSET_CATEGORY,
			  '' AS MAJOR_CATEGORY,
			  '' AS MINOR_CATEGORY,
			  '' AS TRANS_DESCRIPTION ,
			  LO.MEANING TRANS_STATUS ,
			  MR.STATUS TRANS_STATUS_CODE ,
			  '' AS TRANSFER_TYPE ,
			  '' AS CHANGE_TYPE
			  /* UNION ATTRIBUTES*/
			  ,
			  ''            AS ASSET_NUMBER ,
			  ''            AS ASSET_DESCRIPTION ,
			  ''            AS ADDITION_ACCOUNTING_YEAR ,
			  ''            AS ADDITION_MONTH_YEAR ,
			  TO_NUMBER('') AS ADDITION_COST ,
			  TO_NUMBER('') AS ADDITION_UNITS ,
			  ''            AS ADDITION_SOURCE_NAME ,
			  TO_NUMBER('') AS ADDITION_BATCH_ID ,
			  TO_DATE('')   AS ADDITION_BATCH_DATE ,
			  ''            AS ADDITION_PO_NUMBER ,
			  TO_NUMBER('') AS ADDITION_INV_ID ,
			  ''            AS ADDITION_INV_NUMBER ,
			  TO_DATE('')   AS ADDITION_INV_DATE ,
			  TO_NUMBER('') AS ADDITION_INV_LINE_NUMBER ,
			  ''            AS ADDITION_INV_DESCRIPTION ,
			  ''            AS ADDITION_SUPPLIER_NUMBER ,
			  ''            AS ADDITION_SUPPLIER_NAME ,
			  ''            AS ADDITION_PROJ_NAME ,
			  ''            AS ADDITION_PROJ_TASK ,
			  MR.AMORTIZE_FLAG AMORTIZED,
        LO.LANGUAGE
			FROM FA_MASS_RECLASS MR,
			  FA_BOOK_CONTROLS BC,
        FA_LOOKUPS FL,
			  FA_LOOKUPS_TL LO
			WHERE MR.BOOK_TYPE_CODE      = BC.BOOK_TYPE_CODE
			AND BC.BOOK_CLASS            = 'CORPORATE'
			AND BC.DATE_INEFFECTIVE     IS NULL
			AND MR.STATUS               &lt;&gt; 'COMPLETED'
			AND LO.LOOKUP_TYPE           ='MASS_TRX_STATUS'
			AND FL.LOOKUP_TYPE = lo.LOOKUP_TYPE
       AND FL.lookup_code = lo.lookup_code
			 and FL.enabled_flag='Y'
			AND MR.STATUS                = LO.LOOKUP_CODE
			AND ( ( to_date(to_char(MR.LAST_UPDATE_DATE,'DD-MON-RR HH24:MI:SS'),'DD-MON-RR HH24:MI:SS') &gt;= to_date('23-APR-20','DD-MON-RR HH24:MI:SS')
			AND MR.LAST_UPDATE_DATE      &lt; SYSDATE ))
			UNION ALL
			-- ASSET MASS RETIREMENTS
			SELECT 'Asset Retirement' AS RECORD_TYPE,
			NVL(MT.RETIRE_REQUEST_ID,0)
			||'-'
			||MT.MASS_RETIREMENT_ID AS ECC_SPEC_ID,
			MT.LAST_UPDATE_DATE ECC_LAST_UPDATE_DATE,
			MT.RETIRE_REQUEST_ID REQUEST_NUM,
			MT.MASS_RETIREMENT_ID TRANS_NUM,
			NVL(BC.ORG_ID,-9999) AS ORG_ID,
			MT.BOOK_TYPE_CODE BOOK_CODE,
			BC.BOOK_TYPE_NAME BOOK_NAME,
			MT.RETIREMENT_DATE TRANS_DATE,
			'' AS ASSET_CATEGORY,
			'' AS MAJOR_CATEGORY,
			'' AS MINOR_CATEGORY,
			'' AS TRANS_DESCRIPTION ,
			LO.MEANING TRANS_STATUS ,
			MT.STATUS TRANS_STATUS_CODE ,
			'' AS TRANSFER_TYPE ,
			'' AS CHANGE_TYPE
			/* UNION ATTRIBUTES*/
			,
			''            AS ASSET_NUMBER ,
			''            AS ASSET_DESCRIPTION ,
			''            AS ADDITION_ACCOUNTING_YEAR ,
			''            AS ADDITION_MONTH_YEAR ,
			TO_NUMBER('') AS ADDITION_COST ,
			TO_NUMBER('') AS ADDITION_UNITS ,
			''            AS ADDITION_SOURCE_NAME ,
			TO_NUMBER('') AS ADDITION_BATCH_ID ,
			TO_DATE('')   AS ADDITION_BATCH_DATE ,
			''            AS ADDITION_PO_NUMBER ,
			TO_NUMBER('') AS ADDITION_INV_ID ,
			''            AS ADDITION_INV_NUMBER ,
			TO_DATE('')   AS ADDITION_INV_DATE ,
			TO_NUMBER('') AS ADDITION_INV_LINE_NUMBER ,
			''            AS ADDITION_INV_DESCRIPTION ,
			''            AS ADDITION_SUPPLIER_NUMBER ,
			''            AS ADDITION_SUPPLIER_NAME ,
			''            AS ADDITION_PROJ_NAME ,
			''            AS ADDITION_PROJ_TASK ,
			''            AS AMORTIZED,
      LO.LANGUAGE
			FROM FA_MASS_RETIREMENTS MT,
			FA_BOOK_CONTROLS BC,
      FA_LOOKUPS FL,
			FA_LOOKUPS_TL LO
			WHERE MT.BOOK_TYPE_CODE      = BC.BOOK_TYPE_CODE
			AND BC.BOOK_CLASS            = 'CORPORATE'
			AND BC.DATE_INEFFECTIVE     IS NULL
			AND MT.STATUS               &lt;&gt; 'COMPLETED'
			AND LO.LOOKUP_TYPE           ='MASS_TRX_STATUS'
			AND FL.LOOKUP_TYPE = lo.LOOKUP_TYPE
       AND FL.lookup_code = lo.lookup_code
			 and FL.enabled_flag='Y'
			AND MT.STATUS                = LO.LOOKUP_CODE
			AND ( ( to_date(to_char(MT.LAST_UPDATE_DATE,'DD-MON-RR HH24:MI:SS'),'DD-MON-RR HH24:MI:SS') &gt;=  to_date('23-APR-20' ,'DD-MON-RR HH24:MI:SS')
			AND MT.LAST_UPDATE_DATE      &lt; SYSDATE ))
			UNION ALL
						SELECT 'Mass Additions' AS RECORD_TYPE,
			  MA.MASS_ADDITION_ID
			  || '' AS ECC_SPEC_ID,
			  NVL(MA.LAST_UPDATE_DATE,MA.CREATION_DATE) ECC_LAST_UPDATE_DATE,
			  TO_NUMBER('')         AS REQUEST_NUM,
			  TO_NUMBER('')         AS TRANS_NUM,
			  NVL(FBC.ORG_ID,-9999) AS ORG_ID,
			  MA.BOOK_TYPE_CODE     AS BOOK_CODE,
			  FBC.BOOK_TYPE_NAME BOOK_NAME,
			  MA.ACCOUNTING_DATE AS TRANS_DATE,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'BASED_CATEGORY',
        P_SHOW_PARENT_SEGMENTS =&gt; 'N', P_OUTPUT_TYPE=&gt;'DESCRIPTION') ) MAJOR_CATEGORY 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'MINOR_CATEGORY',
        P_SHOW_PARENT_SEGMENTS =&gt; 'N', P_OUTPUT_TYPE=&gt;'DESCRIPTION')) MINOR_CATEGORY,
			  DECODE(FC.CATEGORY_ID,NULL,NULL, FND_FLEX_XML_PUBLISHER_APIS.PROCESS_KFF_COMBINATION_1(P_LEXICAL_NAME =&gt; 'ASSETCATEGORY' ,
        P_APPLICATION_SHORT_NAME =&gt; 'OFA', P_ID_FLEX_CODE =&gt; 'CAT#', P_ID_FLEX_NUM =&gt; FSC.CATEGORY_FLEX_STRUCTURE,
        P_DATA_SET =&gt; FSC.CATEGORY_FLEX_STRUCTURE, P_CCID =&gt; FC.CATEGORY_ID, P_SEGMENTS =&gt; 'ALL', P_SHOW_PARENT_SEGMENTS =&gt; 'N',
        P_OUTPUT_TYPE=&gt;'DESCRIPTION')) ASSET_CATEGORY ,
			  '' AS TRANS_DESCRIPTION ,
			  LO.MEANING TRANS_STATUS ,
			  MA.QUEUE_NAME                         AS TRANS_STATUS_CODE ,
			  ''                                    AS TRANSFER_TYPE ,
			  ''                                    AS CHANGE_TYPE ,
			  MA.ASSET_NUMBER                       AS ASSET_NUMBER ,
			  MA.DESCRIPTION                        AS ASSET_DESCRIPTION ,
			  TO_CHAR(MA.ACCOUNTING_DATE,'YYYY')    AS ADDITION_ACCOUNTING_YEAR ,
			  TO_CHAR(MA.ACCOUNTING_DATE,'MM-YYYY') AS ADDITION_MONTH_YEAR ,
			  MA.FIXED_ASSETS_COST                  AS ADDITION_COST ,
			  MA.FIXED_ASSETS_UNITS                 AS ADDITION_UNITS ,
			  MA.FEEDER_SYSTEM_NAME                 AS ADDITION_SOURCE_NAME
			  ,
			  MA.CREATE_BATCH_ID     AS ADDITION_BATCH_ID ,
			  MA.CREATE_BATCH_DATE   AS ADDITION_BATCH_DATE ,
			  MA.PO_NUMBER           AS ADDITION_PO_NUMBER ,
			  MA.INVOICE_ID          AS ADDITION_INV_ID ,
			  MA.INVOICE_NUMBER      AS ADDITION_INV_NUMBER ,
			  MA.INVOICE_DATE        AS ADDITION_INV_DATE ,
			  MA.INVOICE_LINE_NUMBER AS ADDITION_INV_LINE_NUMBER ,
			  MA.DESCRIPTION         AS ADDITION_INV_DESCRIPTION ,
			  PO.SEGMENT1            AS ADDITION_SUPPLIER_NUMBER ,
			  PO.VENDOR_NAME         AS ADDITION_SUPPLIER_NAME
			  ,
			  PJ.NAME        AS ADDITION_PROJ_NAME ,
			  PT.TASK_NUMBER AS ADDITION_PROJ_TASK ,
			  MA.AMORTIZE_FLAG AMORTIZED,
        LO.LANGUAGE
			FROM AP_SUPPLIERS PO ,
			  FA_ADDITIONS_B AD ,
			  FA_MASS_ADDITIONS MA ,
			  FA_WARRANTIES WAR ,
			  FA_ADDITIONS_B GAD ,
			  PA_PROJECTS_ALL PJ ,
			  PA_TASKS PT ,
			  FA_CATEGORIES_B FC ,
			  FA_BOOK_CONTROLS FBC ,
			  FA_DEPRN_PERIODS FDP1 ,
			  FA_DEPRN_PERIODS FDP2 ,
			  GL_LEDGERS LGR ,
			  FA_SYSTEM_CONTROLS FSC ,
        FA_LOOKUPS FL,
			  FA_LOOKUPS_TL LO
			WHERE FBC.BOOK_TYPE_CODE        = FDP1.BOOK_TYPE_CODE
			AND FBC.BOOK_CLASS              = 'CORPORATE'
			AND FBC.DATE_INEFFECTIVE       IS NULL
			AND FBC.SET_OF_BOOKS_ID         = LGR.LEDGER_ID
			AND LGR.OBJECT_TYPE_CODE        = 'L'
			AND NVL(LGR.COMPLETE_FLAG, 'Y') = 'Y'
			AND FBC.LAST_PERIOD_COUNTER     = FDP1.PERIOD_COUNTER
			AND FBC.BOOK_TYPE_CODE          = FDP2.BOOK_TYPE_CODE
			AND FBC.LAST_PERIOD_COUNTER+1   = FDP2.PERIOD_COUNTER
			AND FBC.DATE_INEFFECTIVE       IS NULL
			AND MA.BOOK_TYPE_CODE           = FBC.BOOK_TYPE_CODE
			AND MA.ASSET_CATEGORY_ID        = FC.CATEGORY_ID (+)
			AND MA.PROJECT_ID               = PJ.PROJECT_ID ( + )
			AND MA.TASK_ID                  = PT.TASK_ID (    + )
			AND MA.PO_VENDOR_ID             = PO.VENDOR_ID (  + )
			AND MA.PARENT_ASSET_ID          = AD.ASSET_ID (   + )
			AND MA.WARRANTY_ID              = WAR.WARRANTY_ID (+)
			AND GAD.ASSET_ID (+)            = MA.GROUP_ASSET_ID
			AND NVL(MA.POSTING_STATUS, 'A')  not in   ('POSTED','SPLIT')
			 AND ma.queue_name = lo.lookup_code
			 AND lo.LOOKUP_TYPE   = 'QUEUE NAME'
       AND FL.LOOKUP_TYPE = lo.LOOKUP_TYPE
       AND FL.lookup_code = lo.lookup_code
			 and FL.enabled_flag='Y'
			AND MA.POST_BATCH_ID           IS NULL
			And ( (  to_date( to_char(Nvl(Ma.Last_Update_Date,Ma.Creation_Date),'DD-MON-RR HH24:MI:SS'),'DD-MON-RR HH24:MI:SS')    &gt;= to_date('23-APR-20','DD-MON-RR HH24:MI:SS')
			AND  NVL(MA.LAST_UPDATE_DATE,MA.CREATION_DATE)         &lt; SYSDATE )) and LO.language in ('US') )
      PIVOT (max(TRANS_STATUS) as TRANS_STATUS,
             max(TRANSFER_TYPE) as TRANSFER_TYPE,
             max(CHANGE_TYPE) as CHANGE_TYPE
            for LANGUAGE in ('US' "US"))</t>
  </si>
  <si>
    <t>SELECT mt.CONCURRENT_REQUEST_ID
						  ||'-'
						  ||mt.MASS_TRANSFER_ID AS ECC_SPEC_ID
						FROM FA_MASS_TRANSFERS mt,
						  FA_BOOK_CONTROLS bc,
						  FND_CONC_REQ_SUMMARY_V rs
						WHERE mt.book_type_code                         = bc.book_type_code
						AND bc.book_class                               = 'CORPORATE'
						AND bc.date_ineffective                        IS NULL
						AND mt.CONCURRENT_REQUEST_ID                    = rs.request_id
						AND NVL(rs.USER_CONCURRENT_PROGRAM_NAME, '$$') = 'Mass Transfer'
						And ( ( to_date(to_char(Rs.Actual_Completion_Date,'DD-MON-RR HH24:MI:SS'),'DD-MON-RR HH24:MI:SS')  &gt;=  to_date('23-APR-20','DD-MON-RR HH24:MI:SS')
						AND rs.ACTUAL_COMPLETION_DATE                   &lt; sysdate ))
						UNION ALL
						SELECT NVL(mr.last_request_id,0)
						  ||'-'
						  ||mr.mass_reval_id
						  ||'-'
						  ||mrr.ASSET_ID AS ECC_SPEC_ID
						  FROM fa_mass_revaluations mr,
						  FA_BOOK_CONTROLS bc,
						   FA_MASS_REVALUATION_RULES  mrr
						WHERE mr.book_type_code      = bc.book_type_code
						AND bc.book_class            = 'CORPORATE'
						AND bc.date_ineffective     IS NULL
						AND mr.status              = ('COMPLETED')
						and mr.mass_reval_id = mrr.mass_reval_id(+)
						And ( ( to_date(to_char(Mr.Last_Update_Date,'DD-MON-RR HH24:MI:SS'),'DD-MON-RR HH24:MI:SS') &gt;=  to_date('23-APR-20','DD-MON-RR HH24:MI:SS')
						AND mr.last_update_date      &lt; sysdate ))
						UNION ALL
						SELECT
						  NVL(mc.concurrent_request_id,0)
						  ||'-'
						  ||mc.mass_change_id AS ECC_SPEC_ID
						From Fa_Mass_Changes Mc,
						FA_BOOK_CONTROLS bc
						WHERE mc.book_type_code      = bc.book_type_code
						AND bc.book_class            = 'CORPORATE'
						AND bc.date_ineffective     IS NULL
						AND mc.status               = 'COMPLETED'
						And ( ( to_date(to_char(Mc.Last_Update_Date,'DD-MON-RR HH24:MI:SS'),'DD-MON-RR HH24:MI:SS') &gt;=  to_date('23-APR-20','DD-MON-RR HH24:MI:SS')
						AND mc.last_update_date     &lt; sysdate ))
						UNION ALL
						SELECT NVL(mr.concurrent_request_id, 0)
						  ||'-'
						  ||mr.MASS_RECLASS_ID AS ECC_SPEC_ID
						FROM FA_MASS_RECLASS mr,
						  FA_BOOK_CONTROLS bc
						WHERE mr.BOOK_TYPE_CODE      = bc.BOOK_TYPE_CODE
						AND bc.book_class            = 'CORPORATE'
						AND bc.date_ineffective     IS NULL
						AND mr.status              = 'COMPLETED'
						And ( ( to_date(to_char(Mr.Last_Update_Date,'DD-MON-RR HH24:MI:SS'),'DD-MON-RR HH24:MI:SS') &gt;=  to_date('23-APR-20','DD-MON-RR HH24:MI:SS')
						AND mr.last_update_date     &lt; sysdate))
						UNION ALL
						-- Asset Mass Retirements
						SELECT
						  NVL(mt.RETIRE_REQUEST_ID,0)
						  ||'-'
						  ||mt.MASS_RETIREMENT_ID AS ECC_SPEC_ID
						FROM FA_MASS_RETIREMENTS mt,
						  FA_BOOK_CONTROLS bc
						WHERE mt.BOOK_TYPE_CODE      = bc.BOOK_TYPE_CODE
						AND bc.book_class            = 'CORPORATE'
						AND bc.date_ineffective     IS NULL
						AND mt.status               = 'COMPLETED'
						And ( ( to_date(to_char(Mt.Last_Update_Date,'DD-MON-RR HH24:MI:SS'),'DD-MON-RR HH24:MI:SS') &gt;=  to_date('23-APR-20','DD-MON-RR HH24:MI:SS')
						AND mt.last_update_date      &lt; sysdate ))
						UNION ALL
						SELECT distinct ma.MASS_ADDITION_ID
						  || '' AS ECC_SPEC_ID
						FROM fa_mass_additions ma ,
						  FA_BOOK_CONTROLS fbc ,
						  FA_DEPRN_PERIODS fdp1 ,
						  FA_DEPRN_PERIODS fdp2 ,
						  GL_LEDGERS LGR
						WHERE ma.book_type_code         = fbc.book_type_code
						AND MA.POSTING_STATUS              IN  ('POSTED','SPLIT')
						AND fbc.book_class              = 'CORPORATE'
						AND fbc.date_ineffective       IS NULL
						AND fbc.set_of_books_id         = LGR.LEDGER_ID
						AND LGR.OBJECT_TYPE_CODE        = 'L'
						AND NVL(LGR.COMPLETE_FLAG, 'Y') = 'Y'
						AND fbc.last_period_counter     = fdp1.period_counter
						AND fbc.book_type_code          = fdp2.book_type_code
						AND fbc.last_period_counter+1   = fdp2.period_counter
						AND fbc.date_ineffective       IS NULL
            AND MA.post_batch_id           IS NULL
						And ( ( to_date(to_char(Ma.Last_Update_Date,'DD-MON-RR HH24:MI:SS'),'DD-MON-RR HH24:MI:SS')   &gt;=  to_date('23-APR-20','DD-MON-RR HH24:MI:SS')
						AND ma.last_update_date         &lt; sysdate ))</t>
  </si>
  <si>
    <t xml:space="preserve">SELECT * FROM ( SELECT  ECC_SPEC_ID,TASK_ID,CREATION_DATE,TASK_NUMBER,TASK_TYPE_ID,TASK_STATUS_ID,TASK_PRIORITY_ID,OWNER_ID,OWNER_TYPE_CODE,ADDRESS,
                 PLANNED_START_DATE,PLANNED_END_DATE,SCHEDULED_START_DATE,SCHEDULED_END_DATE,ACTUAL_START_DATE,ACTUAL_END_DATE,
                 SOURCE_OBJECT_TYPE_CODE,SOURCE_OBJECT_ID,SOURCE_OBJECT_NAME,REASON_CODE, PRIVATE_FLAG, PUBLISH_FLAG, RESTRICT_SR_CLOSURE, PARENT_TASK_ID,
                 OPEN_FLAG,LOCATION_ID,LANGUAGE,FIELD_SERVICE_TASK_FLAG,ESCALATED_FLAG,AT_RISK_FLAG,PAST_DUE_FLAG,
                 DUE_DATE,LAST_UPDATE_DATE,SERVICE_REQUEST,CUSTOMER,ALERT,GROUP_OWNER_ID,INCIDENT_TYPE_ID,INCIDENT_OWNER_ID,OWNER_GROUP_ID,
                 TASK_SUBJECT,TASK_TYPE,STATUS,PRIORITY,OWNER,OWNER_TYPE,ASSIGNEE_NAME,ASSIGNEE_TYPE,AT_RISK,PAST_DUE FROM CS_ECC_SERVICE_TASKS_V WHERE LANGUAGE in ('US'))
                 PIVOT( MAX(TASK_SUBJECT) AS TASK_SUBJECT,
                 MAX(TASK_TYPE) AS TASK_TYPE,
                 MAX(STATUS) AS STATUS,
                 MAX(PRIORITY) AS PRIORITY,
                 MAX(OWNER) AS OWNER,
                 MAX(OWNER_TYPE) AS OWNER_TYPE,
                 MAX(ASSIGNEE_NAME) AS ASSIGNEE_NAME,
                 MAX(ASSIGNEE_TYPE) AS ASSIGNEE_TYPE,
                 MAX(AT_RISK) AS AT_RISK,
                 MAX(PAST_DUE) AS PAST_DUE
                for LANGUAGE in ('US' "US")) where  last_update_date &gt; to_date(to_char(to_timestamp('23-APR-20 06.47.14.000000 PM'),'DD-MON-YY HH24.MI.SS'),'DD-MON-YY HH24.MI.SS') </t>
  </si>
  <si>
    <t xml:space="preserve">select * from (select ECC_SPEC_ID,dfv.*,xdfv.*, INCIDENT_ID, SERVICE_REQUEST_NUMBER, INCIDENT_TYPE_ID, INCIDENT_DATE, YEAR_CREATED, QUARTER_CREATED, MONTH_CREATED, WEEK_CREATED,
                OWNER_JOB_TITLE,OWNER_EMAIL, OWNER_PHONE, OWNER_MANAGER_NAME,INCIDENT_OWNER_ID,ASSIGNED_GROUP_EMAIL,UNASSIGNED_FLAG,
                UNASSIGNED_OWNER_FLAG,OWNER_GROUP_ID,ERROR_CODE,INCIDENT_SEVERITY_ID,INCIDENT_LANG,ESCALATED_CODE,CUSTOMER_ID,CUSTOMER,
                CUSTOMER_NUMBER,CUSTOMER_EMAIL_ADDRESS,CUSTOMER_PHONE,CUSTOMER_ADDRESS,ACCOUNT,ACTUAL_RESOLUTION_DATE,DATE_CLOSED,
                INCIDENT_OCCURRED_DATE,RESOLVED_ON,RESPONDED_ON,RESOLUTION_TIME, DAYS_OPEN,HOURS_SINCE_LAST_UPDATE,
                CLOSED_FLAG_CODE,OPEN_FLAG_CODE,YEAR_CLOSED,QUARTER_CLOSED,MONTH_CLOSED,WEEK_CLOSED,RESPONSE_AT_RISK_FLAG,RESOLUTION_AT_RISK_FLAG,
                RESOLUTION_PAST_DUE_FLAG,RESPONSE_PAST_DUE_FLAG,DAYS_SINCE_RESPONSE_PAST_DUE,DAYS_SINCE_RESOLUTION_PAST_DUE,AGE,
                LAST_UPDATE_DATE,DAYS_SINCE_LAST_UPDATE,ESCALATION_NUMBER,ORG_ID,DATE_CREATED,INCIDENT_ADDRESS,PRIMARY_CONTACT_NAME,
                PRIMARY_CONTACT_PHONE,PRIMARY_CONTACT_EMAIL,PRIMARY_CONTACT_PARTY_ID,PRIM_CONTACT_REL_ID,INVENTORY_ITEM_ID,CUSTOMER_PRODUCT_ID,
                ITEM,ITEM_CATEGORY,ITEM_REVISION,ITEM_INSTANCE,SERIAL_NUMBER,TAG_NUMBER,RESPOND_BY,RESOLVE_BY,CONTRACT,
                CONTRACT_SERVICE_ID,COVERAGE_START_DATE,COVERAGE_END_DATE,AT_RISK_FLAG,PAST_DUE_FLAG,ALERT,
                REQUEST_TYPE,SUMMARY, STATUS, INDIVIDUAL_OWNER, ASSIGNED_GROUP, UNASSIGNED, UNASSIGNED_OWNER,CUSTOMER_URGENCY,SEVERITY,
                ESCALATED,CUSTOMER_TYPE,CUSTOMER_COUNTRY,
                CLOSED_FLAG,OPEN_FLAG,RESPONSE_AT_RISK,RESOLUTION_AT_RISK,RESOLUTION_PAST_DUE,RESPONSE_PAST_DUE,ESCALATION_LEVEL,ESCALATED_STATUS,
                OPERATING_UNIT,ITEM_DESCRIPTION,SYSTEM_NAME,RESOLUTION_TYPE,PROBLEM_TYPE,CONTRACT_STATUS,COVERAGE_NAME,COVERAGE_DESCRIPTION,
                COVERAGE_TYPE,AT_RISK,PAST_DUE,ALERT_STATUS,CONTACT_NAMES,CONTACT_PHONE_NUMBERS,CONTACT_EMAIL_ADDRESSES,NON_PRIMARY_ITEMS,NON_PRIM_ITEM_INSTANCES,
                NON_PRIM_SERIAL_NUMBERS FROM CS_ECC_SERVICE_DTLS_V srd
                 , (select 'SR_ROW_ID','SR_CONTEXT_VALUE','SR_ADDITIONAL_INFO','SR_CONCATENATED_SEGMENTS' from dual where 1=2  union select ROWIDTOCHAR(ROW_ID),CONTEXT_VALUE,ADDITIONAL_INFO,CONCATENATED_SEGMENTS from CS_INCIDENTS_ALL_B_DFV) dfv , (select 'SRXT_ROW_ID','SRXT_CONTEXT_VALUE','SRXT_ITEM','SRXT_SERIAL_NUMBER','SRXT_CUSTOMER_NAME','SRXT_CUSTOMER_ADDRESS','SRXT_CI_NAME','SRXT_CI_TAG','SRXT_CI_ENVIRONMENT','SRXT_CI_USER_COUNT','SRXT_CI_IMPACT','SRXT_IMPACT','SRXT_SPECIAL_INSTRUCTIONS','SRXT_CONCATENATED_SEGMENTS' from dual where 1=2  union select ROWIDTOCHAR(ROW_ID),CONTEXT_VALUE,ITEM,SERIAL_NUMBER,CUSTOMER_NAME,CUSTOMER_ADDRESS,CI_NAME,CI_TAG,CI_ENVIRONMENT,CI_USER_COUNT,CI_IMPACT,IMPACT,SPECIAL_INSTRUCTIONS,CONCATENATED_SEGMENTS from CS_INCIDENTS_ALL_B1_DFV) xdfv  WHERE srd.sr_rowid = dfv."'SR_ROW_ID'"(+) AND srd.sr_rowid = xdfv."'SRXT_ROW_ID'"(+)  AND  INCIDENT_LANG in ('US'))
               PIVOT (
               MAX(REQUEST_TYPE) AS REQUEST_TYPE,
                 MAX(SUMMARY) AS SUMMARY,
                 MAX(STATUS) AS STATUS,
                 MAX(INDIVIDUAL_OWNER) AS INDIVIDUAL_OWNER,
                 MAX(ASSIGNED_GROUP) AS ASSIGNED_GROUP,
                 MAX(UNASSIGNED) AS UNASSIGNED,
                 MAX(UNASSIGNED_OWNER) AS UNASSIGNED_OWNER,
                 MAX(CUSTOMER_URGENCY) AS CUSTOMER_URGENCY,
                 MAX(SEVERITY) AS SEVERITY,
                 MAX(ESCALATED) AS ESCALATED,
                 MAX(CUSTOMER_TYPE) AS CUSTOMER_TYPE,
                 MAX(CUSTOMER_COUNTRY) AS CUSTOMER_COUNTRY,
                 MAX(CLOSED_FLAG) AS CLOSED_FLAG,
                 MAX(OPEN_FLAG) AS OPEN_FLAG,
                 MAX(RESPONSE_AT_RISK) AS RESPONSE_AT_RISK,
                 MAX(RESOLUTION_AT_RISK) AS RESOLUTION_AT_RISK,
                 MAX(RESOLUTION_PAST_DUE) AS RESOLUTION_PAST_DUE,
                 MAX(RESPONSE_PAST_DUE) AS RESPONSE_PAST_DUE,
                 MAX(ESCALATION_LEVEL) AS ESCALATION_LEVEL,
                 MAX(ESCALATED_STATUS) AS ESCALATED_STATUS,
                 MAX(OPERATING_UNIT) AS OPERATING_UNIT,
                 MAX(ITEM_DESCRIPTION) AS ITEM_DESCRIPTION,
                 MAX(SYSTEM_NAME) AS SYSTEM_NAME,
                 MAX(RESOLUTION_TYPE) AS RESOLUTION_TYPE,
                 MAX(PROBLEM_TYPE) AS PROBLEM_TYPE,
                 MAX(CONTRACT_STATUS) AS CONTRACT_STATUS,
                 MAX(COVERAGE_NAME) AS COVERAGE_NAME,
                 MAX(COVERAGE_DESCRIPTION) AS COVERAGE_DESCRIPTION,
                 MAX(COVERAGE_TYPE) AS COVERAGE_TYPE,
                 MAX(AT_RISK) AS AT_RISK,
                 MAX(PAST_DUE) AS PAST_DUE,
                 MAX(ALERT_STATUS) AS ALERT_STATUS
               for INCIDENT_LANG in ('US' "US")) WHERE last_update_date &gt; to_date(to_char(to_timestamp('23-APR-20 06.47.14.000000 PM'),'DD-MON-YY HH24.MI.SS'),'DD-MON-YY HH24.MI.SS') </t>
  </si>
  <si>
    <t>select * from (SELECT   ECC_SPEC_ID,
 RECORD_TYPE,
 PERIOD_NAME,
 PERIOD_YEAR,
 CLOSING_STATUS,
 ledger_id,
 ledger_name,
 ledger_currency,
 operating_unit,
 org_id,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 gl_date,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AE_HEADER_ID,
 line_definition_code,
 line_definition_desc,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XLA_ACC_CODE ,
 XLA_ACC_DESCRIPTION,
 CURRENCY_CODE,
 ENTERED_DR,
 ENTERED_CR,
 ACCOUNTED_DR,
 ACCOUNTED_CR,
 LINES_DESCRIPTION,
 ecc_last_update_date,
 language
 FROM  (  select /*+ leading(ps) */
   acra.cash_receipt_id||'-'||acrha.CASH_RECEIPT_HISTORY_ID||'-'||xe.EVENT_ID||'-'||xe.event_number||'-'||XAH.AE_HEADER_ID||'-'||xal.AE_LINE_NUM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acra.RECEIPT_DATE transaction_date,
   acra.STATUS receipt_status,
      (select meaning from fnd_lookup_values where view_application_id =222 and lookup_type = 'PAYMENT_TYPE' and language=org.language and lookup_code = acra.STATUS)   receipt_status_desc,
   acra.TYPE transaction_type,
   acra.currency_code transaction_currency,
   acra.CONFIRMED_FLAG,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acrha.GL_DATE,
   xe.event_id,
    xe.EVENT_NUMBER,
    xe.EVENT_DATE,
   xe.EVENT_STATUS_CODE,
      (select meaning from fnd_lookup_values where view_application_id =602 and lookup_type = 'XLA_EVENT_STATUS' and language=org.language and lookup_code = xe.EVENT_STATUS_CODE)   EVENT_STATUS_DESC,
   DECODE(xe.PROCESS_STATUS_CODE,'Z','I',xe.PROCESS_STATUS_CODE) PROCESS_STATUS_CODE,
      (select meaning from fnd_lookup_values where view_application_id =602 and lookup_type = 'XLA_EVENT_PROCESS_STATUS' and language=org.language and lookup_code = DECODE(xe.PROCESS_STATUS_CODE,'Z','I',xe.PROCESS_STATUS_CODE) )
    	  PROCESS_STATUS_DESC ,
   xah.EVENT_TYPE_CODE,
      (select NAME from XLA_EVENT_TYPES_TL ett where application_id =222 and language=org.language AND xah.EVENT_TYPE_CODE = ett. EVENT_TYPE_CODE AND xte.ENTITY_CODE = ett.ENTITY_CODE)   EVENT_TYPE_DESC,
   xte.ENTITY_ID,
   xte.entity_code,
   xte.SOURCE_ID_INT_1,
     xdl.ACCOUNTING_LINE_CODE,
	  (select NAME from XLA_ACCT_LINE_TYPES_TL alt where application_id =222 and language=org.language AND xdl.ACCOUNTING_LINE_CODE = alt.ACCOUNTING_LINE_CODE)   ACCOUNTING_LINE_DESC,
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xah.AE_HEADER_ID,
   xah.GL_TRANSFER_STATUS_CODE,
       (select meaning from fnd_lookup_values where view_application_id =602 and lookup_type = 'GL_TRANSFER_FLAG' and language=org.language and lookup_code = xah.GL_TRANSFER_STATUS_CODE) GL_TRANSFER_STATUS_DESC,
   xah.ACCOUNTING_ENTRY_STATUS_CODE,
       (select meaning from fnd_lookup_values where view_application_id =602 and lookup_type = 'XLA_ACCOUNTING_ENTRY_STATUS' and language=org.language and lookup_code = xah.ACCOUNTING_ENTRY_STATUS_CODE) ACCOUNTING_ENTRY_STATUS_DESC,
   xah.ACCOUNTING_ENTRY_TYPE_CODE,
       (select meaning from fnd_lookup_values where view_application_id =602 and lookup_type = 'XLA_ACCOUNTING_ENTRY_TYPE' and language=org.language and lookup_code = xah.ACCOUNTING_ENTRY_TYPE_CODE) ACCOUNTING_ENTRY_TYPE_DESC,
   xah.JE_CATEGORY_NAME,
       (select DESCRIPTION from GL_JE_CATEGORIES_TL jct where language=org.language and xah.JE_CATEGORY_NAME = jct.JE_CATEGORY_NAME) JE_CATEGORY_NAME_DESC,
   xah.DESCRIPTION HEADER_DESCRIPTION,
   xah.BALANCE_TYPE_CODE,
       (select meaning from fnd_lookup_values where view_application_id =602 and lookup_type = 'XLA_BALANCE_TYPE' and language=org.language and lookup_code = xah.BALANCE_TYPE_CODE) BALANCE_TYPE_DESC,
   xah.PERIOD_NAME gl_period_name,
   xal.ACCOUNTING_DATE,
   xal.AE_LINE_NUM,
   xal.DISPLAYED_LINE_NUMBER,
   xal.ACCOUNTING_CLASS_CODE,
       (select meaning from fnd_lookup_values where view_application_id =602 and lookup_type = 'XLA_ACCOUNTING_CLASS'  and language=org.language and lookup_code = xal.ACCOUNTING_CLASS_CODE) ACCOUNTING_CLASS_DESC,
   xal.BUSINESS_CLASS_CODE,
       (select meaning from fnd_lookup_values where view_application_id =602 and lookup_type = 'XLA_BUSINESS_FLOW_CLASS'  and language=org.language and lookup_code = xal.BUSINESS_CLASS_CODE) BUSINESS_CLASS_DESC,
   xal.CODE_COMBINATION_ID,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cc,
   hr_all_organization_units_tl org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acra.org_id =org.Organization_Id
  AND xal.CODE_COMBINATION_ID = cc.CODE_COMBINATION_ID
  and led.CHART_OF_ACCOUNTS_ID = cc.CHART_OF_ACCOUNTS_ID
  and cc.ENABLED_FLAG = 'Y'  AND ( xe.last_update_date    &gt;= to_date('23-APR-20','DD-MON-RR HH24:MI:SS') )  ) acc_unappld_rcpt where acc_unappld_rcpt.language in ('US')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EVENT_TYPE_DESC,MAX ( accounting_line_desc ) AS accounting_line_desc,
   max(GL_TRANSFER_STATUS_DESC) as GL_TRANSFER_STATUS_DESC, max(ACCOUNTING_ENTRY_STATUS_DESC) as ACCOUNTING_ENTRY_STATUS_DESC, max(EVENT_CLASS_DESC) as EVENT_CLASS_DESC,MAX ( line_definition_desc ) AS line_definition_desc,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</si>
  <si>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ECC_SPEC_ID,
 RECORD_TYPE,
 PERIOD_NAME,
 PERIOD_YEAR,
 CLOSING_STATUS,
 ledger_id,
 ledger_name,
 ledger_currency,
 org_id,
 operating_unit,
 set_of_books_id
 CASH_RECEIPT_ID,
 AMOUNT,
 accounted_amount,
 transaction_number,
 transaction_date,
 receipt_status,
 receipt_status_desc,
 transaction_type,
 transaction_currency,
 CONFIRMED_FLAG,
 CASH_RECEIPT_HISTORY_ID,
 rcpt_hstry_status,
 rcpt_hstry_status_desc,
 CREATED_FROM,
 REVERSAL_CREATED_FROM,
-- RECEIVABLE_APPLICATION_ID,
 GL_DATE,
 XLA_ACC_CODE ,
 XLA_ACC_DESCRIPTION,
 event_id,
 event_number,
 event_date,
 EVENT_STATUS_CODE,
 EVENT_STATUS_DESC,
 PROCESS_STATUS_CODE ,
 PROCESS_STATUS_DESC,
 EVENT_TYPE_CODE,
 EVENT_TYPE_DESC,
 entity_id,
 entity_code,
 source_id_int_1,
 ACCOUNTING_LINE_CODE,
 ACCOUNTING_LINE_DESC,
 SOURCE_DISTRIBUTION_TYPE,
 EVENT_CLASS_CODE,
 EVENT_CLASS_DESC,
 LINE_DEFINITION_CODE,
 LINE_DEFINITION_DESC,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ecc_last_update_date,
 language
 FROM (  select  /*+ leading(ps) */
       acra.cash_receipt_id||'-'||acrha.CASH_RECEIPT_HISTORY_ID||'-'||xe.EVENT_ID||'-'||xe.EVENT_NUMBER||'-'||XAl.AE_HEADER_ID||'-'||XAL.AE_LINE_NUM  as ECC_SPEC_ID,
       'RCPT' RECORD_TYPE,
	   ps.PERIOD_NAME,
       ps.PERIOD_YEAR,
       ps.CLOSING_STATUS,
       led.ledger_id,
       led.name ledger_name,
       led.currency_code ledger_currency,
       acra.org_id,
       org.name operating_unit,
       acra.set_of_books_id,
       acra.CASH_RECEIPT_ID,
       acra.AMOUNT,
       acra.amount * Nvl(acra.exchange_rate, 1) accounted_amount,
       acra.RECEIPT_NUMBER transaction_number,
       acra.RECEIPT_DATE transaction_date,
       acra.STATUS receipt_status,
       (select meaning from fnd_lookup_values where view_application_id =222 and lookup_type = 'PAYMENT_TYPE'  and language=org.language and lookup_code = acra.STATUS)   receipt_status_desc,
       acra.TYPE transaction_type,
       acra.currency_code transaction_currency,
       acra.CONFIRMED_FLAG,
       acrha.CASH_RECEIPT_HISTORY_ID,
       acrha.STATUS rcpt_hstry_status,
	   (select meaning from fnd_lookup_values where view_application_id =222 and lookup_type = 'RECEIPT_CREATION_STATUS'  and language=org.language and lookup_code = acrha.STATUS)   rcpt_hstry_status_desc,
       acrha.CREATED_FROM,
       acrha.REVERSAL_CREATED_FROM,
--        arp.RECEIVABLE_APPLICATION_ID,
        acrha.GL_DATE,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xe.event_id,
      xe.EVENT_NUMBER,
      xe.EVENT_DATE,
     xte.ENTITY_ID,
     xte.ENTITY_CODE,
     xte.SOURCE_ID_INT_1,
      xe.EVENT_STATUS_CODE,
      (select meaning from fnd_lookup_values where view_application_id =602 and lookup_type = 'XLA_EVENT_STATUS'
               and language=org.language and lookup_code = xe.EVENT_STATUS_CODE)   EVENT_STATUS_DESC,
      DECODE(xe.PROCESS_STATUS_CODE,'Z','I',xe.PROCESS_STATUS_CODE) PROCESS_STATUS_CODE,
      (select meaning from fnd_lookup_values where view_application_id =602 and lookup_type = 'XLA_EVENT_PROCESS_STATUS'
               and language=org.language and lookup_code = DECODE(xe.PROCESS_STATUS_CODE,'Z','I',xe.PROCESS_STATUS_CODE) )   PROCESS_STATUS_DESC ,
    xah.EVENT_TYPE_CODE,
      (select NAME from XLA_EVENT_TYPES_TL ett where application_id =222 and language=org.language AND xah.EVENT_TYPE_CODE = ett. EVENT_TYPE_CODE AND xte.ENTITY_CODE = ett.ENTITY_CODE)   EVENT_TYPE_DESC,
 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(select meaning from fnd_lookup_values where view_application_id =602 and lookup_type = 'GL_TRANSFER_FLAG'  and language=org.language and lookup_code = xah.GL_TRANSFER_STATUS_CODE) GL_TRANSFER_STATUS_DESC,
    xah.ACCOUNTING_ENTRY_STATUS_CODE,
      (select meaning from fnd_lookup_values where view_application_id =602 and lookup_type = 'XLA_ACCOUNTING_ENTRY_STATUS'  and language=org.language and lookup_code = xah.ACCOUNTING_ENTRY_STATUS_CODE) ACCOUNTING_ENTRY_STATUS_DESC,
    xah.ACCOUNTING_ENTRY_TYPE_CODE,
      (select meaning from fnd_lookup_values where view_application_id =602 and lookup_type = 'XLA_ACCOUNTING_ENTRY_TYPE'  and language=org.language and lookup_code = xah.ACCOUNTING_ENTRY_TYPE_CODE) ACCOUNTING_ENTRY_TYPE_DESC,
    xah.JE_CATEGORY_NAME,
      (select DESCRIPTION from GL_JE_CATEGORIES_TL jct where language=org.language and xah.JE_CATEGORY_NAME = jct.JE_CATEGORY_NAME) JE_CATEGORY_NAME_DESC,
    xah.DESCRIPTION HEADER_DESCRIPTION,
    xah.BALANCE_TYPE_CODE,
      (select meaning from fnd_lookup_values where view_application_id =602 and lookup_type = 'XLA_BALANCE_TYPE' and language=org.language and lookup_code = xah.BALANCE_TYPE_CODE) BALANCE_TYPE_DESC,
    xah.PERIOD_NAME gl_period_name,
    xal.ACCOUNTING_DATE,
    xal.AE_LINE_NUM,
    xal.DISPLAYED_LINE_NUMBER,
    xal.ACCOUNTING_CLASS_CODE,
      (select meaning from fnd_lookup_values where view_application_id =602 and lookup_type = 'XLA_ACCOUNTING_CLASS'  and language=org.language and lookup_code = xal.ACCOUNTING_CLASS_CODE) ACCOUNTING_CLASS_DESC,
    xal.BUSINESS_CLASS_CODE,
      (select meaning from fnd_lookup_values where view_application_id =602 and lookup_type = 'XLA_BUSINESS_FLOW_CLASS' 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gl_period_statuses ps,
   ar_cash_receipts_all acra,
   ar_cash_receipt_history_all acrha,
--   ar_receivable_applications_all arp,
   GL_CODE_COMBINATIONS cc,
   -- XLA
   xla_distribution_links xdl,
   xla_transaction_entities xte,
   xla_events xe,
   xla_ae_headers xah,
   xla_ae_lines xal,
   gl_ledgers led,
   hr_all_organization_units_tl org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 -- new condition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   AND xah.GL_TRANSFER_STATUS_CODE &lt;&gt; 'Y'
   AND XAH.EVENT_ID = XE.EVENT_ID
   AND XAH.APPLICATION_ID = XE.APPLICATION_ID
   and xal.DISPLAYED_LINE_NUMBER &gt;=0 -- new concition
   AND Led.Ledger_Id  = acra.Set_Of_Books_Id
   and acra.org_id =ORG.Organization_Id
   AND xal.CODE_COMBINATION_ID = cc.CODE_COMBINATION_ID
   and led.CHART_OF_ACCOUNTS_ID = cc.CHART_OF_ACCOUNTS_ID
   and cc.ENABLED_FLAG = 'Y'  AND ( xe.last_update_date    &gt;= to_date('23-APR-20','DD-MON-RR HH24:MI:SS') )  ) acc_appld_rcpt where acc_appld_rcpt.language in ('US')  )
  PIVOT(max(OPERATING_UNIT) as OPERATING_UNIT, max(EVENT_STATUS_DESC) as EVENT_STATUS_DESC, max(PROCESS_STATUS_DESC) as PROCESS_STATUS_DESC,
   max(receipt_status_desc) as receipt_status_desc, max(rcpt_hstry_status_desc) as rcpt_hstry_status_desc, max(EVENT_TYPE_DESC) as  EVENT_TYPE_DESC,
   max(ACCOUNTING_LINE_DESC) as ACCOUNTING_LINE_DESC, max(EVENT_CLASS_DESC) as EVENT_CLASS_DESC, max(LINE_DEFINITION_DESC) as LINE_DEFINITION_DESC,
  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</si>
  <si>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>select * from (SELECT   ECC_SPEC_ID,
 RECORD_TYPE,
 PERIOD_NAME,
 PERIOD_YEAR,
 CLOSING_STATUS,
 ledger_id,
 ledger_name,
 ledger_currency,
 org_id,
 operating_unit,
 set_of_books_id,
 CASH_RECEIPT_ID,
 AMOUNT,
 accounted_amount,
 transaction_number,
 transaction_date,
 receipt_status,
 receipt_status_desc,
  transaction_type,
 transaction_currency,
 CONFIRMED_FLAG,
 GL_DATE,
 cash_receipt_history_id,
 rcpt_hstry_status,
 rcpt_hstry_status_desc,
 CREATED_FROM,
 REVERSAL_CREATED_FROM,
 event_id,
 EVENT_NUMBER,
 EVENT_DATE,
 EVENT_TYPE_CODE,
 EVENT_TYPE_DESC,
 EVENT_STATUS_CODE,
 EVENT_STATUS_DESC,
 PROCESS_STATUS_CODE ,
 PROCESS_STATUS_DESC,
 ENTITY_ID,
 ENTITY_CODE,
 source_id_int_1,
 ecc_last_update_date,
 language
 FROM  (  select  /*+ leading(ps)*/
   acra.cash_receipt_id||'-'||acrha.CASH_RECEIPT_HISTORY_ID||'-'||xe.EVENT_ID||'-'||xe.EVENT_NUMBER as ECC_SPEC_ID,
   'RCPT' RECORD_TYPE,
   ps.PERIOD_NAME,
   ps.PERIOD_YEAR,
   ps.CLOSING_STATUS,
   led.ledger_id,
   led.name ledger_name,
   led.currency_code ledger_currency,
   acra.org_id,
   org.name operating_unit,
   acra.set_of_books_id,
   acra.CASH_RECEIPT_ID,
   acra.AMOUNT,
   acra.amount * Nvl(acra.exchange_rate, 1) accounted_amount,
   acra.RECEIPT_NUMBER transaction_number,
   acra.currency_code transaction_currency,
   acra.receipt_date transaction_date,
   acra.STATUS receipt_status,
       (select meaning from fnd_lookup_values where view_application_id =222 and lookup_type = 'PAYMENT_TYPE'  and language=org.language and lookup_code = acra.STATUS)   receipt_status_desc,
   acra.TYPE transaction_type,
   acra.CONFIRMED_FLAG,
   acrha.GL_DATE,
   acrha.cash_receipt_history_id,
   acrha.STATUS RCPT_HSTRY_STATUS,
       (select meaning from fnd_lookup_values where view_application_id =222 and lookup_type = 'RECEIPT_CREATION_STATUS'  and language=org.language and lookup_code = acrha.STATUS)   rcpt_hstry_status_desc,
   acrha.CREATED_FROM,
   acrha.REVERSAL_CREATED_FROM,
   xe.event_id,
   xe.EVENT_NUMBER,
   xe.EVENT_DATE,
   xe.EVENT_TYPE_CODE,
   	   (select NAME from XLA_EVENT_TYPES_TL ett where application_id =222 and language=org.language AND xe.EVENT_TYPE_CODE = ett. EVENT_TYPE_CODE AND xte.ENTITY_CODE = ett.ENTITY_CODE)   EVENT_TYPE_DESC,
   xe.EVENT_STATUS_CODE,
      (select meaning from fnd_lookup_values where view_application_id =602 and lookup_type = 'XLA_EVENT_STATUS' and language=org.language and lookup_code = xe.EVENT_STATUS_CODE)   EVENT_STATUS_DESC,
   xe.PROCESS_STATUS_CODE,
      (select meaning from fnd_lookup_values where view_application_id =602 and lookup_type = 'XLA_EVENT_PROCESS_STATUS'  and language=org.language and lookup_code = xe.PROCESS_STATUS_CODE )   PROCESS_STATUS_DESC ,
   xte.ENTITY_ID,
   xte.ENTITY_CODE,
   xte.SOURCE_ID_INT_1,
 --  arp.RECEIVABLE_APPLICATION_ID
   xe.last_update_date ecc_last_update_date,
   org.language
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	AND xe.event_status_code = 'U'
    and xe.PROCESS_STATUS_CODE = 'U'
    AND xte.ENTITY_ID = xe.ENTITY_ID
    AND Led.Ledger_Id  = acra.Set_Of_Books_Id
    and acra.org_id =org.Organization_Id
	and xe.application_id  = xte.application_id  AND ( xe.last_update_date    &gt;= to_date('23-APR-20','DD-MON-RR HH24:MI:SS') )  )  unacc_rcpt where unacc_rcpt.language in ('US')  )
	 PIVOT(max(OPERATING_UNIT) as OPERATING_UNIT, max(EVENT_STATUS_DESC) as EVENT_STATUS_DESC, max(PROCESS_STATUS_DESC) as PROCESS_STATUS_DESC,max(EVENT_TYPE_DESC) as EVENT_TYPE_DESC,
  max(receipt_status_desc) as receipt_status_desc, max(rcpt_hstry_status_desc) as rcpt_hstry_status_desc
  for LANGUAGE in ('US' "US"))</t>
  </si>
  <si>
    <t>select * from (SELECT  ECC_SPEC_ID,
 RECORD_TYPE,
 PERIOD_NAME,
 PERIOD_YEAR,
 CLOSING_STATUS,
 ledger_id,
 ledger_name,
 ledger_currency,
 org_id,
operating_unit,
 set_of_books_id,
 customer_trx_id,
 amount,
 accounted_amount,
 transaction_number,
 transaction_date,
 transaction_currency,
 transaction_type,
 invoicing_rule_id,
 invoicing_rule,
 XLA_ACC_CODE ,
 XLA_ACC_DESCRIPTION,
 CUST_TRX_LINE_GL_DIST_ID,
 bill_to_customer_id,
 account_number,
 bill_to_customer,
 bill_to_location,
 payment_schedule_id,
 gl_date,
 event_id,
 event_number,
 event_date,
 EVENT_STATUS_CODE,
 EVENT_STATUS_DESC,
 PROCESS_STATUS_CODE,
 PROCESS_STATUS_DESC,
 ACCOUNTING_LINE_CODE,
 ACCOUNTING_LINE_DESC,
 SOURCE_DISTRIBUTION_TYPE,
 EVENT_CLASS_CODE,
 EVENT_CLASS_DESC,
 LINE_DEFINITION_CODE,
 LINE_DEFINITION_DESC,
 EVENT_TYPE_CODE,
 EVENT_TYPE_DESC,
 AE_HEADER_ID,
 GL_TRANSFER_STATUS_CODE,
 GL_TRANSFER_STATUS_DESC,
 ACCOUNTING_ENTRY_STATUS_CODE,
 ACCOUNTING_ENTRY_STATUS_DESC,
 ACCOUNTING_ENTRY_TYPE_code,
 ACCOUNTING_ENTRY_TYPE_DESC,
 JE_CATEGORY_NAME,
 JE_CATEGORY_NAME_DESC,
 HEADER_DESCRIPTION,
 BALANCE_TYPE_CODE,
 BALANCE_TYPE_DESC,
 gl_period_name,
 ACCOUNTING_DATE,
 AE_LINE_NUM,
 DISPLAYED_LINE_NUMBER,
 ACCOUNTING_CLASS_CODE,
 ACCOUNTING_CLASS_DESC,
 BUSINESS_CLASS_CODE,
 BUSINESS_CLASS_DESC,
 CODE_COMBINATION_ID,
 CURRENCY_CODE,
 ENTERED_DR,
 ENTERED_CR,
 ACCOUNTED_DR,
 ACCOUNTED_CR,
 LINES_DESCRIPTION,
 ENTITY_ID,
 ENTITY_CODE,
 SOURCE_ID_INT_1,
 ecc_last_update_date,
 language
 FROM ( select  /*+ leading (ps)*/
       rct.customer_trx_id||'-'||ragd.CUST_TRX_LINE_GL_DIST_ID||'-'||xe.EVENT_ID||'-'||xe.EVENT_NUMBER||'-'||XAL.AE_HEADER_ID||'-'||XAL.AE_LINE_NUM as ECC_SPEC_ID,
       'TRX' RECORD_TYPE,
       ps.PERIOD_NAME,
       ps.PERIOD_YEAR,
       ps.CLOSING_STATUS,
       led.ledger_id,
       led.name ledger_name,
       led.currency_code ledger_currency,
       rct.org_id,
       org.name operating_unit,
       rct.set_of_books_id,
       rct.customer_trx_id,
       arp.AMOUNT_DUE_ORIGINAL amount,
       arp.amount_due_original*nvl(arp.exchange_rate,1) ACCOUNTED_AMOUNT,
       rct.TRX_NUMBER transaction_number,
       rct.TRX_DATE transaction_date,
       rctt.name transaction_type,
       rct.INVOICE_CURRENCY_CODE transaction_currency,
       rct.INVOICING_RULE_ID,
	   rr.NAME invoicing_rule,
      rct.bill_to_customer_id,
      b_bill.account_number account_number,
      b_bill_party.party_name bill_to_customer,
      u_bill.location bill_to_location,
      arp.PAYMENT_SCHEDULE_ID,
    DECODE 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P_OUTPUT_TYPE=&gt;'VALUE')) AS XLA_ACC_CODE ,
   DECODE(xal.CODE_COMBINATION_ID, NULL, NULL,FND_FLEX_XML_PUBLISHER_APIS.PROCESS_KFF_COMBINATION_1
                (P_LEXICAL_NAME =&gt; 'ACCOUNT CODE'
                , P_APPLICATION_SHORT_NAME =&gt; 'SQLGL'
                , P_ID_FLEX_CODE =&gt; 'GL#'
                , P_ID_FLEX_NUM =&gt; led.CHART_OF_ACCOUNTS_ID
                , P_DATA_SET =&gt; led.CHART_OF_ACCOUNTS_ID
                , P_CCID =&gt; xal.CODE_COMBINATION_ID
                , P_SEGMENTS =&gt; 'GL_ACCOUNT'
                , P_SHOW_PARENT_SEGMENTS =&gt; 'Y'
                , P_OUTPUT_TYPE=&gt;'DESCRIPTION')) AS XLA_ACC_DESCRIPTION,
      ragd.CUST_TRX_LINE_GL_DIST_ID,
      arp.gl_date,
      xe.event_id,
    xe.EVENT_NUMBER,
    xe.EVENT_DATE,
    xe.EVENT_STATUS_CODE,
      (select meaning from fnd_lookup_values where view_application_id =602 and lookup_type = 'XLA_EVENT_STATUS'  and language=org.language and lookup_code = xe.EVENT_STATUS_CODE)   EVENT_STATUS_DESC,
    DECODE(xe.PROCESS_STATUS_CODE,'Z','I',xe.PROCESS_STATUS_CODE) PROCESS_STATUS_CODE,
      (select meaning from fnd_lookup_values where view_application_id =602 and lookup_type = 'XLA_EVENT_PROCESS_STATUS'  and language=org.language and lookup_code = DECODE(xe.PROCESS_STATUS_CODE,'Z','I',xe.PROCESS_STATUS_CODE))
    	  PROCESS_STATUS_DESC ,
    xah.EVENT_TYPE_CODE,
      (select NAME from XLA_EVENT_TYPES_TL ett where application_id =222 and language=org.language AND xah.EVENT_TYPE_CODE = ett. EVENT_TYPE_CODE AND xte.ENTITY_CODE = ett.ENTITY_CODE)   EVENT_TYPE_DESC,
    xte.ENTITY_ID,
    xte.ENTITY_CODE,
    xte.SOURCE_ID_INT_1,
    xdl.ACCOUNTING_LINE_CODE,
	  (select NAME from XLA_ACCT_LINE_TYPES_TL alt where application_id =222 and language=org.language AND xdl.ACCOUNTING_LINE_CODE = alt.ACCOUNTING_LINE_CODE)   ACCOUNTING_LINE_DESC,
      xdl.SOURCE_DISTRIBUTION_TYPE,
    xdl.EVENT_CLASS_CODE,
	  (select NAME from XLA_EVENT_CLASSES_TL ect where application_id =222 and language=org.language AND xdl.EVENT_CLASS_CODE = ect.EVENT_CLASS_CODE  AND xte.ENTITY_CODE = ect.ENTITY_CODE)   EVENT_CLASS_DESC,
    xdl.LINE_DEFINITION_CODE,
	  (select NAME from XLA_LINE_DEFINITIONS_TL ldt where application_id =222 and language=org.language AND xdl.EVENT_CLASS_CODE = ldt.EVENT_CLASS_CODE  AND xdl.LINE_DEFINITION_CODE = ldt.LINE_DEFINITION_CODE)   LINE_DEFINITION_DESC,
    xah.AE_HEADER_ID,
    xah.GL_TRANSFER_STATUS_CODE,
       (select meaning from fnd_lookup_values where view_application_id =602 and lookup_type = 'GL_TRANSFER_FLAG' and language=org.language and lookup_code = xah.GL_TRANSFER_STATUS_CODE) GL_TRANSFER_STATUS_DESC,
    xah.ACCOUNTING_ENTRY_STATUS_CODE,
       (select meaning from fnd_lookup_values where view_application_id =602 and lookup_type = 'XLA_ACCOUNTING_ENTRY_STATUS' and language=org.language and lookup_code = xah.ACCOUNTING_ENTRY_STATUS_CODE) ACCOUNTING_ENTRY_STATUS_DESC,
    xah.ACCOUNTING_ENTRY_TYPE_CODE,
       (select meaning from fnd_lookup_values where view_application_id =602 and lookup_type = 'XLA_ACCOUNTING_ENTRY_TYPE' and language=org.language and lookup_code = xah.ACCOUNTING_ENTRY_TYPE_CODE) ACCOUNTING_ENTRY_TYPE_DESC,
    xah.JE_CATEGORY_NAME,
       (select DESCRIPTION from GL_JE_CATEGORIES_TL jct where language=org.language and xah.JE_CATEGORY_NAME = jct.JE_CATEGORY_NAME) JE_CATEGORY_NAME_DESC,
    xah.DESCRIPTION HEADER_DESCRIPTION,
    xah.BALANCE_TYPE_CODE,
       (select meaning from fnd_lookup_values where view_application_id =602 and lookup_type = 'XLA_BALANCE_TYPE'   and language=org.language and lookup_code = xah.BALANCE_TYPE_CODE) BALANCE_TYPE_DESC,
    xah.PERIOD_NAME gl_period_name,
    xal.ACCOUNTING_DATE,
    xal.AE_LINE_NUM,
    xal.DISPLAYED_LINE_NUMBER,
    xal.ACCOUNTING_CLASS_CODE,
        (select meaning from fnd_lookup_values where view_application_id =602 and lookup_type = 'XLA_ACCOUNTING_CLASS'  and language=org.language and lookup_code = xal.ACCOUNTING_CLASS_CODE) ACCOUNTING_CLASS_DESC,
    xal.BUSINESS_CLASS_CODE,
        (select meaning from fnd_lookup_values where view_application_id =602 and lookup_type = 'XLA_BUSINESS_FLOW_CLASS' and language=org.language and lookup_code = xal.BUSINESS_CLASS_CODE) BUSINESS_CLASS_DESC,
    xal.CODE_COMBINATION_ID,
    xal.CURRENCY_CODE,
    xal.ENTERED_DR,
    xal.ENTERED_CR,
    xal.ACCOUNTED_DR,
    xal.ACCOUNTED_CR,
    xal.DESCRIPTION LINES_DESCRIPTION,
    xe.last_update_date ecc_last_update_date,
    org.language
from
    gl_period_statuses ps,
    -- Receivables Tables
    ra_customer_trx_all rct,
    ra_cust_trx_line_gl_dist_all ragd,
	ra_cust_trx_types_all rctt,
    AR_PAYMENT_SCHEDULES_ALL arp,
    -- XLA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hr_all_organization_units_tl org,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   AND xah.GL_TRANSFER_STATUS_CODE &lt;&gt; 'Y'
	and xah.ACCOUNTING_ENTRY_STATUS_CODE &lt;&gt; 'N'
    and xal.DISPLAYED_LINE_NUMBER &gt;=0
    AND XE.EVENT_ID = XAH.EVENT_ID
    AND XAH.APPLICATION_ID = XE.APPLICATION_ID
    AND Led.Ledger_Id  = rct.Set_Of_Books_Id
    and rct.org_id =org.Organization_Id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to_date('23-APR-20','DD-MON-RR HH24:MI:SS') )  )  acc_trx where acc_trx.language in ('US')  )
    PIVOT(max(OPERATING_UNIT) as OPERATING_UNIT, max(EVENT_STATUS_DESC) as EVENT_STATUS_DESC, max(PROCESS_STATUS_DESC) as PROCESS_STATUS_DESC,
   max(ACCOUNTING_LINE_DESC) as ACCOUNTING_LINE_DESC, max(EVENT_CLASS_DESC) as EVENT_CLASS_DESC, max(LINE_DEFINITION_DESC) as LINE_DEFINITION_DESC,
   max(EVENT_TYPE_DESC) as EVENT_TYPE_DESC, max(GL_TRANSFER_STATUS_DESC) as GL_TRANSFER_STATUS_DESC, max(ACCOUNTING_ENTRY_STATUS_DESC) as ACCOUNTING_ENTRY_STATUS_DESC,
   max(ACCOUNTING_ENTRY_TYPE_DESC) as ACCOUNTING_ENTRY_TYPE_DESC, max(JE_CATEGORY_NAME_DESC) as JE_CATEGORY_NAME_DESC, max(BALANCE_TYPE_DESC) as BALANCE_TYPE_DESC,
   max(ACCOUNTING_CLASS_DESC) as ACCOUNTING_CLASS_DESC, max(BUSINESS_CLASS_DESC) as BUSINESS_CLASS_DESC
  for LANGUAGE in ('US' "US"))</t>
  </si>
  <si>
    <t xml:space="preserve">select * from (SELECT ECC_SPEC_ID,
RECORD_TYPE,
PERIOD_NAME,
PERIOD_YEAR,
CLOSING_STATUS,
LEDGER_ID,
LEDGER_NAME,
LEDGER_CURRENCY,
ORG_ID,
OPERATING_UNIT,
set_of_books_id,
BILL_TO_CUSTOMER_ID,
ACCOUNT_NUMBER,
BILL_TO_CUSTOMER,
BILL_TO_LOCATION,
CUSTOMER_TRX_ID,
PAYMENT_SCHEDULE_ID,
TRANSACTION_TYPE,
transaction_number,
transaction_date,
transaction_currency,
INVOICING_RULE_ID,
INVOICING_RULE,
AMOUNT,
ACCOUNTED_AMOUNT,
GL_DATE,
EVENT_ID,
EVENT_NUMBER,
EVENT_DATE,
EVENT_TYPE_CODE,
EVENT_TYPE_DESC,
EVENT_STATUS_DESC,
EVENT_STATUS_CODE,
PROCESS_STATUS_CODE,
PROCESS_STATUS_DESC,
ENTITY_ID,
ENTITY_CODE,
SOURCE_ID_INT_1,
ECC_LAST_UPDATE_DATE,
LANGUAGE
FROM (  select -- /*+ leading (ps)*/
    rct.customer_trx_id||'-'||arp.PAYMENT_SCHEDULE_ID||'-'||xe.event_id||'-'||xe.EVENT_NUMBER as ECC_SPEC_ID,
	'TRX' RECORD_TYPE,
    ps.PERIOD_NAME,
    ps.PERIOD_YEAR,
    ps.CLOSING_STATUS,
    led.ledger_id,
    led.name ledger_name,
    led.currency_code ledger_currency,
    rct.org_id,
    ORG.name operating_unit,
    rct.bill_to_customer_id,
    b_bill.account_number,
    b_bill_party.party_name bill_to_customer,
    u_bill.location bill_to_location,
    rct.customer_trx_id,
    arp.PAYMENT_SCHEDULE_ID,
    rctt.name transaction_type,
    rct.set_of_books_id,
    rct.TRX_NUMBER transaction_number,
    rct.TRX_DATE transaction_date,
    rct.INVOICE_CURRENCY_CODE transaction_currency,
    rct.INVOICING_RULE_ID,
    rr.NAME invoicing_rule,
    arp.AMOUNT_DUE_ORIGINAL amount,
    arp.amount_due_original*nvl(arp.exchange_rate,1) ACCOUNTED_AMOUNT,
    arp.gl_date,
    xe.event_id,
    xe.EVENT_NUMBER,
    xe.EVENT_DATE,
    xe.EVENT_TYPE_CODE,
	   (select NAME from XLA_EVENT_TYPES_TL ett where application_id =222 and language=org.language AND xe.EVENT_TYPE_CODE = ett. EVENT_TYPE_CODE AND xte.ENTITY_CODE = ett.ENTITY_CODE)   EVENT_TYPE_DESC,
	xe.EVENT_STATUS_CODE,
    EVENT_STATUS.meaning EVENT_STATUS_DESC,
	xe.PROCESS_STATUS_CODE,
    PROCESS_STATUS.meaning PROCESS_STATUS_DESC,
    xte.ENTITY_ID,
    xte.ENTITY_CODE,
    xte.SOURCE_ID_INT_1,
    xe.last_update_date ecc_last_update_date,
    ORG.LANGUAGE
from
    gl_period_statuses ps,
    ra_customer_trx_all rct,
    ra_cust_trx_types_all rctt,
    AR_PAYMENT_SCHEDULES_ALL arp,
    xla_transaction_entities xte,
    xla_events xe,
    gl_ledgers led,
    hr_all_organization_units_tl org,
    hz_cust_accounts b_bill,
    hz_parties b_bill_party,
    HZ_CUST_SITE_USES_ALL u_bill,
    RA_RULES rr  ,
    FND_LOOKUP_VALUES    EVENT_STATUS,
    FND_LOOKUP_VALUES    PROCESS_STATUS
where
    ps.application_id=222
    AND ps.SET_OF_BOOKS_ID = rct.SET_OF_BOOKS_ID
    AND xe.EVENT_DATE between ps.START_DATE and ps.END_DATE
    AND ps.CLOSING_STATUS = 'O'
    and rct.complete_flag = 'Y'
    and rct.CUSTOMER_TRX_ID = arp.CUSTOMER_TRX_ID
    AND rct.cust_trx_type_id = rctt.cust_trx_type_id
    and rr.RULE_ID (+)= rct.INVOICING_RULE_ID
    AND rct.org_id = rctt.org_id
    and xe.application_id = 222
    AND xte.ENTITY_ID = xe.ENTITY_ID
    and xe.application_id = xte.application_id
    AND xe.EVENT_STATUS_CODE  = 'U'
    AND xe.PROCESS_STATUS_CODE = 'U'
    and xte.source_application_id = 222
    AND rct.CUSTOMER_TRX_ID = xte.SOURCE_ID_INT_1
    AND Led.Ledger_Id  = rct.Set_Of_Books_Id
    and rct.org_id = ORG.Organization_Id
    AND rct.bill_to_customer_id = b_bill.cust_account_id
    AND b_bill.party_id = b_bill_party.party_id
    AND rct.bill_to_site_use_id = u_bill.site_use_id
    AND rct.org_id = u_bill.org_id
    AND EVENT_STATUS.lookup_code = XE.EVENT_STATUS_CODE
    and EVENT_STATUS.language = ORG.language
    and EVENT_STATUS.VIEW_APPLICATION_ID  = 602
    and EVENT_STATUS.lookup_type = 'XLA_EVENT_STATUS'
    and process_status.lookup_code = xe.PROCESS_STATUS_CODE
    and PROCESS_STATUS.language = ORG.language
    and PROCESS_STATUS.VIEW_APPLICATION_ID  = 602
    and process_status.lookup_type = 'XLA_EVENT_PROCESS_STATUS'  AND ( xe.last_update_date    &gt;= to_date('23-APR-20','DD-MON-RR HH24:MI:SS') )  ) unacc_trx where unacc_trx.language in ('US')  )
    	PIVOT(max(OPERATING_UNIT) as OPERATING_UNIT, max(EVENT_STATUS_DESC) as EVENT_STATUS_DESC, max(PROCESS_STATUS_DESC) as PROCESS_STATUS_DESC
        , max(EVENT_TYPE_DESC) as EVENT_TYPE_DESC
  for LANGUAGE in ('US' "US"))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</si>
  <si>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--   xla_distribution_links xdl,
     (select * from (select xdl.*, rank() over(partition by application_id,ae_line_num,ae_header_id,event_id order by temp_line_num) as rnk  from xla_distribution_links xdl) where rnk=1) xdl,
   xla_events xe,
   xla_transaction_entities xte,
   xla_ae_headers xah,
   xla_ae_lines xal,
   gl_ledgers led,
   GL_CODE_COMBINATIONS cc
where
  acra.STATUS &lt;&gt; 'APP'
  AND ps.APPLICATION_ID = 222
  AND ps.SET_OF_BOOKS_ID = acra.SET_OF_BOOKS_ID
  AND acrha.GL_DATE between ps.START_DATE and ps.END_DATE
  AND ps.CLOSING_STATUS = 'O'
  AND acra.cash_receipt_id = acrha.cash_receipt_id
--  and acra.cash_receipt_id = arp.cash_receipt_id(+)
--  and arp.display (+)='Y'
--  AND xdl.EVENT_ID = arp.EVENT_ID(+)
  and xe.event_id = acrha.event_id
  and xe.APPLICATION_ID=222
  and Xah.APPLICATION_ID=xal.APPLICATION_ID
  and xe.PROCESS_STATUS_CODE &lt;&gt; 'U'
  AND xah.ZERO_AMOUNT_FLAG = 'N'
--  and xah.GL_TRANSFER_STATUS_CODE &lt;&gt; 'Y'
  AND xal.displayed_line_number &gt;= 0
  and XAH.AE_HEADER_ID = XAL.AE_HEADER_ID
  AND XAH.EVENT_ID = XE.EVENT_ID
  AND XAH.APPLICATION_ID = XE.APPLICATION_ID
  AND xte.ENTITY_ID = xe.ENTITY_ID
  AND xte.APPLICATION_ID = xe.APPLICATION_ID
  AND xdl.source_distribution_type = 'AR_DISTRIBUTIONS_ALL'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AND Led.Ledger_Id  = acra.Set_Of_Books_Id
  AND xal.CODE_COMBINATION_ID = cc.CODE_COMBINATION_ID
  and led.CHART_OF_ACCOUNTS_ID = cc.CHART_OF_ACCOUNTS_ID
  and cc.ENABLED_FLAG = 'Y' AND ( xe.last_update_date    &gt;= to_date('23-APR-20','DD-MON-RR HH24:MI:SS') ) </t>
  </si>
  <si>
    <t xml:space="preserve">SELECT /*+ LEADING(ps) */
                                 'ECC_SPEC_ID' as ATTRIBUTE_NAME,
                                   acra.cash_receipt_id as ATTRIBUTE_VALUE,
                                  'LIKE' AS OPERATOR  from
   gl_period_statuses ps,
   ar_cash_receipts_all acra,
   ar_cash_receipt_history_all acrha,
--   ar_receivable_applications_all arp,
   GL_CODE_COMBINATIONS cc,
   xla_distribution_links xdl,
   xla_transaction_entities xte,
   xla_events xe,
   xla_ae_headers xah,
   xla_ae_lines xal,
   gl_ledgers led
where
   ps.APPLICATION_ID = 222
   AND ps.SET_OF_BOOKS_ID = acra.SET_OF_BOOKS_ID
   AND acrha.GL_DATE between ps.START_DATE and ps.END_DATE
   AND ps.closing_status = 'O'
   AND acra.STATUS = 'APP'
   AND acra.cash_receipt_id = acrha.cash_receipt_id
--   and acra.cash_receipt_id = arp.cash_receipt_id
--   and arp.display (+)='Y'
--   AND xdl.EVENT_ID = arp.EVENT_ID
   and xe.application_id = 222
   AND xe.process_status_code &lt;&gt; 'U'
   AND xdl.source_distribution_type = 'AR_DISTRIBUTIONS_ALL'
   and xe.event_id = acrha.event_id
   and xe.application_id  = xte.application_id
   AND xte.ENTITY_ID = xe.ENTITY_ID
   and xdl.EVENT_ID = acrha.event_id
   and xdl.application_id  = xah.application_id
--   AND xdl.EVENT_ID = arp.EVENT_ID -- new condition
   AND XDL.AE_HEADER_ID = XAH.AE_HEADER_ID
   and xdl.application_id  = xal.application_id
   AND XDL.AE_HEADER_ID = XAL.AE_HEADER_ID
   AND XDL.AE_LINE_NUM = XAL.AE_LINE_NUM
   AND xah.ZERO_AMOUNT_FLAG = 'N'
   AND xah.ACCOUNTING_ENTRY_STATUS_CODE &lt;&gt; 'N'
--   AND xah.GL_TRANSFER_STATUS_CODE &lt;&gt; 'Y'
   AND XAH.EVENT_ID = XE.EVENT_ID
   AND XAH.APPLICATION_ID = XE.APPLICATION_ID
   and xal.DISPLAYED_LINE_NUMBER &gt;=0
   AND Led.Ledger_Id  = acra.Set_Of_Books_Id
   AND xal.CODE_COMBINATION_ID = cc.CODE_COMBINATION_ID
   and led.CHART_OF_ACCOUNTS_ID = cc.CHART_OF_ACCOUNTS_ID
   and cc.ENABLED_FLAG = 'Y'  AND ( xe.last_update_date    &gt;= to_date('23-APR-20','DD-MON-RR HH24:MI:SS') ) </t>
  </si>
  <si>
    <t xml:space="preserve"> SELECT acra.cash_receipt_id||'-'||acrha.CASH_RECEIPT_HISTORY_ID||'-'||xe.EVENT_ID||'-'||xe.EVENT_NUMBER as ECC_SPEC_ID
    from
   gl_period_statuses ps,
   ar_cash_receipts_all acra,
   ar_cash_receipt_history_all acrha,
   xla_events xe,
   xla_transaction_entities xte,
   gl_ledgers led,
   hr_all_organization_units_tl org
where
    ps.APPLICATION_ID = 222
    AND ps.SET_OF_BOOKS_ID = acra.SET_OF_BOOKS_ID
    AND xe.EVENT_DATE between ps.START_DATE and ps.END_DATE
	AND ps.closing_status = 'O'
    AND acra.cash_receipt_id = acrha.cash_receipt_id(+)
    and acrha.current_record_flag = 'Y'
    and acrha.posting_control_id = -3
    and acrha.postable_flag = 'Y'
    and xe.application_id = 222
    and xe.event_id = acrha.event_id
--	AND xe.event_status_code = 'U'
    AND xe.process_status_code &lt;&gt; 'U'
    AND xte.ENTITY_ID = xe.ENTITY_ID
    AND Led.Ledger_Id  = acra.Set_Of_Books_Id
    and acra.org_id =org.Organization_Id
	and xe.application_id  = xte.application_id  AND ( xe.last_update_date    &gt;= to_date('23-APR-20','DD-MON-RR HH24:MI:SS') ) </t>
  </si>
  <si>
    <t xml:space="preserve">SELECT /*+ LEADING(ps) */
                                 'ECC_SPEC_ID' as ATTRIBUTE_NAME,
                                   rct.customer_trx_id as ATTRIBUTE_VALUE,
                                  'LIKE' AS OPERATOR  from
    gl_period_statuses ps,
    ra_customer_trx_all rct,
    ra_cust_trx_line_gl_dist_all ragd,
	ra_cust_trx_types_all rctt,
    AR_PAYMENT_SCHEDULES_ALL arp,
    xla_transaction_entities xte,
    xla_events xe,
     (select * from (select xdl.*, rank() over(partition by application_id,ae_line_num,ae_header_id,event_id order by temp_line_num) as rnk  from xla_distribution_links xdl) where rnk=1) xdl,
    xla_ae_headers xah,
    xla_ae_lines xal,
    GL_CODE_COMBINATIONS cc,
    gl_ledgers led,
    RA_RULES rr  ,
    hz_cust_accounts   b_bill,
    hz_parties         b_bill_party ,
    HZ_CUST_SITE_USES_ALL    u_bill
where
    ps.application_id=222
    AND ps.SET_OF_BOOKS_ID = rct.SET_OF_BOOKS_ID
    AND ragd.GL_DATE between ps.START_DATE and ps.END_DATE
    and rct.CUSTOMER_TRX_ID = ragd.CUSTOMER_TRX_ID
    AND ps.CLOSING_STATUS = 'O'
    AND rct.CUSTOMER_TRX_ID = xte.SOURCE_ID_INT_1
	and rr.RULE_ID (+)= rct.INVOICING_RULE_ID
	AND rct.cust_trx_type_id = rctt.cust_trx_type_id
    and rct.CUSTOMER_TRX_ID = arp.CUSTOMER_TRX_ID
    AND rct.org_id = rctt.org_id
    and xe.application_id = 222
	AND xe.process_status_code &lt;&gt; 'U'
    AND xte.ENTITY_ID = xe.ENTITY_ID
    and xe.application_id = xte.application_id
    AND ragd.CUST_TRX_LINE_GL_DIST_ID = xdl.SOURCE_DISTRIBUTION_ID_NUM_1
    AND xdl.EVENT_ID = ragd.EVENT_ID
    AND XDL.AE_HEADER_ID = XAH.AE_HEADER_ID
    AND xdl.application_id = XAH.APPLICATION_ID
	AND xdl.application_id = xal.APPLICATION_ID
    AND XDL.AE_HEADER_ID = XAL.AE_HEADER_ID
    AND XDL.AE_LINE_NUM = XAL.AE_LINE_NUM
    AND xah.ZERO_AMOUNT_FLAG = 'N'
 --   AND xah.GL_TRANSFER_STATUS_CODE &lt;&gt; 'Y'
	and xah.ACCOUNTING_ENTRY_STATUS_CODE &lt;&gt; 'N'
    and xal.DISPLAYED_LINE_NUMBER &gt;=0
    AND XE.EVENT_ID = XAH.EVENT_ID
    AND XAH.APPLICATION_ID = XE.APPLICATION_ID
    AND Led.Ledger_Id  = rct.Set_Of_Books_Id
    AND rct.bill_to_customer_id = b_bill.cust_account_id
    AND b_bill.party_id = b_bill_party.party_id
   AND rct.bill_to_site_use_id = u_bill.site_use_id
   AND rct.org_id = u_bill.org_id
   AND xal.CODE_COMBINATION_ID = cc.CODE_COMBINATION_ID
   and led.CHART_OF_ACCOUNTS_ID = cc.CHART_OF_ACCOUNTS_ID
   and cc.ENABLED_FLAG = 'Y'  AND ( xe.last_update_date    &gt;= to_date('23-APR-20','DD-MON-RR HH24:MI:SS') ) </t>
  </si>
  <si>
    <t xml:space="preserve">SELECT
                      rct.customer_trx_id||'-'||arp.PAYMENT_SCHEDULE_ID||'-'||xe.event_id||'-'||xe.EVENT_NUMBER as ECC_SPEC_ID
                    FROM
                    gl_period_statuses             ps,
                    ra_customer_trx_all            rct,
                    ra_cust_trx_types_all          rctt,
                    ar_payment_schedules_all       arp,
                    xla_transaction_entities   xte,
                    xla_events                 xe,
                    gl_ledgers                     led,
                    hz_cust_accounts               b_bill,
                    hz_parties                     b_bill_party,
                    hz_cust_site_uses_all          u_bill,
                    ra_rules                       rr
                WHERE
                    ps.application_id = 222
                    AND ps.set_of_books_id = rct.set_of_books_id
                    AND xe.event_date BETWEEN ps.start_date AND ps.end_date
                    AND ps.closing_status = 'O'
                    AND rct.complete_flag = 'Y'
                    AND rct.customer_trx_id = arp.customer_trx_id
                    AND rct.cust_trx_type_id = rctt.cust_trx_type_id
                    AND rr.rule_id (+) = rct.invoicing_rule_id
                    AND rct.org_id = rctt.org_id
                    AND xe.application_id = 222
                    AND xte.entity_id = xe.entity_id
                    AND xe.application_id = xte.application_id
                 --   AND xe.event_status_code = 'U'
                    AND xe.process_status_code &lt;&gt; 'U'
                    AND xte.source_application_id = 222
                    AND rct.customer_trx_id = xte.source_id_int_1
                    AND led.ledger_id = rct.set_of_books_id
                    AND rct.bill_to_customer_id = b_bill.cust_account_id
                    AND b_bill.party_id = b_bill_party.party_id
                    AND rct.bill_to_site_use_id = u_bill.site_use_id
                    AND rct.org_id = u_bill.org_id  AND ( xe.last_update_date    &gt;= to_date('23-APR-20','DD-MON-RR HH24:MI:SS') ) </t>
  </si>
  <si>
    <t>select * from (SELECT  /*+ leading(cmreq_v.temp.process_t) full(cmreq_v.temp.process_t) */ DISPUTE_NUMBER
, DISPUTE_REASON
, DISPUTE_REASON_CODE
, DISPUTE_STATUS
, DISPUTE_REQUESTOR
, CURRENCY
, CURRENCY_CODE
, TRANSACTION_NUMBER
, SALESPERSON
, SALES_ORDER
, OPERATING_UNIT
, ACCOUNT_NUMBER
, BILL_TO_CUSTOMER
, BILL_TO_LOCATION
, COLLECTOR
, PROFILE_CLASS
, DISPUTE_DATE
, TRANSACTION_DATE
, DUE_DATE
, ECC_SPEC_ID
, DISPUTE_STATUS_CODE
, DISPUTE_AMOUNT
, TRANSACTION_CLASS
, TRANSACTION_CLASS_CODE
, TRANSACTION_ID
, ECC_LAST_UPDATE_DATE
, ORG_ID
, STATUS
, BILL_TO_CUSTOMER_ID
, BILL_TO_SITE_USE_ID
, TRANSACTION_AMOUNT
, BILL_TO_CONTACT
, SHIP_TO_CUSTOMER
, SHIP_TO_LOCATION
, PURCHASE_ORDER_NUMBER
, DUE_AMOUNT
, PURCHASE_ORDER_DATE
, RECORD_TYPE
, LANGUAGE
  FROM ari_ecc_cmreq_v
  WHERE ( ( to_date(to_char(ECC_LAST_UPDATE_date,'DD-MON-RR HH24:MI:SS'),'DD-MON-RR HH24:MI:SS')   &gt;=  to_date('23-APR-20','DD-MON-RR HH24:MI:SS')
       AND ECC_LAST_UPDATE_DATE &lt; sysdate)) and language in ('US'))
PIVOT(max(SALESPERSON) as SALESPERSON, max(OPERATING_UNIT) as OPERATING_UNIT, max(CURRENCY) as CURRENCY, max(DISPUTE_REASON) as DISPUTE_REASON,
   max(DISPUTE_STATUS) as DISPUTE_STATUS,max(TRANSACTION_CLASS) as TRANSACTION_CLASS
   for LANGUAGE in ('US' "US"))</t>
  </si>
  <si>
    <t>select * from (SELECT ERROR_COUNT
, TYPE
, MESSAGE
, ORG_ID
, OPERATING_UNIT
, LEDGER_CURRENCY
, LEDGER
, ECC_SPEC_ID
, RECORD_TYPE
, LANGUAGE
  FROM ar_ecc_interface_error_v
 WHERE EXISTS
 (SELECT 1
          FROM fnd_concurrent_requests
         WHERE concurrent_program_id = 33048
           AND program_application_id = 222
And ( ( to_date(to_char(actual_completion_date,'DD-MON-RR HH24:MI:SS'),'DD-MON-RR HH24:MI:SS')   &gt;=  to_date('23-APR-20','DD-MON-RR HH24:MI:SS')
       AND actual_completion_date &lt; sysdate))
) and language in ('US')) PIVOT(max(OPERATING_UNIT) as OPERATING_UNIT, max(LEDGER_CURRENCY) as LEDGER_CURRENCY
   for LANGUAGE in ('US' "US"))</t>
  </si>
  <si>
    <t xml:space="preserve">There is SQLException while applying load rule for dataset okl-cash for job 57,151.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</si>
  <si>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SELECT  *
FROM    ( SELECT  DISTINCT
                to_char (a.id)
                || to_char (a.ocr_id)
                || to_char (a.error_seq_number) ecc_spec_id
               ,a.error_seq_number
               ,a.error_type
               ,a.error_code
               ,CASE
                WHEN    b.trx_status_code = 'DISCARDED'
                        THEN    NULL
                ELSE    a.error_current_yn END error_current_yn
               ,a.message_text
               ,(SELECT  batch_name
                FROM    okl_ctr_reading_batches_all
                WHERE   id = b.ocb_id) batch_name
               ,(SELECT  source_type_code
                FROM    okl_ctr_reading_batches_all
                WHERE   id = b.ocb_id) channel
               ,b.contract_number
               ,cct.name counter_name
               ,to_char (nvl (okl_meter_util_pvt.get_usage_end_period_date (b.counter_id
                                                                           ,b.khr_id
                                                                           ,b.kle_id
                                                                           ,b.value_timestamp)
                             ,b.value_timestamp)
                        ,'yyyy-mm') reading_period
               ,(SELECT  vendor_name
                FROM    po_vendors
                WHERE   vendor_id = oeu.vendor_id) vendor_name
               ,mit.description usage_item_name
               ,mit.language language_code
               ,mit.organization_id org_id
               ,(
                SELECT  fa.manufacturer_name manufacturer_name
                FROM    fa_categories_b cat
                       ,fa_book_controls fbc
                       ,fa_books fb
                       ,fa_additions_b fa
                       ,fa_methods fm
                       ,okc_k_lines_b cle
                       ,okc_k_items item
                WHERE   item.cle_id = cle.id
                AND     fa.asset_id = to_number (item.object1_id1)
                AND     cat.category_id = fa.asset_category_id
                AND     fbc.book_type_code = fb.book_type_code
                AND     nvl (trunc (fbc.date_ineffective)
                            ,trunc (sysdate) + 1) &gt; trunc (sysdate)
                AND     fb.asset_id = fa.asset_id
                AND     fb.transaction_header_id_out IS NULL
                AND     fb.date_ineffective IS NULL
                AND     fb.deprn_method_code = fm.method_code
                AND     fb.life_in_months = fm.life_in_months
                AND     book_class = 'CORPORATE'
                AND     cle.cle_id = b.kle_id
                ) manufacturer_name
        FROM    okl_ctr_reading_errors a
               ,okl_counter_readings b
               ,okl_ecc_usage_vendor_v oeu
               ,csi_counters_tl cct
               ,mtl_system_items_tl mit
        WHERE   a.ocr_id = b.id
        AND     b.khr_id = oeu.contract_id (+)
        AND     nvl(b.value_timestamp,sysdate)&gt;(sysdate -365*nvl(fnd_profile.value ('OKL_ECC_MM_HIST_YEARS'),1))
        AND     cct.counter_id = b.counter_id
        AND     mit.inventory_item_id = b.usage_item_id
        AND     mit.language = cct.language
	AND     mit.language in ('US')
        AND     (((oeu.asset_line_id IS NULL) OR (b.kle_id = oeu.asset_line_id)) AND
                ((oeu.usage_item_id IS NULL) OR (b.usage_item_id = oeu.usage_item_id)))
        AND     a.ocr_id IN (
                SELECT  oce.ocr_id
                FROM    okl_ctr_reading_errors oce
                       ,okl_counter_readings ocr
                WHERE   oce.ocr_id = ocr.id
		AND   (to_Date(oce.last_update_Date,'dd-mon-yyyy') &gt;=  to_Date('23-APR-20','dd-mon-yyyy') or to_Date(ocr.last_update_Date,'dd-mon-yyyy') &gt;=  to_Date('23-APR-20','dd-mon-yyyy') or (SELECT max(to_date(last_update_date,'dd-mon-yyyy')) FROM csi_counter_readings WHERE counter_id = ocr.counter_id) &gt;=to_Date('23-APR-20','dd-mon-yyyy')
         ))
        ORDER BY ecc_spec_id ASC
                ,error_seq_number ASC
        ) pivot (max(usage_item_name) as usage_item_name, max(counter_name) as counter_name for language_code in('US' "US"))</t>
  </si>
  <si>
    <t>select * from (
				SELECT  'OKL - '|| to_char (ccr.khr_id)|| to_char (crb.id) ecc_spec_id
				       ,'OKL' record_type
				       ,ccr.contract_number
				       ,ccr.khr_id
				       ,crb.id batch_id
				       ,crb.batch_name
				       ,crb.batch_reference_external
				       ,crb.batch_date
				       ,flv.meaning batch_status_code
                		       ,decode (crb.batch_reference_external,NULL,flv2.lookup_code ,crb.batch_reference_external) reading_source_code
				       ,crb.batch_status_code batch_status
				       ,decode(crb.batch_reference_external,null,flv2.meaning,crb.batch_reference_external) source_type_code
				       ,pov.vendor_name
				       ,oeu.vendor_id vendor_id
				       ,pov.segment1 vendor_number
				       ,(SELECT count(1) FROM okl_counter_readings ccr WHERE ccr.ocb_id = crb.id) total_reads
				       ,(SELECT count(1) FROM okl_counter_readings ccr WHERE ccr.ocb_id = crb.id AND ccr.trx_status_code = 'PROCESSED') total_passed
				       ,(SELECT count(1) FROM okl_counter_readings ccr WHERE ccr.ocb_id = crb.id AND ccr.trx_status_code = 'ERROR') total_error
				       ,(SELECT count(1) FROM okl_counter_readings ccr WHERE ccr.ocb_id = crb.id AND ccr.trx_status_code IN ('PASSED','PENDING')) total_pending
				       ,(SELECT count(1) FROM okl_counter_readings ccr WHERE ccr.ocb_id = crb.id AND ccr.trx_status_code = ('DISCARDED')) total_discarded
				       ,(SELECT count(1) FROM okl_counter_readings ccr WHERE ccr.ocb_id = crb.id AND ccr.trx_status_code = ('WARNING')) total_warning
				       ,flv1.description update_reads
				       ,(SELECT  inv_organization_id FROM    okc_k_headers_all_b  WHERE   id = ccr.khr_id) org_id
				        ,flv.language language_code
				FROM    okl_ctr_reading_batches_all crb
				       ,okl_counter_readings ccr
				       ,okl_ecc_usage_vendor_v oeu
				       ,po_vendors pov
				       ,fnd_lookup_values flv
				       ,fnd_lookup_values flv1
				       ,fnd_lookup_values flv2
				WHERE   crb.id (+) = ccr.ocb_id
				AND     oeu.contract_id (+) = ccr.khr_id
				AND     oeu.asset_line_id (+) = ccr.kle_id
				AND     pov.vendor_id (+) = oeu.vendor_id
				AND     flv.LOOKUP_TYPE ='OKL_METER_READS_STATUS_TYPE'
				AND     flv.LOOKUP_CODE = crb.batch_status_code
				and     nvl(flv.END_DATE_ACTIVE,sysdate+1) &gt;= sysdate
				AND     flv1.LOOKUP_TYPE ='OKL_ECC_ACTION_EVENTS'
				AND     flv1.LOOKUP_CODE = 'UPDATE'
				and     nvl(flv1.END_DATE_ACTIVE,sysdate+1) &gt;= sysdate
				AND     flv2.LOOKUP_TYPE = 'OKL_ECC_MM_SRC_MAPING'
				AND     flv2.LOOKUP_CODE = crb.source_type_code
				and     nvl(flv2.END_DATE_ACTIVE,sysdate+1) &gt;= sysdate
				AND     flv2.language = flv1.language
				AND     flv.language = flv1.language(+)
				AND     flv.language in ('US')
                                AND     nvl (ccr.value_timestamp,batch_date)&gt; (sysdate -365*nvl(fnd_profile.value ('OKL_ECC_MM_HIST_YEARS'),1))
				AND (to_date(CRB.last_update_Date,'dd-mon-yyyy') &gt;=  to_Date('23-APR-20','dd-mon-yyyy') or to_date(CCR.last_update_Date,'dd-mon-yyyy') &gt; to_date('23-APR-20','dd-mon-yyyy') or (select max(to_Date(last_update_Date,'dd-mon-yyyy')) from csi_counter_Readings where counter_id = ccr.counter_id) &gt;=  to_date('23-APR-20','dd-mon-yyyy') or (select max( to_Date(last_update_Date,'dd-mon-yyyy')) from okl_ctr_reading_errors where ocr_id = ccr.id)&gt;=  to_date('23-APR-20','dd-mon-yyyy'))
				GROUP BY ccr.contract_number
				        ,ccr.khr_id
				        ,crb.id
				        ,crb.batch_name
				        ,crb.batch_reference_external
				        ,crb.batch_date
				        ,flv.meaning
				        ,crb.source_type_code
				        ,pov.vendor_name
				        ,oeu.vendor_id
				       ,flv1.description
				       ,flv2.meaning
				       ,crb.batch_status_code
				       ,flv2.lookup_code
				       ,pov.segment1,flv.language)
					pivot
					(max(batch_status_code) as batch_status_code,
					max(source_type_code) as source_type_code ,
					max(update_reads) as update_reads for language_code in('US' "US"))</t>
  </si>
  <si>
    <t xml:space="preserve">select * from
	(SELECT
        'PSI_PROJ_TASK_DS_SETUP' record_type,
        'PSI_PROJ_TASK_'
        || TO_CHAR(accum.org_id)
        || '-'
        || TO_CHAR(accum.project_id)
        || '-'
        || TO_CHAR(accum.task_id) ecc_spec_id,
        accum.project_id,
        accum.segment1 project_number,
        accum.name project_name,
        accum.org_id,
        accum.operating_unit,
        (
            SELECT
                name
            FROM
                hr_all_organization_units_tl o2
            WHERE
                o2.language = accum.language
                AND o2.organization_id = accum.proj_carry_out_org_id
        ) project_organization,
        accum.projfunc_currency_code currency,
        accum.project_status_name project_status,
        pa_utils.get_lookup_values('PROJECT_SYSTEM_STATUS',accum.project_system_status_code,accum.language) project_status_code,
        accum.project_type project_type,
        pa_utils.get_lookup_values('PROJECT TYPE CLASS',accum.project_type_class_code,accum.language) project_type_class,
        accum.project_type_class_code project_type_class_code,
        pa_project_parties_utils.get_project_manager_name(accum.project_id) project_manager,
        accum.start_date project_start_date,
        accum.completion_date project_completion_date,
        DECODE(accum.task_id,0,NULL,accum.task_id) task_id,
        accum.task_number,
        accum.task_name,
        accum.top_task_id,
        (
            SELECT
                task_name
            FROM
                pa_tasks pt1
            WHERE
                pt1.task_id = accum.top_task_id
        ) top_task_name,
        (
            SELECT
                task_number
            FROM
                pa_tasks pt1
            WHERE
                pt1.task_id = accum.top_task_id
        ) top_task_number,
        accum.parent_task_id,
        (
            SELECT
                task_number
            FROM
                pa_tasks pt2
            WHERE
                pt2.task_id = accum.parent_task_id
        ) parent_task_number,
        (
            SELECT
                task_name
            FROM
                pa_tasks pt2
            WHERE
                pt2.task_id = accum.parent_task_id
        ) parent_task_name,
        accum.wbs_level,
        DECODE(accum.task_id,0,NULL,DECODE(pa_task_utils.check_child_exists(accum.task_id),1,'Y',0,'N')) check_child_exists,
        accum.task_start_date,
        accum.task_completion_date,
        (
            SELECT
                per.full_name
            FROM
                per_all_people_f per
            WHERE
                per.person_id (+) = accum.task_manager_person_id
                AND trunc(SYSDATE) BETWEEN per.effective_start_date (+) AND per.effective_end_date (+)
        ) task_manager,
        (
            SELECT
                name
            FROM
                hr_all_organization_units_tl o3
            WHERE
                o3.language = accum.language
                AND o3.organization_id = accum.task_carry_out_org_id
        ) task_organization,
        accum.billable_flag billable_flag,
        (
            SELECT
                ind_rate_sch_name
            FROM
                pa_ind_rate_schedules
            WHERE
                ind_rate_sch_id = accum.cost_ind_rate_sch_id
        ) burden_schedule,
        DECODE(accum.project_type_class_code,'CONTRACT',pa_utils.get_lookup_values('YES_NO',accum.billable_flag,accum.language) ) is_task_billable,
        DECODE(accum.project_type_class_code,'CAPITAL',pa_utils.get_lookup_values('YES_NO',accum.billable_flag,accum.language) ) is_task_capitalizable,
        nvl(accum.expenditure_budget_tot,0) expenditure_budget_tot,
        nvl(accum.expenditure_budget_itd,0) expenditure_budget_itd,
        nvl(accum.raw_cost,0) raw_cost,
        nvl(accum.burdened_cost,0) burdened_cost,
        accum.labor_hrs labor_hours,
        DECODE(accum.project_type_class_code,'CAPITAL',DECODE(accum.capital_cost_type_code,'R',nvl(accum.billable_raw_cost,0),nvl(accum.billable_brdn_cost,0)) ) capitalizable_cost,
        nvl(accum.revenue_budget_tot,0) revenue_budget_tot,
        nvl(accum.revenue_budget_itd,0) revenue_budget_itd,
		nvl(accum.commitment_amount,0) commitment_amount,
        nvl(accum.billable_raw_cost,0) billable_raw_cost,
        nvl(accum.billable_brdn_cost,0) billable_burden_cost,
        DECODE(accum.capital_cost_type_code,'R',nvl(accum.billable_raw_cost,0),nvl(accum.billable_brdn_cost,0)) billable_cost,
        accum.fin_perc_cmplt,
        accum.est_to_cmplt,
        accum.budget_cost_variance,
        accum.summarization_exception,
		accum.last_update_date,
        accum.language
      FROM
     (
 SELECT
            p.org_id,
            p.project_id,
            p.project_type,
            p.name,
            p.segment1,
            p.pji_source_flag,
            p.project_status_code,
            p.carrying_out_organization_id proj_carry_out_org_id,
            p.start_date,
            p.completion_date,
            p.projfunc_currency_code,
            pah.task_id,
            NULL task_number,
            NULL task_name,
            NULL top_task_id,
            NULL parent_task_id,
            0 wbs_level,
            NULL task_start_date,
            NULL task_completion_date,
            NULL task_manager_person_id,
            NULL task_carry_out_org_id,
            NULL billable_flag,
            NULL 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            AND p.project_id = pah.project_id
            AND pah.resource_list_id = 0
			AND pah.task_id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(greatest(pah.last_update_date, nvl(paa.last_update_date,pah.last_update_date), nvl(m.last_update_date,pah.last_update_date),
			         nvl(pabc.last_update_date,pah.last_update_date), nvl(pabr.last_update_date,pah.last_update_date)) &gt;= '23-APR-20'
				OR exists (select 1 from pa_expenditure_items_all ei where ei.project_id = p.project_id and ei.last_update_date &gt;= '23-APR-20'))
        UNION
 SELECT
            p.org_id,
            p.project_id,
            p.project_type,
            p.name,
            p.segment1,
            p.pji_source_flag,
            p.project_status_code,
            p.carrying_out_organization_id,
            p.start_date,
            p.completion_date,
            p.projfunc_currency_code,
            t.task_id,
            t.task_number,
            t.task_name,
            t.top_task_id,
            t.parent_task_id,
            t.wbs_level,
            t.start_date task_start_date,
            t.completion_date task_completion_date,
            t.task_manager_person_id,
            t.carrying_out_organization_id task_carry_out_org_id,
            t.billable_flag billable_flag,
            t.cost_ind_rate_sch_id,
			ps.project_status_name,
			ps.project_system_status_code,
			ppta.project_type_class_code,
			ppta.capital_cost_type_code,
            nvl(paa.raw_cost_itd,0) raw_cost,
            nvl(paa.burdened_cost_itd,0) burdened_cost,
            nvl(paa.billable_raw_cost_itd,0) billable_raw_cost,
            nvl(paa.billable_burdened_cost_itd,0) billable_brdn_cost,
            nvl(paa.labor_hours_itd,0) labor_hrs,
            nvl(pabc.base_burdened_cost_tot,0) expenditure_budget_tot,
            nvl(pabc.base_burdened_cost_itd,0) expenditure_budget_itd,
            nvl(pabr.base_revenue_tot,0) revenue_budget_tot,
			nvl(pabr.base_revenue_itd,0) revenue_budget_itd,
            nvl(m.cmt_burdened_cost_itd,0) commitment_amount,
            round(DECODE(pabc.base_burdened_cost_tot,0,0, (paa.burdened_cost_itd / pabc.base_burdened_cost_tot) * 100)) fin_perc_cmplt,
            nvl(pabc.base_burdened_cost_tot,0) - ( nvl(paa.burdened_cost_itd,0) + nvl(m.cmt_burdened_cost_itd,0)) est_to_cmplt,
            nvl(pabc.base_burdened_cost_itd,0) - ( nvl(paa.burdened_cost_itd,0) + nvl(m.cmt_burdened_cost_itd,0)) budget_cost_variance,
            nvl(fnd_message.get_string('PA',pah.sum_exception_code),pah.sum_exception_code) summarization_exception,
			greatest(pah.last_update_date, nvl(paa.last_update_date,pah.last_update_date), nvl(m.last_update_date,pah.last_update_date),
			         nvl(pabc.last_update_date,pah.last_update_date), nvl(pabr.last_update_date,pah.last_update_date)) last_update_date,
			o1.name operating_unit,
			o1.language
        FROM
		    pa_projects_all p,
			pa_tasks t,
            pa_project_accum_headers pah,
            pa_project_accum_budgets pabc,
            pa_project_accum_budgets pabr,
            pa_project_accum_actuals paa,
            pa_project_accum_commitments m,
            pa_project_types_all ppta,
            pa_project_statuses ps,
            hr_all_organization_units_tl o1
        WHERE
            p.template_flag = 'N'
            AND pa_project_stus_utils.is_project_closed(p.project_id) = 'N'
            AND p.project_type &lt;&gt; 'AWARD_PROJECT'
			AND p.project_id = t.project_id
            AND t.project_id = pah.project_id (+)
            AND t.task_id = pah.task_id (+)
            AND pah.resource_list_id (+) = 0
            AND pah.project_accum_id = pabc.project_accum_id (+)
            AND pah.project_accum_id = pabr.project_accum_id (+)
            AND pah.project_accum_id = paa.project_accum_id (+)
            AND pah.project_accum_id = m.project_accum_id (+)
            AND pabc.budget_type_code (+) = 'AC'
            AND pabr.budget_type_code (+) = 'AR'
            AND p.project_type = ppta.project_type
            AND p.org_id = ppta.org_id
            AND p.org_id = o1.organization_id
			AND o1.language in ('US')
            AND nvl(ppta.sponsored_flag,'N') = 'N'
            AND p.project_status_code = ps.project_status_code
			AND (exists ( SELECT 1
						  FROM
						      pa_project_accum_headers pah1,
						      pa_project_accum_budgets pab1,
						      pa_project_accum_actuals paa1,
						      pa_project_accum_commitments m1
						  WHERE
						      pah1.project_id = p.project_id
						      AND pah1.resource_list_id = 0
						      AND pah1.task_id = 0
						      AND pah1.project_accum_id = pab1.project_accum_id (+)
						      AND pah1.project_accum_id = paa1.project_accum_id (+)
						      AND pah1.project_accum_id = m1.project_accum_id (+)
						      AND pab1.budget_type_code (+) in ('AC','AR')
						      AND greatest(pah1.last_update_date, nvl(paa1.last_update_date,pah1.last_update_date), nvl(m1.last_update_date,pah1.last_update_date),
						  	         nvl(pab1.last_update_date,pah1.last_update_date)) &gt;= '23-APR-20')
				OR exists (select 1 from pa_expenditure_items_all ei where ei.project_id = p.project_id and ei.last_update_date &gt;= '23-APR-20'))
			) accum
) PIVOT (
max(OPERATING_UNIT) as OPERATING_UNIT,
max(PROJECT_ORGANIZATION) as PROJECT_ORGANIZATION,
max(PROJECT_STATUS_CODE) as PROJECT_STATUS_CODE,
max(PROJECT_TYPE_CLASS) as PROJECT_TYPE_CLASS,
max(TASK_ORGANIZATION) as TASK_ORGANIZATION,
max(IS_TASK_BILLABLE) as IS_TASK_BILLABLE,
max(IS_TASK_CAPITALIZABLE) as IS_TASK_CAPITALIZABLE
for LANGUAGE in ('US' "US")) </t>
  </si>
  <si>
    <t>
		with del_query as(
SELECT 'PROJ_DS_ASSETS' record_type ,
  ppa.project_asset_id project_asset_id ,
  pp.project_id project_id ,
  ppal.project_asset_line_id project_asset_line_id ,
  nvl(ppaa.task_id, -99999) task_id,
  ppal.project_asset_line_detail_id project_asset_line_detail_id ,
  ppald.proj_asset_line_dtl_uniq_id proj_asset_line_dtl_uniq_id
FROM
  pa_implementations_all pi ,
  gl_sets_of_books gsb ,
  pa_project_types_all ppt ,
  pa_projects_all pp ,
  pa_project_assets_all ppa ,
  pa_project_asset_assignments ppaa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pp.project_id                                          = ppa.project_id (+)
AND ppa.project_asset_id                                   = ppaa.project_asset_id (+)
AND ppaa.project_asset_id                                  = ppal.project_asset_id (+)
AND ppaa.project_id                                        = ppal.project_id (+)
AND ppal.project_asset_line_detail_id                      = ppald.project_asset_line_detail_id (+)
AND pp.org_id                                              = haou.organization_id
AND ppal.line_type (+)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ppa.project_asset_type      (+)                       &lt;&gt; 'RETIREMENT_ADJUSTMENT'
AND ( ppaa.last_update_date &gt;= to_timestamp('23-APR-20 03.52.09.000000 PM')
     OR ppa.last_update_date &gt;= to_timestamp('23-APR-20 03.52.09.000000 PM')
     OR ppal.last_update_date &gt;= to_timestamp('23-APR-20 03.52.09.000000 PM')
	 OR EXISTS (select 1 from pa_expenditure_items_all peial
	            where peial.project_id = pp.project_id
				and peial.last_update_date &gt; to_timestamp('23-APR-20 03.52.09.000000 PM')) )
UNION ALL
SELECT 'PROJ_DS_ASSETS' record_type ,
  ppal.project_asset_id project_asset_id ,
  pp.project_id project_id ,
  ppal.project_asset_line_id project_asset_line_id ,
  ppal.task_id ,
  ppal.project_asset_line_detail_id project_asset_line_detail_id ,
  ppald.proj_asset_line_dtl_uniq_id proj_asset_line_dtl_uniq_id
FROM
  pa_implementations_all pi ,
  gl_sets_of_books gsb ,
  pa_project_types_all ppt ,
  pa_projects_all pp ,
  pa_project_asset_lines_all ppal ,
  pa_project_asset_line_details ppald ,
  hr_all_organization_units_tl haou
WHERE 1                                                    = 1
AND pi.set_of_books_id                                     = gsb.set_of_books_id
AND pi.org_id                                              = pp.org_id
AND pp.org_id                                              = ppt.org_id
AND pp.project_type                                        = ppt.project_type
AND ppal.project_id                                        = pp.project_id
AND ppal.project_asset_id                                  = 0
AND ppal.project_asset_line_detail_id                      = ppald.project_asset_line_detail_id
AND pp.org_id                                              = haou.organization_id
AND ppal.line_type                                         = 'C'
AND pa_project_stus_utils.is_project_closed(pp.project_id) = 'N'
AND NVL(ppt.sponsored_flag, 'N')                           = 'N'
AND pp.project_type                                       &lt;&gt; 'AWARD_PROJECT'
AND ppt.project_type_class_code                            = 'CAPITAL'
AND ( ppal.last_update_date &gt;= to_timestamp('23-APR-20 03.52.09.000000 PM')
    OR EXISTS (select 1 from pa_expenditure_items_all peial
	           where peial.project_id = pp.project_id
			   and peial.last_update_date &gt; to_timestamp('23-APR-20 03.52.09.000000 PM')) )
)
select distinct
  'PROJ-'
  || TO_CHAR(del.project_asset_id)
  || '-'
  || TO_CHAR(del.project_id)
  || '-'
  || TO_CHAR(99999)
  || '-'
  || TO_CHAR(del.project_id)
  || '-'
  || TO_CHAR(del.project_id)   ecc_spec_id
from del_query del
where 1 = 1
UNION ALL
select distinct
  'PROJ-'
  || TO_CHAR(del.project_asset_id)
  || '-'
  || TO_CHAR(del.project_id)
  || '-'
  || TO_CHAR(del.task_id)
  || '-'
  || TO_CHAR(del.project_id)
  || '-'
  || TO_CHAR(del.project_id)   ecc_spec_id
from del_query del
where 1 = 1
</t>
  </si>
  <si>
    <t>SELECT
                            AH.AUCTION_HEADER_ID||'-'||NEG_TEAM.USER_ID||'-'||PITMDS.LINE_NUMBER||'-'
                            ||pbh.bid_number||'-'||pbip.LINE_NUMBER AS ecc_spec_id
                            FROM
                              pon_auction_headers_all AH,
                              pon_auction_item_prices_all PITMDS,
                              pon_neg_team_members NEG_TEAM,
                              pon_bid_headers pbh,
                              pon_bid_item_prices pbip
                            WHERE
                            PITMDS.auction_header_id(+)= AH.auction_header_id
                            AND NEG_TEAM.auction_header_id(+)= AH.auction_header_id
                            AND pbh.auction_header_id(+)= AH.auction_header_id
                            AND pbip.bid_number(+)=pbh.bid_number
                            AND pbh.bid_status &lt;&gt; 'ACTIVE'
                            AND greatest(AH.last_update_date,PITMDS.last_update_date,NEG_TEAM.last_update_date,pbh.last_update_date) &gt;
                            to_date(to_char(to_timestamp('23-APR-20'),'DD-MON-YY HH24.MI.SS'),'DD-MON-YY HH24.MI.SS')</t>
  </si>
  <si>
    <t>
select * from (SELECT
AH.AUCTION_HEADER_ID||'-'||NEG_TEAM.USER_ID||'-'||PITMDS.ITEM_LINE_NUMBER||'-'
||null||'-'||null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to_date(to_char(to_timestamp('23-APR-20'),'DD-MON-YY HH24.MI.SS'),'DD-MON-YY HH24.MI.SS'))
          or (AH.CLOSE_BIDDING_DATE between to_date(to_char(to_timestamp('23-APR-20'),'DD-MON-YY HH24.MI.SS'),'DD-MON-YY HH24.MI.SS')
                                      and to_date(to_char(to_timestamp('24-APR-20'),'DD-MON-YY HH24.MI.SS'),'DD-MON-YY HH24.MI.SS'))
         or (AH.OPEN_BIDDING_DATE between to_date(to_char(to_timestamp('23-APR-20'),'DD-MON-YY HH24.MI.SS'),'DD-MON-YY HH24.MI.SS')
                                      and to_date(to_char(to_timestamp('24-APR-20'),'DD-MON-YY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as DOCTYPE,
max(BID_RANKING_</t>
  </si>
  <si>
    <t xml:space="preserve">
select * from (SELECT
AH.AUCTION_HEADER_ID||'-'||NEG_TEAM.USER_ID||'-'||PITMDS.ITEM_LINE_NUMBER||'-'
||PBIDS.BID_NUMBER||'-'||PBIDS.BIDLINE_NUMBER AS ecc_spec_id,pon_auc_dfv.*,pon_auc_int_dfv.*,
AH.AUCTION_HEADER_ID,
AH.DOCUMENT_NUMBER,
AH.AUCTION_TITLE,
AH.ABSTRACT_DETAILS AS DESCRIPTION,
AH.AUCTION_STATUS AS AUCTION_STATUS_CODE,
pon_pcc_negotiations_util_pvt.get_auction_status(ah.auction_header_id,hrou.language) AS AUCTION_STATUS,
POSH.STYLE_NAME,
AH.AUCTION_TYPE,
AH.TRADING_PARTNER_NAME,
AH.OPEN_BIDDING_DATE,
DECODE ( NVL( AH.IS_PAUSED, 'N'), 'Y', ( SYSDATE + ( AH.CLOSE_BIDDING_DATE - AH.LAST_PAUSE_DATE ) ) , AH.CLOSE_BIDDING_DATE ) CLOSE_BIDDING_DATE,
AH.VIEW_BY_DATE   PREVIEW_DATE,
AH.AWARD_BY_DATE,
AH.PUBLISH_DATE,
AH.CLOSE_DATE,
AH.CANCEL_DATE,
ps.display_name as OUTCOME,
FL2.MEANING STYLE,
to_char(nvl(decode(nvl(ah.two_part_flag, 'N' ), 'N' ,(SELECT count(*) FROM pon_bid_headers pbh1 WHERE pbh1.auction_header_id = ah.auction_header_id and pbh1.bid_status NOT IN ('DRAFT','ARCHIVED_DRAFT')),'Y',
( SELECT count(pbd.bid_number) FROM pon_bid_headers pbd,pon_auction_headers_all paha WHERE pbd.auction_header_id=ah.auction_header_id
AND pbd.auction_header_id = paha.auction_header_id AND nvl2(pbd.submit_stage,decode(paha.technical_evaluation_status, null, 'TECHNICAL','NOT_COMPLETED','TECHNICAL','COMPLETED',decode(paha.sealed_auction_status,
'LOCKED','TECHNICAL','COMMERCIAL')),'-9999') = nvl(pbd.submit_stage,'-9999')
 AND PBD.BID_STATUS NOT IN ('DRAFT','ARCHIVED_DRAFT') ) ),0)) as TOTAL_BIDS,
/*HR1.LOCATION_CODE AS SHIP_TO_LOCATION,
HR2.LOCATION_CODE AS BILL_TO_LOCATION,*/
AH.CURRENCY_CODE AS AH_CURRENCY_CODE,
AH.CREATION_DATE,
AH.AUCTION_ROUND_NUMBER,
to_char( AH.CREATION_DATE,'Month') AS NEG_CREATION_MONTH,
EXTRACT(YEAR FROM AH.CREATION_DATE) AS NEG_CREATION_YEAR,
AH.EVENT_TITLE,
HROU.LANGUAGE as  LANGUAGE,
FL1.MEANING DOCTYPE,
FL3.MEANING AS BID_RANKING_DISPLAY,
FL8.MEANING AS RANK_INDICATOR,
pon_locale_pkg.get_party_display_name(ah.trading_partner_contact_id,12,hrou.language) BUYER_NAME,
/*AH.PO_MIN_REL_AMOUNT,
AH.GLOBAL_AGREEMENT_FLAG,*/
AH.AWARD_COMPLETE_DATE,
FL10.MEANING as SECURITY_LEVEL_CODE,
HROU.NAME  AH_OPERATING_UNIT,
AH.ORG_ID,
AH.AMENDMENT_NUMBER,
AH.AMENDMENT_DESCRIPTION,
AH.IS_PAUSED,
decode (nvl(AH.TWO_PART_FLAG,'N'),'N',pon_pcc_negotiations_util_pvt.get_fnd_message('PON_CORE_NO','396',HROU.language),
 pon_pcc_negotiations_util_pvt.get_fnd_message('PON_CORE_YES','396',HROU.language)) as TWO_PART_FLAG,
case when
AH.AUCTION_STATUS = 'AMENDED' or (AH.AUCTION_STATUS='AUCTION_CLOSED' and ah.AWARD_STATUS='NO') then
pon_pcc_negotiations_util_pvt.get_fnd_message('PON_CORE_NO','396',HROU.language)
else
pon_pcc_negotiations_util_pvt.get_fnd_message('PON_CORE_YES','396',HROU.language)
end as LATEST_VERSION,
case when
AH.AUCTION_STATUS='ACTIVE' or (AH.AUCTION_STATUS='AUCTION_CLOSED' and AH.AWARD_STATUS IN ('COMPLETED','PARTIAL'))  then
'Y'
else
'N' end as active_document,
/*case when
AH.AUCTION_STATUS='ACTIVE' or (AH.AUCTION_STATUS='AUCTION_CLOSED' and AH.AWARD_STATUS IN ('COMPLETED','PARTIAL'))  then
PON_PCC_NEGOTIATIONS_UTIL_PVT.GET_TOTAL_AMEND_ROUNDS(AH.AUCTION_HEADER_ID)
else
0 end null as  TOTAL_AMEND_ROUNDS,  */
PON_PCC_NEGOTIATIONS_UTIL_PVT.GET_NEG_TOTAL_AMOUNT(AH.AUCTION_HEADER_ID) as NEGOTIATION_AMOUNT,
/*PON_AUCTION_PKG.TIME_REMAINING(AH.AUCTION_HEADER_ID) TIMELEFT,*/
to_char(nvl(decode(nvl(ah.two_part_flag, 'N' ), 'N' ,nvl((SELECT count(*) FROM pon_bid_headers pbh1 WHERE pbh1.auction_header_id = ah.auction_header_id and pbh1.bid_status = 'ACTIVE'),0),'Y',
( SELECT count(pbd.bid_number) FROM pon_bid_headers pbd,pon_auction_headers_all paha WHERE pbd.auction_header_id=ah.auction_header_id AND pbd.auction_header_id = paha.auction_header_id
AND nvl2(pbd.submit_stage,decode(paha.technical_evaluation_status, null, 'TECHNICAL','NOT_COMPLETED','TECHNICAL','COMPLETED',decode(paha.sealed_auction_status,'LOCKED',
'TECHNICAL','COMMERCIAL')),'-9999') = nvl(pbd.submit_stage,'-9999') AND PBD.BID_STATUS = 'ACTIVE' ) ),0)) AS ACTIVE_BIDS,
PON_AUCTION_DISCUSSION_PKG.GET_UNREAD_MESSAGE_COUNT(AH.AUCTION_HEADER_ID,AH.TRADING_PARTNER_CONTACT_ID,AH.TRADING_PARTNER_ID) AS UNREAD_MESSAGE_COUNT,
AH.AUCTION_HEADER_ID_PREV_ROUND,
AH.AUCTION_HEADER_ID_PREV_AMEND,
AH.AWARD_STATUS,
CASE WHEN AH.AUCTION_STATUS IN ('ACTIVE','AUCTION_CLOSED') and AH.AWARD_STATUS IN ( 'AWARDED','PARTIAL')
  THEN 'Y'
  ELSE 'N'
  END AS AWARD_STATUS_FLAG ,
AH.AWARD_DATE,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  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((CASE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     ELSE 0
       END) +
(CASE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ELSE 0
       END )+
(CASE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ELSE 0
       END )+
(CASE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ELSE 0
        END ) ) as TOTAL_CYCLE_TIME,
Nvl2(ah.auction_header_id, PON_PCC_NEGOTIATIONS_UTIL_PVT.get_authorized_userids(ah.auction_header_id),null
       ) AS AUTHORIZED_USER_IDS,
AH.SECURITY_LEVEL_CODE SECURITY_LEVEL_CODE_CODE,
AH.NUMBER_OF_BIDS,
CASE WHEN AH.AWARD_STATUS IN ('AWARDED','PARTIAL','COMPLETED')
  THEN PON_PCC_NEGOTIATIONS_UTIL_PVT.get_winning_offers(AH.AUCTION_HEADER_ID)
  ELSE NULL
  END AS WINNING_OFFERS ,
INVITED_SUPP.AH_SUPP_COUNT,
/*NEG_TEAM.USER_ID AS COLLABMEM_USER_ID,
NEG_TEAM.USER_NAME AS COLLABMEM_USER_NAME,
DECODE(NEG_TEAM.MEMBER_TYPE,'N',FND_MESSAGE.GET_STRING('PON','PON_AUC_MEMBER_ROLE'),'M',FND_MESSAGE.GET_STRING('PON','PON_AUC_MEMBER_ROLE'),'C',FND_MESSAGE.GET_STRING('PON','PON_AUC_OWNER_ROLE')) AS COLLABMEM_ROLE, */
PITMDS.ITEM_DISP_LINE_NUMBER,
PITMDS.GROUP_TYPE_CODE,
PITMDS.ITEM_LINE_GROUP_TYPE,
PITMDS.ITEM_LINE_NUMBER,
/*PITMDS.ITEM_PARENT_LINE_NUM, */
PITMDS.ITEM_NUM_REV,
PITMDS.ITEM_DESCRIPTION,
/*PITMDS.ITEM_ORGANIZATION_ID,*/
PITMDS.ITEM_CATEGORY_NAME,
PITMDS.ITEM_LINE_TYPE,
PITMDS.ITEM_QUANTITY,
PITMDS.ITEM_UNIT_OF_MEASURE,
/*PITMDS.ITEM_BID_START_PRICE,*/
PITMDS.ITEM_TARGET_PRICE,
PITMDS.ITEM_CURRENT_PRICE,
PITMDS.ITEM_NEED_BY_START_DATE,
PITMDS.ITEM_NEED_BY_DATE,
/*PITMDS.ITEM_SHIP_TO_ADDRESS,
PITMDS.ITEM_PRICE_BREAK_TYPE,*/
PITMDS.NUMBER_OF_BIDS_OF_ITEM,
DECODE(PITMDS.ITEM_LINE_ORIG_CODE, 'REQUISITION',PON_PCC_NEGOTIATIONS_UTIL_PVT.GET_NEGLINE_BACKING_REQ_INFO(AH.AUCTION_HEADER_ID,PITMDS.ITEM_LINE_NUMBER),NULL) AS BACKING_REQS_INFO,
DECODE(PITMDS.ITEM_LINE_ORIG_CODE, 'BLANKET',PITMDS.SOURCE_DOC_NUMBER||'/'||PITMDS.SOURCE_LINE_NUMBER,NULL) AS BACKING_BLANKET_INFO,
NVL(PITMDS.ITEM_PROJECTED_SAVINGS,0) as ITEM_PROJECTED_SAVINGS,
/*PITMDS.ITEM_PROJECTED_SAVINGS_DENOM,*/
NVL(PITMDS.ITEM_NEGOTIATED_SAVINGS,0) as ITEM_NEGOTIATED_SAVINGS,
/*PITMDS.ITEM_NEGOTIATED_SAVINGS_DENOM,*/
PITMDS.BEST_BID_NUMBER,
decode(AH.SEALED_AUCTION_STATUS, 'LOCKED',FL2.MEANING,PBIDS.BID_NUMBER) AS BID_NUMBER_DISP,
PBIDS.BID_NUMBER,
PBIDS.BID_STATUS,
PBIDS.BID_PUBLISH_DATE,
PBIDS.BID_EFFECTIVE_DATE,
PBIDS.BID_EXPIRATION_DATE,
PBIDS.BID_SUPPLIER_CONTACT,
decode(ah.contract_type, 'STANDARD',PBIDS.BID_AWARD_AMOUNT, PBIDS.BID_PO_AGREED_AMOUNT) BID_QUOTE_TOTAL_AMOUNT,
decode(doc.internal_name, 'BUYER_AUCTION', decode(ah.contract_type, 'STANDARD',PBIDS.BID_AWARD_AMOUNT, PBIDS.BID_PO_AGREED_AMOUNT),0) AWARDED_BIDS,
decode(doc.internal_name, 'REQUEST_FOR_QUOTE', decode(ah.contract_type, 'STANDARD',PBIDS.BID_AWARD_AMOUNT, PBIDS.BID_PO_AGREED_AMOUNT),0) AWARDED_QUOTES,
PBIDS.BID_AWARD_STATUS_CODE,
Nvl2(PBIDS.BID_SUPPLIER_CONTACT_ID,PON_LOCALE_PKG.get_party_display_name(PBIDS.BID_SUPPLIER_CONTACT_ID) ,NULL ) AS BID_SUPPLIER_CONTACT_NAME,
PBIDS.BID_SUPPLIER_NAME,
PBIDS.BID_VENDOR_SITE_CODE,
AH.CURRENCY_CODE AS BID_CURRENCY_CODE,
PBIDS.BID_SHORTLIST_FLAG,
PBIDS.SURROG_BID_FLAG,
decode(AH.SEALED_AUCTION_STATUS, 'LOCKED',FL2.MEANING,PON_TRANSFORM_BIDDING_PKG.calculate_bid_total(AH.AUCTION_HEADER_ID,PBIDS.BID_NUMBER,AH.TRADING_PARTNER_ID,NULL)) AS BID_TOTAL,
PBIDS.ORDER_CREATED_FROM_BID,
PBIDS.PO_HEADER_ID_FROM_BID,
PBIDS.BID_AWARD_DATE,
PBIDS.BID_TOTAL_SCORE,
DECODE (AH.TECHNICAL_LOCK_STATUS,'LOCKED',NULL,NVL(PBIDS.BIDLINE_DISP_NUMBER,PITMDS.ITEM_DISP_LINE_NUMBER)) AS BIDLINE_DISP_NUMBER,
/*DECODE (AH.TECHNICAL_LOCK_STATUS,'LOCKED',TO_NUMBER(NULL),NVL(PBIDS.BIDLINE_PARENT_LINE_NUMBER,PITMDS.ITEM_PARENT_LINE_NUM)) AS BIDLINE_PARENT_LINE_NUMBER,*/
DECODE (AH.TECHNICAL_LOCK_STATUS,'LOCKED',NULL,NVL(PBIDS.BIDLINE_GROUP_TYPE,PITMDS.ITEM_LINE_GROUP_TYPE)) AS BIDLINE_GROUP_TYPE,
DECODE (AH.TECHNICAL_LOCK_STATUS,'LOCKED',TO_NUMBER(NULL),PBIDS.BIDLINE_NUMBER) AS BIDLINE_NUMBER,
DECODE (AH.TECHNICAL_LOCK_STATUS,'LOCKED',NULL,PITMDS.ITEM_NUM_REV) AS BIDLINE_ITEM_NUM_REV,
DECODE (AH.TECHNICAL_LOCK_STATUS,'LOCKED',NULL,NVL(PBIDS.BIDLINE_ITEM_CATEGORY_NAME,PITMDS.ITEM_IP_CATEGORY_NAME)) AS BIDLINE_ITEM_CATEGORY_NAME,
DECODE (AH.TECHNICAL_LOCK_STATUS,'LOCKED',NULL,NVL(PBIDS.BIDLINE_ITEM_DESC,PITMDS.ITEM_DESCRIPTION)) AS BIDLINE_ITEM_DESC,
DECODE (AH.TECHNICAL_LOCK_STATUS,'LOCKED',NULL,NVL(PBIDS.BIDLINE_LINE_TYPE,PITMDS.ITEM_LINE_TYPE)) AS BIDLINE_LINE_TYPE,
DECODE (AH.TECHNICAL_LOCK_STATUS,'LOCKED',TO_DATE(NULL),PITMDS.ITEM_NEED_BY_START_DATE) AS BIDLINE_NEED_BY_START_DATE,
DECODE (AH.TECHNICAL_LOCK_STATUS,'LOCKED',TO_DATE(NULL),PITMDS.ITEM_NEED_BY_DATE) AS BIDLINE_NEED_BY_DATE,
DECODE (AH.TECHNICAL_LOCK_STATUS,'LOCKED',TO_DATE(NULL),PBIDS.BIDLINE_PROMISED_DATE) AS BIDLINE_PROMISED_DATE,
DECODE (AH.TECHNICAL_LOCK_STATUS,'LOCKED',TO_NUMBER(NULL),PITMDS.ITEM_QUANTITY) AS BIDLINE_TARGET_QUANTITY,
DECODE (AH.TECHNICAL_LOCK_STATUS,'LOCKED',TO_NUMBER(NULL),PBIDS.BIDLINE_QUOTE_QUANTITY) AS BIDLINE_QUOTE_QUANTITY,
DECODE (AH.TECHNICAL_LOCK_STATUS,'LOCKED',NULL,PBIDS.BIDLINE_UOM) AS BIDLINE_UOM,
DECODE (AH.TECHNICAL_LOCK_STATUS,'LOCKED',TO_NUMBER(NULL),PBIDS.BIDLINE_START_PRICE) AS BIDLINE_START_PRICE,
DECODE (AH.TECHNICAL_LOCK_STATUS,'LOCKED',TO_NUMBER(NULL),PITMDS.ITEM_TARGET_PRICE) AS BIDLINE_TARGET_PRICE,
DECODE (AH.TECHNICAL_LOCK_STATUS,'LOCKED',NULL,decode(AH.SEALED_AUCTION_STATUS,'LOCKED',FL2.MEANING,PBIDS.BIDLINE_QUOTE_PRICE)) AS BIDLINE_QUOTE_PRICE,
DECODE (AH.TECHNICAL_LOCK_STATUS,'LOCKED',NULL,decode(AH.SEALED_AUCTION_STATUS,'LOCKED',FL2.MEANING,PON_PCC_NEGOTIATIONS_UTIL_PVT.CALCULATE_BIDLINE_TOTAL(AH.AUCTION_HEADER_ID,
PBIDS.BID_NUMBER,PBIDS.BIDLINE_NUMBER,AH.TRADING_PARTNER_ID,AH.CURRENCY_CODE))) AS BIDLINE_TOTAL,
DECODE (AH.TECHNICAL_LOCK_STATUS,'LOCKED',TO_NUMBER(NULL),PBIDS.BIDLINE_PO_MIN_REL_AMT) AS BIDLINE_PO_MIN_REL_AMT,
DECODE (AH.TECHNICAL_LOCK_STATUS,'LOCKED',TO_NUMBER(NULL),PBIDS.BIDLINE_PO_BID_MIN_REL_AMT) AS BIDLINE_PO_BID_MIN_REL_AMT,
/*DECODE (AH.TECHNICAL_LOCK_STATUS,'LOCKED',TO_NUMBER(NULL),PBIDS.BIDLINE_ADVANCE_AMOUNT) AS BIDLINE_ADVANCE_AMOUNT,
DECODE (AH.TECHNICAL_LOCK_STATUS,'LOCKED',TO_NUMBER(NULL),PBIDS.BIDLINE_RECOUP_RATE_PERC) AS BIDLINE_RECOUP_RATE_PERC,
DECODE (AH.TECHNICAL_LOCK_STATUS,'LOCKED',TO_NUMBER(NULL),PBIDS.BIDLINE_PROG_PYMT_RATE_PERC) AS BIDLINE_PROG_PYMT_RATE_PERC,
DECODE (AH.TECHNICAL_LOCK_STATUS,'LOCKED',TO_NUMBER(NULL),PBIDS.BIDLINE_RETAINAGE_RATE_PERC) AS BIDLINE_RETAINAGE_RATE_PERC,
DECODE (AH.TECHNICAL_LOCK_STATUS,'LOCKED',TO_NUMBER(NULL),PBIDS.BIDLINE_MAX_RETAINAGE_AMT) AS BIDLINE_MAX_RETAINAGE_AMT,*/
DECODE (AH.TECHNICAL_LOCK_STATUS,'LOCKED',NULL, decode(AH.SEALED_AUCTION_STATUS,'LOCKED',FL2.MEANING,
PON_PCC_NEGOTIATIONS_UTIL_PVT.GET_BIDLINE_RANK(AH.AUCTION_HEADER_ID,PITMDS.ITEM_LINE_NUMBER,PBIDS.BID_NUMBER,PBIDS.BIDLINE_NUMBER,AH.RANK_INDICATOR,AH.BID_RANKING,PBIDS.BIDLINE_RANK,PITMDS.BEST_BID_NUMBER,PITMDS.BEST_BID_BID_NUMBER)))
 AS BIDLINE_RANK,
DECODE (AH.TECHNICAL_LOCK_STATUS,'LOCKED',TO_NUMBER(NULL),PON_OA_UTIL_PKG.GET_ACTIVE_BID_COUNT(PBIDS.AUCTION_HEADER_ID,PBIDS.BIDLINE_NUMBER)) AS BIDLINE_ACTIVE_BIDS,
DECODE (AH.TECHNICAL_LOCK_STATUS,'LOCKED',NULL,PBIDS.BIDLINE_AWARD_STATUS) AS BIDLINE_AWARD_STATUS,
DECODE (AH.TECHNICAL_LOCK_STATUS,'LOCKED',TO_DATE(NULL),PBIDS.BIDLINE_AWARD_DATE) AS BIDLINE_AWARD_DATE,
DECODE (AH.TECHNICAL_LOCK_STATUS,'LOCKED',TO_NUMBER(NULL),PBIDS.BIDLINE_AWARD_QUANTITY) AS BIDLINE_AWARD_QUANTITY,
DECODE (AH.TECHNICAL_LOCK_STATUS,'LOCKED',TO_NUMBER(NULL),PBIDS.BIDLINE_AWARD_PRICE) AS BIDLINE_AWARD_PRICE,
DECODE (AH.TECHNICAL_LOCK_STATUS,'LOCKED',NULL,PBIDS.BIDLINE_ORDER_NUMBER) AS BIDLINE_ORDER_NUMBER,
DECODE (AH.TECHNICAL_LOCK_STATUS,'LOCKED',TO_DATE(NULL),PBIDS.BIDLINE_CREATION_DATE) AS BIDLINE_CREATION_DATE,
/*PBIDS.BIDLINE_NEG_LINE_REFS AS BIDLINE_NEG_LINE_REFS,   */
PBIDS.BIDLINE_LINK_TYPE AS BIDLINE_LINK_TYPE,
/*PBIDS.BIDLINE_LINE_DONE_BY AS BIDLINE_LINE_DONE_BY, */
PBIDS.BIDLINE_SCORE,
PBIDS.BID_NUMBER||'-'|| PBIDS.BIDLINE_NUMBER as BID_LINE_IDENTIFIER
FROM
HR_ALL_ORGANIZATION_UNITS_TL HROU,
HR_LOCATIONS HR1,
HR_LOCATIONS HR2,
HZ_PARTIES HZ1,
HZ_PARTIES HZ6,
PON_AUCTION_HEADERS_ALL AH,
FND_LOOKUP_VALUES FL,
PON_AUC_DOCTYPES DOC,
FND_LOOKUP_VALUES FL1,
PO_DOC_STYLE_HEADERS POSH,
FND_LOOKUP_VALUES FL2,
FND_LOOKUP_VALUES FL3,
FND_LOOKUP_VALUES FL8,
FND_LOOKUP_VALUES FL10,
po_all_doc_style_lines ps,
PON_NEG_TEAM_MEMBERS NEG_TEAM,
(SELECT COUNT(*) AS AH_SUPP_COUNT ,
		MAX(LAST_UPDATE_DATE) AS BID_PARTY_LAST_UPD_DATE,
        AUCTION_HEADER_ID
 FROM PON_BIDDING_PARTIES
 GROUP BY AUCTION_HEADER_ID) INVITED_SUPP,
 (SELECT
        ITM.AUCTION_HEADER_ID,
        ITM.DOCUMENT_DISP_LINE_NUMBER AS ITEM_DISP_LINE_NUMBER,
        ITM.GROUP_TYPE as GROUP_TYPE_CODE,
        FL1.Meaning AS ITEM_LINE_GROUP_TYPE,
        ITM.LINE_NUMBER  AS ITEM_LINE_NUMBER,
        ITM.PARENT_LINE_NUMBER AS ITEM_PARENT_LINE_NUM,
        ITM.ITEM_NUMBER || NVL2(ITM.ITEM_REVISION, ', ', '') || ITM.ITEM_REVISION || JOBS.NAME ITEM_NUM_REV,
       	DECODE(NVL(MSI.ALLOW_ITEM_DESC_UPDATE_FLAG, 'Y'), 'Y' ,ITM.ITEM_DESCRIPTION ,'N' , MSIT.DESCRIPTION) ITEM_DESCRIPTION,
       	FSP.INVENTORY_ORGANIZATION_ID AS ITEM_ORGANIZATION_ID,
       	ITM.CATEGORY_NAME AS ITEM_CATEGORY_NAME,
       	ICCT.CATEGORY_NAME AS ITEM_IP_CATEGORY_NAME,
       	ITM.LINE_ORIGINATION_CODE AS ITEM_LINE_ORIG_CODE,
       	LT.LINE_TYPE AS ITEM_LINE_TYPE,
        ITM.QUANTITY  AS ITEM_QUANTITY,
	    UNITS.UNIT_OF_MEASURE_TL AS ITEM_UNIT_OF_MEASURE,
	    ITM.BID_START_PRICE AS ITEM_BID_START_PRICE,
	    ITM.TARGET_PRICE AS ITEM_TARGET_PRICE,
	    ITM.CURRENT_PRICE AS ITEM_CURRENT_PRICE,
	    DECODE(ITM.GROUP_TYPE ,'LOT_LINE',TO_NUMBER(NULL),'GROUP', TO_NUMBER(NULL),
	               DECODE(ITM.CURRENT_PRICE,TO_NUMBER(NULL),TO_NUMBER(NULL),DECODE(ITM.TARGET_PRICE,TO_NUMBER(NULL),TO_NUMBER(NULL),NVL(ITM.QUANTITY,1) * (ITM.CURRENT_PRICE - ITM.TARGET_PRICE)))) AS ITEM_PROJECTED_SAVINGS,
	    DECODE(ITM.GROUP_TYPE ,'LOT_LINE',TO_NUMBER(NULL),'GROUP', TO_NUMBER(NULL),DECODE(ITM.CURRENT_PRICE,TO_NUMBER(NULL),TO_NUMBER(NULL),NVL(ITM.QUANTITY,1) * ITM.CURRENT_PRICE)) AS ITEM_PROJECTED_SAVINGS_DENOM,
	    DECODE(ITM.GROUP_TYPE ,'LOT_LINE',TO_NUMBER(NULL),'GROUP', TO_NUMBER(NULL),PON_PCC_NEGOTIATIONS_UTIL_PVT.GET_NEGOTIATED_SAVINGS(ITM.AUCTION_HEADER_ID,ITM.LINE_NUMBER)) AS ITEM_NEGOTIATED_SAVINGS,
	   	DECODE(ITM.GROUP_TYPE ,'LOT_LINE',TO_NUMBER(NULL),'GROUP', TO_NUMBER(NULL),DECODE(ITM.CURRENT_PRICE,TO_NUMBER(NULL),TO_NUMBER(NULL),PON_PCC_NEGOTIATIONS_UTIL_PVT.GET_NEGOTIATED_SAVINGS_DENOM(ITM.AUCTION_HEADER_ID,ITM.LINE_NUMBER)))
		AS ITEM_NEGOTIATED_SAVINGS_DENOM,
        ITM.NEED_BY_START_DATE AS  ITEM_NEED_BY_START_DATE,
        ITM.NEED_BY_DATE AS ITEM_NEED_BY_DATE,
        HR3.LOCATION_CODE  AS ITEM_SHIP_TO_ADDRESS,
        ITM.PRICE_BREAK_TYPE AS ITEM_PRICE_BREAK_TYPE,
        ITM.PO_AGREED_AMOUNT AS ITEM_PO_AGREED_AMOUNT,
        ITM.PO_MIN_REL_AMOUNT AS ITEM_PO_MIN_REL_AMOUNT,
        JOBS.NAME AS  ITEM_JOB_DISPLAY,
        ITM.ADVANCE_AMOUNT AS ITEM_ADVANCE_AMT,
        ITM.RECOUPMENT_RATE_PERCENT AS ITEM_RECOUP_RATE_PERC,
        ITM.PROGRESS_PYMT_RATE_PERCENT AS ITEM_PROG_PYMT_RATE_PERC,
        ITM.RETAINAGE_RATE_PERCENT AS ITEM_RETAINAGE_RATE_PERC,
        ITM.MAX_RETAINAGE_AMOUNT AS ITEM_MAX_RETAINAGE_AMT,
        ITM.PROJECT_EXPENDITURE_ITEM_DATE AS ITEM_PROJ_EXP_ITEM_DATE,
        PROJ.SEGMENT1     AS ITEM_PROJ_NUMBER,
        TASK.TASK_NUMBER  AS ITEM_PROJ_TASK_NUMBER,
        GMS1.AWARD_NUMBER  AS ITEM_PROJ_AWARD_NUMBER,
        ORGHR.NAME        AS PROJ_EXP_ORG_NAME,
        ITM.PROJECT_EXPENDITURE_TYPE AS ITEM_PROJ_EXP_TYPE,
        NVL2(ITM.WORK_APPROVER_USER_ID, (SELECT PER.FULL_NAME
                                   FROM PER_ALL_PEOPLE_F PER
                                   WHERE PER.PERSON_ID = USR.EMPLOYEE_ID
                                   AND PER.EFFECTIVE_END_DATE =
                                               (SELECT MAX(PER1.EFFECTIVE_END_DATE)
                                                 FROM PER_ALL_PEOPLE_F PER1
                                                 WHERE PER.PERSON_ID = PER1.PERSON_ID)), NULL) AS  ITEM_WORK_APPR_USER_NAME,
        PON_OA_UTIL_PKG.GET_ACTIVE_BID_COUNT(ITM.AUCTION_HEADER_ID, ITM.LINE_NUMBER) NUMBER_OF_BIDS_OF_ITEM,
        DECODE(NVL(MSI.ALLOW_ITEM_DESC_UPDATE_FLAG, 'Y'), 'Y', MSIT.LAST_UPDATE_DATE,TO_DATE(NULL)) AS MAST_ITEM_DESC_LAST_UPD,
        ITM.BEST_BID_NUMBER,
        ITM.BEST_BID_BID_NUMBER,
        ITM.SOURCE_DOC_NUMBER,
        ITM.SOURCE_LINE_NUMBER,
        ITM.LAST_UPDATE_DATE AS ITEM_LAST_UPD_DATE,
        HROU.LANGUAGE
FROM  PON_AUCTION_ITEM_PRICES_ALL ITM,
      pon_auction_headers_all pah,
      HR_ALL_ORGANIZATION_UNITS_TL HROU,
      MTL_UNITS_OF_MEASURE_TL UNITS,
      PO_LINE_TYPES_TL LT,
      HR_LOCATIONS HR3,
      PER_JOBS_VL JOBS,
      FINANCIALS_SYSTEM_PARAMS_ALL FSP,
      PA_PROJECTS_ALL PROJ,
      PA_TASKS TASK,
      GMS_AWARDS_ALL GMS1,
      HR_ALL_ORGANIZATION_UNITS ORGHR,
      FND_USER USR,
      MTL_SYSTEM_ITEMS_TL MSIT ,
      MTL_SYSTEM_ITEMS_KFV MSI,
      ICX_CAT_CATEGORIES_V ICCT,
      FND_LOOKUP_VALUES FL1
WHERE pah.auction_header_id=itm.auction_header_id
AND HROU.ORGANIZATION_ID (+) = pah.ORG_ID
and ITM.SHIP_TO_LOCATION_ID = HR3.LOCATION_ID(+)
AND ITM.IP_CATEGORY_ID = ICCT.RT_CATEGORY_ID(+)
AND icct.LANGUAGE(+) = USERENV('LANG')
AND ITM.LINE_TYPE_ID =  LT.LINE_TYPE_ID(+)
AND nvl(LT.LANGUAGE,HROU.LANGUAGE) = HROU.LANGUAGE
AND ITM.UOM_CODE = UNITS.UOM_CODE(+)
AND nvl(UNITS.LANGUAGE,HROU.LANGUAGE) = HROU.LANGUAGE
AND ITM.JOB_ID = JOBS.JOB_ID(+)
AND ITM.ORG_ID = FSP.ORG_ID(+)
AND ITM.ITEM_ID = MSIT.INVENTORY_ITEM_ID(+)
AND NVL(MSIT.ORGANIZATION_ID,FSP.INVENTORY_ORGANIZATION_ID) = FSP.INVENTORY_ORGANIZATION_ID
AND ITM.ITEM_ID  = MSI.INVENTORY_ITEM_ID(+)
AND NVL(MSI.ORGANIZATION_ID,FSP.INVENTORY_ORGANIZATION_ID)  = FSP.INVENTORY_ORGANIZATION_ID
AND nvl(MSIT.LANGUAGE,HROU.LANGUAGE)= HROU.LANGUAGE
AND	FL1.LOOKUP_TYPE(+) = 'PON_GROUP_TYPE'
AND FL1.LOOKUP_CODE(+) = NVL(ITM.GROUP_TYPE,'-9999')
AND nvl(FL1.LANGUAGE,HROU.LANGUAGE) =HROU.LANGUAGE
AND ITM.PROJECT_ID = PROJ.PROJECT_ID(+)
AND ITM.PROJECT_TASK_ID = TASK.TASK_ID(+)
AND ITM.PROJECT_AWARD_ID = GMS1.AWARD_ID(+)
AND ITM.PROJECT_EXP_ORGANIZATION_ID = ORGHR.ORGANIZATION_ID(+)
AND ITM.WORK_APPROVER_USER_ID = USR.USER_ID(+))   PITMDS,
(SELECT	PBD.AUCTION_HEADER_ID,
      	PBD.BID_NUMBER AS BID_NUMBER,
        FL2.MEANING AS BID_STATUS,
        PBD.PUBLISH_DATE AS BID_PUBLISH_DATE,
        PBD.BID_EFFECTIVE_DATE,
        PBD.BID_EXPIRATION_DATE,
        PBD.TRADING_PARTNER_CONTACT_NAME AS BID_SUPPLIER_CONTACT,
        PBD.TRADING_PARTNER_CONTACT_ID AS BID_SUPPLIER_CONTACT_ID,
        PBD.TRADING_PARTNER_NAME AS BID_SUPPLIER_NAME,
        PBD.VENDOR_SITE_CODE  AS BID_VENDOR_SITE_CODE,
        decode(nvl(PBD.SHORTLIST_FLAG,'N'),'N',pon_pcc_negotiations_util_pvt.get_fnd_message('PON_CORE_NO','396',fl2.language),
        pon_pcc_negotiations_util_pvt.get_fnd_message('PON_CORE_YES','396',fl2.language))  AS BID_SHORTLIST_FLAG,
        decode(nvl(PBD.SURROG_BID_FLAG,'N'),'N',pon_pcc_negotiations_util_pvt.get_fnd_message('PON_CORE_NO','396',fl2.language),
        pon_pcc_negotiations_util_pvt.get_fnd_message('PON_CORE_YES','396',fl2.language))  AS SURROG_BID_FLAG,
        PBD.ORDER_NUMBER  AS  ORDER_CREATED_FROM_BID,
        PBD.PO_HEADER_ID AS PO_HEADER_ID_FROM_BID,
        PBD.AWARD_DATE AS BID_AWARD_DATE,
        PBD.LAST_UPDATE_DATE AS BID_LAST_UPD_DATE,
        BL.DOCUMENT_DISP_LINE_NUMBER AS BIDLINE_DISP_NUMBER,
        NULL AS BIDLINE_PARENT_LINE_NUMBER,
        NULL AS BIDLINE_GROUP_TYPE,
        BL.LINE_NUMBER AS BIDLINE_NUMBER,
        DECODE(BL.AUCTION_LINE_NUMBER,-1,DECODE(NVL(BID_LINE_REF.AUCTION_LINE_NUMBER,-1),-1,-1,BID_LINE_REF.AUCTION_LINE_NUMBER),BL.AUCTION_LINE_NUMBER) AS BIDLINE_AUC_LINE_NUM,
		    MC.CONCATENATED_SEGMENTS AS BIDLINE_ITEM_CATEGORY_NAME,
        BL.ITEM_DESCRIPTION AS BIDLINE_ITEM_DESC,
        LT.LINE_TYPE AS BIDLINE_LINE_TYPE,
        BL.PROMISED_DATE AS BIDLINE_PROMISED_DATE,
        BL.QUANTITY   AS BIDLINE_QUOTE_QUANTITY,
        UNITS.UNIT_OF_MEASURE_TL  AS BIDLINE_UOM,
        BL.BID_START_PRICE  AS BIDLINE_START_PRICE,
        BL.PRICE AS BIDLINE_QUOTE_PRICE,
        TO_NUMBER(NULL) AS BIDLINE_TOTAL,
        BL.PO_MIN_REL_AMOUNT AS BIDLINE_PO_MIN_REL_AMT,
        BL.PO_BID_MIN_REL_AMOUNT AS BIDLINE_PO_BID_MIN_REL_AMT,
        BL.ADVANCE_AMOUNT AS BIDLINE_ADVANCE_AMOUNT,
        BL.RECOUPMENT_RATE_PERCENT AS BIDLINE_RECOUP_RATE_PERC,
        BL.PROGRESS_PYMT_RATE_PERCENT AS BIDLINE_PROG_PYMT_RATE_PERC,
        BL.RETAINAGE_RATE_PERCENT AS BIDLINE_RETAINAGE_RATE_PERC,
        BL.MAX_RETAINAGE_AMOUNT AS BIDLINE_MAX_RETAINAGE_AMT,
        BL.RANK AS BIDLINE_RANK,
        nvl(BL.AWARD_PRICE*BL.AWARD_QUANTITY,0) BID_AWARD_AMOUNT,
        PBD.PO_AGREED_AMOUNT BID_PO_AGREED_AMOUNT,
        NVL(BL.AWARD_STATUS,PBD.AWARD_STATUS) BID_AWARD_STATUS_CODE,
        TO_NUMBER(NULL) AS BIDLINE_ACTIVE_BIDS,
        FL1.MEANING AS BIDLINE_AWARD_STATUS,
        BL.AWARD_DATE AS BIDLINE_AWARD_DATE,
        BL.AWARD_QUANTITY AS BIDLINE_AWARD_QUANTITY,
        BL.AWARD_PRICE AS BIDLINE_AWARD_PRICE,
        BL.ORDER_NUMBER AS BIDLINE_ORDER_NUMBER,
        BL.CREATION_DATE AS BIDLINE_CREATION_DATE,
        BL.LAST_UPDATE_DATE AS BIDLINE_LAST_UPD_DATE,
        DECODE(BL.AUCTION_LINE_NUMBER,-1,PON_PCC_NEGOTIATIONS_UTIL_PVT.GET_NEG_LINE_REFS_FOR_BIDLINE(BL.AUCTION_HEADER_ID,BL.BID_NUMBER,BL.LINE_NUMBER),NULL) AS BIDLINE_NEG_LINE_REFS,
        DECODE(BID_LINE_REF.LINK_TYPE , NULL,DECODE(BL.AUCTION_LINE_NUMBER,-1,FL3.MEANING,NULL),FL3.MEANING) AS BIDLINE_LINK_TYPE,
        BID_LINE_REF.LINK_DONE_BY AS BIDLINE_LINE_DONE_BY,
        BL.TOTAL_WEIGHTED_SCORE BIDLINE_SCORE,
        FL2.language,
      (SELECT  DECODE(NVL(pah.HDR_ATTR_ENABLE_WEIGHTS, 'N') , 'Y', SUM(NVL(pba.WEIGHTED_SCORE, 0)) , 'N', SUM(NVL(pba.SCORE, 0)) ) TOTAL_SCORE
       FROM     pon_bid_attribute_values pba,
                pon_auction_headers_all pah ,
                pon_auction_sections pas    ,
                pon_bid_headers pbh         ,
                pon_auction_headers_all_v pahv
       WHERE    pba.auction_header_id = PBD.AUCTION_HEADER_ID
       AND pba.bid_number = pbd.bid_number
       AND pba.BID_NUMBER            = pbh.bid_number
            AND pba.LINE_NUMBER           = -1
            AND pba.AUCTION_HEADER_ID     = pah.AUCTION_HEADER_ID
            AND pba.ATTR_GROUP_SEQ_NUMBER = pas.ATTR_GROUP_SEQ_NUMBER
            AND pba.AUCTION_HEADER_ID     = pas.AUCTION_HEADER_ID
            AND pba.AUCTION_HEADER_ID     = pahv.AUCTION_HEADER_ID
            AND (
                         (
                                  pah.TWO_PART_FLAG = 'Y'
                              AND pas.TWO_PART_SECTION_TYPE IN ('TECHNICAL',
                                                                DECODE(pahv.sealed_auction_status,'LOCKED','TECHNICAL',DECODE(pbh.technical_shortlist_flag,'Y','COMMERCIAL','TECHNICAL')))
                         )
                      OR (
                                  NVL(pah.TWO_PART_FLAG,'N') = 'N'
                         ))
      GROUP BY pba.BID_NUMBER ,
                pah.HDR_ATTR_ENABLE_WEIGHTS) AS BID_TOTAL_SCORE
 FROM  	PON_BID_HEADERS PBD,
        PON_BID_ITEM_PRICES BL,
        MTL_UNITS_OF_MEASURE_TL UNITS,
        PO_LINE_TYPES_TL LT,
        FND_LOOKUP_VALUES FL1,
        FND_LOOKUP_VALUES FL2,
        FND_LOOKUP_VALUES FL3,
        MTL_CATEGORIES_KFV  MC,
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PBD.AUCTION_HEADER_ID = BL.AUCTION_HEADER_ID
AND   	PBD.BID_NUMBER = BL.BID_NUMBER
AND     BL.BID_NUMBER = BID_LINE_REF.BID_NUMBER(+)
AND     BL.AUCTION_HEADER_ID = BID_LINE_REF.AUCTION_HEADER_ID(+)
AND     BL.LINE_NUMBER = BID_LINE_REF.LINE_NUMBER(+)
AND		  MC.CATEGORY_ID(+) = BL.CATEGORY_ID
AND   	FL1.LOOKUP_TYPE(+) = 'PON_ITEM_AWARD_STATUS'
AND   	FL1.LOOKUP_CODE(+) = NVL(BL.AWARD_STATUS,'-9999')
AND     nvl(FL1.LANGUAGE,FL2.LANGUAGE) = FL2.language
AND   	FL2.LOOKUP_TYPE(+) = 'PON_BID_STATUS'
AND   	FL2.LOOKUP_CODE(+) = NVL(PBD.BID_STATUS,'-9999')
AND     FL3.LOOKUP_TYPE(+) = 'PON_UNSOL_LINK_TYPE'
AND	    FL3.LOOKUP_CODE(+) = NVL(BID_LINE_REF.LINK_TYPE,'ADDITIONAL')
AND     nvl(FL3.LANGUAGE,FL2.LANGUAGE) = FL2.language
AND 	  BL.LINE_TYPE_ID =  LT.LINE_TYPE_ID(+)
AND 	  nvl(LT.LANGUAGE,FL2.language) = FL2.language
AND   	BL.UOM = UNITS.UOM_CODE(+)
AND   	nvl(UNITS.LANGUAGE,FL2.language) =FL2.language
AND   	PBD.BID_STATUS IN ('ACTIVE')
) PBIDS,
(select 'PON_AUC_ROW_ID','PON_AUC_CONTEXT_VALUE','PON_AUC_MOBILE_NUMBER','PON_AUC_LANDLINE_NUMBER','PON_AUC_PHONE','PON_AUC_EMAIL','PON_AUC_FAX','PON_AUC_CONCATENATED_SEGMENTS' from dual where 1=2  union select ROWIDTOCHAR(ROW_ID),CONTEXT_VALUE,MOBILE_NUMBER,LANDLINE_NUMBER,PHONE,EMAIL,FAX,CONCATENATED_SEGMENTS from PON_AUCTION_HEADERS_ALL_DFV) pon_auc_dfv,
(select 'PON_AUC_INT_ROW_ID','PON_AUC_INT_CONTEXT_VALUE','PON_AUC_INT_EXPRESS_DELIVERY','PON_AUC_INT_NORMAL_DELIVERY','PON_AUC_INT_TURNOVER_DISCOUNT','PON_AUC_INT_COMPETITIVE_PRICE','PON_AUC_INT_PREMIUM','PON_AUC_INT_STANDARD','PON_AUC_INT_CONCATENATED_SEGMENTS' from dual where 1=2  union select ROWIDTOCHAR(ROW_ID),CONTEXT_VALUE,EXPRESS_DELIVERY,NORMAL_DELIVERY,TURNOVER_DISCOUNT,COMPETITIVE_PRICE,PREMIUM,STANDARD,CONCATENATED_SEGMENTS from PON_AUCTION_HEADERS_ALL1_DFV) pon_auc_int_dfv
WHERE AH.AUCTION_HEADER_ID = PITMDS.AUCTION_HEADER_ID(+)
  AND NVL(PITMDS.LANGUAGE,HROU.LANGUAGE) = HROU.LANGUAGE
  AND AH.PO_STYLE_ID = PS.STYLE_ID (+)
  AND AH.CONTRACT_TYPE = PS.DOCUMENT_SUBTYPE (+)
  AND nvl(PS.LANGUAGE,HROU.LANGUAGE) = HROU.LANGUAGE
  AND HROU.LANGUAGE IN ('US')
  AND POSH.STATUS(+) = 'ACTIVE'
  AND POSH.STYLE_ID(+) = AH.STYLE_ID
  AND PITMDS.AUCTION_HEADER_ID = PBIDS.AUCTION_HEADER_ID(+)
  AND pitmds.item_line_number =  pbids.bidline_auc_line_num(+)
  AND NVL(PBIDS.LANGUAGE,HROU.LANGUAGE) = HROU.LANGUAGE
  AND (Nvl(pbids.bidline_auc_line_num,-1) =  Nvl2(pbids.bidline_auc_line_num, PITMDS.ITEM_LINE_NUMBER, -1) OR pbids.bidline_auc_line_num=-1)
  AND AH.AUCTION_HEADER_ID = INVITED_SUPP.AUCTION_HEADER_ID (+)
  AND AH.AUCTION_HEADER_ID = NEG_TEAM.AUCTION_HEADER_ID(+)
  AND HROU.ORGANIZATION_ID (+) = AH.ORG_ID
  AND HZ1.PARTY_ID(+) = AH.TRADING_PARTNER_CONTACT_ID
  AND HZ6.PARTY_ID(+) = AH.BUYER_ID
  AND FL.LOOKUP_TYPE(+) = 'CONTACT_TITLE'
  AND FL.LOOKUP_CODE(+) = HZ1.PERSON_PRE_NAME_ADJUNCT
  AND FL.VIEW_APPLICATION_ID(+) = 222
  AND FL.SECURITY_GROUP_ID(+) = 0
  AND Nvl(FL.LANGUAGE,HROU.LANGUAGE) =  HROU.LANGUAGE
  AND AH.AUCTION_STATUS &lt;&gt; 'DELETED'
  AND AH.DOCTYPE_ID = DOC.DOCTYPE_ID
  AND FL1.LOOKUP_TYPE = 'PON_AUCTION_DOC_TYPES'
  AND FL1.LOOKUP_CODE = DOC.INTERNAL_NAME
  AND Nvl(FL1.LANGUAGE,HROU.LANGUAGE) =  HROU.LANGUAGE
  AND DOC.INTERNAL_NAME &lt;&gt; 'SOLICITATION'
  AND Decode(Nvl(AH.SUPP_REG_QUAL_FLAG, 'N'), 'Y', 'Y','N',
                  Nvl(AH.SUPP_EVAL_FLAG, 'N'), 'Y', 'Y','N') ='N'
  AND FL2.LOOKUP_TYPE(+) = 'PON_BID_VISIBILITY_CODE'
  AND FL2.LOOKUP_CODE(+) = NVL(AH.BID_VISIBILITY_CODE,'-9999')
  AND Nvl(FL2.LANGUAGE,HROU.LANGUAGE) =  HROU.LANGUAGE
  AND FL3.LOOKUP_TYPE(+) = 'PON_BID_RANKING_CODE'
  AND FL3.LOOKUP_CODE(+) = NVL(AH.BID_RANKING,'-9999')
  AND Nvl(FL3.LANGUAGE,HROU.LANGUAGE) =  HROU.LANGUAGE
  AND FL8.LOOKUP_TYPE(+) = 'PON_RANK_INDICATOR_CODE'
  AND FL8.LOOKUP_CODE(+) = AH.RANK_INDICATOR
  AND Nvl(FL8.LANGUAGE,HROU.LANGUAGE) =  HROU.LANGUAGE
  AND FL10.LOOKUP_TYPE(+) = 'PON_SECURITY_LEVEL_CODE'
  AND FL10.LOOKUP_CODE(+) = NVL(AH.SECURITY_LEVEL_CODE,'-9999')
  AND Nvl(FL10.LANGUAGE,HROU.LANGUAGE) =  HROU.LANGUAGE
  AND AH.SHIP_TO_LOCATION_ID	=	HR1.LOCATION_ID(+)
  AND AH.BILL_TO_LOCATION_ID	=	HR2.LOCATION_ID(+)
  AND AH.CREATION_DATE &gt;= nvl(fnd_date.Canonical_to_date(fnd_profile.Value('PO_PSC_ITEM_SUPP_LOAD_CUT_OFF')),AH.CREATION_DATE)
  AND ah.rowid=pon_auc_dfv."'PON_AUC_ROW_ID'"(+)
  AND ah.rowid=pon_auc_int_dfv."'PON_AUC_INT_ROW_ID'"(+)
  AND ( (greatest(AH.LAST_UPDATE_DATE,
         NVL(NEG_TEAM.LAST_UPDATE_DATE,AH.LAST_UPDATE_DATE),
         NVL(INVITED_SUPP.BID_PARTY_LAST_UPD_DATE,AH.LAST_UPDATE_DATE),
         NVL(PITMDS.ITEM_LAST_UPD_DATE,AH.LAST_UPDATE_DATE),
         NVL(PITMDS.MAST_ITEM_DESC_LAST_UPD,AH.LAST_UPDATE_DATE),
         NVL(PBIDS.BID_LAST_UPD_DATE,AH.LAST_UPDATE_DATE),
         NVL(PBIDS.BIDLINE_LAST_UPD_DATE,AH.LAST_UPDATE_DATE),
		 Nvl(
         (SELECT Max(PTE.POSTED_DATE) FROM PON_DISCUSSIONS PD,
           PON_THREAD_ENTRIES PTE
           WHERE
             PD.PK1_VALUE(+) = TO_CHAR(AH.AUCTION_HEADER_ID)
         AND PD.ENTITY_NAME(+) = 'PON_AUCTION_HEADERS_ALL'
         AND PTE.DISCUSSION_ID(+) = PD.DISCUSSION_ID)
         ,AH.LAST_UPDATE_DATE) ) &gt; to_date(to_char(to_timestamp('23-APR-20'),'DD-MON-YY HH24.MI.SS'),'DD-MON-YY HH24.MI.SS'))
          or (AH.CLOSE_BIDDING_DATE between to_date(to_char(to_timestamp('23-APR-20'),'DD-MON-YY HH24.MI.SS'),'DD-MON-YY HH24.MI.SS')
                                      and to_date(to_char(to_timestamp('24-APR-20'),'DD-MON-YY HH24.MI.SS'),'DD-MON-YY HH24.MI.SS'))
         or (AH.OPEN_BIDDING_DATE between to_date(to_char(to_timestamp('23-APR-20'),'DD-MON-YY HH24.MI.SS'),'DD-MON-YY HH24.MI.SS')
                                      and to_date(to_char(to_timestamp('24-APR-20'),'DD-MON-YY HH24.MI.SS'),'DD-MON-YY HH24.MI.SS'))
         ) )  PIVOT(max(AH_OPERATING_UNIT) as AH_OPERATING_UNIT,
max(STYLE) as STYLE,
max(BUYER_NAME) as BUYER_NAME,
max(LATEST_VERSION) as LATEST_VERSION,
max(AUCTION_STATUS) as AUCTION_STATUS,
max(TWO_PART_FLAG) as TWO_PART_FLAG,
max(DOCTYPE) </t>
  </si>
  <si>
    <t>
select * from (
SELECT
auction_header_id||'-'||duration_code  ECC_SPEC_ID,
auction_header_id,
document_number,
auction_status_code,
duration_type,
duration,
org_id,
SECURITY_LEVEL_CODE as SECURITY_LEVEL_CODE_CODE,
CURRENCY_CODE,
PON_PCC_NEGOTIATIONS_UTIL_PVT.GET_NEG_TOTAL_AMOUNT(auction_header_id) NEGOTIATION_AMOUNT,
PON_PCC_NEGOTIATIONS_UTIL_PVT.get_authorized_userids(auction_header_id) AS AUTHORIZED_USER_IDS,
language
FROM (
SELECT
ah.auction_header_id,
ah.document_number,
ah.auction_status auction_status_code,
CASE WHEN AUCTION_HEADER_ID_PREV_AMEND IS NOT NULL OR AUCTION_HEADER_ID_PREV_ROUND IS NOT NULL
       THEN PON_PCC_NEGOTIATIONS_UTIL_PVT.GET_TOTAL_DRAFT_TIME(AH.AUCTION_HEADER_ID)
     WHEN AUCTION_STATUS &lt;&gt; 'AMENDED' AND NOT (AUCTION_STATUS='AUCTION_CLOSED' AND AWARD_STATUS='NO')
     THEN (AH.PUBLISH_DATE - AH.CREATION_DATE)
END AS TOTAL_DRAFT_TIME,
CASE WHEN AUCTION_HEADER_ID_PREV_AMEND IS NOT NULL OR AUCTION_HEADER_ID_PREV_ROUND IS NOT NULL
       THEN PON_PCC_NEGOTIATIONS_UTIL_PVT.GET_TOTAL_BID_TIME(AH.AUCTION_HEADER_ID)
     WHEN AUCTION_STATUS &lt;&gt; 'AMENDED' AND NOT (AUCTION_STATUS='AUCTION_CLOSED' AND AWARD_STATUS='NO')
     THEN (AH.CLOSE_BIDDING_DATE - AH.PUBLISH_DATE)
       END AS TOTAL_BID_TIME,
CASE WHEN AUCTION_HEADER_ID_PREV_AMEND IS NOT NULL OR AUCTION_HEADER_ID_PREV_ROUND IS NOT NULL
       THEN PON_PCC_NEGOTIATIONS_UTIL_PVT.GET_TOTAL_ANALYSE_TIME(AH.AUCTION_HEADER_ID)
     WHEN AUCTION_STATUS &lt;&gt; 'AMENDED' AND NOT (AUCTION_STATUS='AUCTION_CLOSED' AND AWARD_STATUS='NO')
     THEN (AH.AWARD_DATE - AH.CLOSE_BIDDING_DATE)
       END AS TOTAL_ANALYSE_TIME,
CASE WHEN AUCTION_HEADER_ID_PREV_AMEND IS NOT NULL OR AUCTION_HEADER_ID_PREV_ROUND IS NOT NULL
       THEN PON_PCC_NEGOTIATIONS_UTIL_PVT.GET_TOTAL_AWARD_TIME(AH.AUCTION_HEADER_ID)
     WHEN  AUCTION_STATUS = 'AUCTION_CLOSED' AND AWARD_STATUS = 'COMPLETED'
       THEN (AH.AWARD_COMPLETE_DATE - AH.AWARD_DATE)
        END AS TOTAL_AWARD_TIME,
pon_pcc_negotiations_util_pvt.get_fnd_message('PON_PCC_DRAFT_TIME','396',HROU.language) as draft_type,
'DRAFT_TIME' as draft_type_code,
pon_pcc_negotiations_util_pvt.get_fnd_message('PON_PCC_BID_TIME','396',HROU.language) as bid_Type,
'BID_TIME' as bid_Type_code,
pon_pcc_negotiations_util_pvt.get_fnd_message('PON_PCC_ANALYZE_TIME','396',HROU.language) as analyze_type,
'ANALYZE_TIME' as analyze_type_code,
pon_pcc_negotiations_util_pvt.get_fnd_message('PON_PCC_AWARD_TIME','396',HROU.language) as award_type,
'AWARD_TIME' as award_type_code,
ah.org_id,
ah.SECURITY_LEVEL_CODE,
ah.currency_code,
hrou.language
FROM
pon_auction_headers_all ah,
PON_AUC_DOCTYPES DOC,
HR_ALL_ORGANIZATION_UNITS_TL HROU
where
hrou.organization_id (+) = ah.org_id
AND HROU.LANGUAGE IN ('US')
AND AH.DOCTYPE_ID = DOC.DOCTYPE_ID
AND DOC.INTERNAL_NAME &lt;&gt; 'SOLICITATION'
AND Decode(Nvl(AH.SUPP_REG_QUAL_FLAG, 'N'), 'Y', 'Y','N',
Nvl(AH.SUPP_EVAL_FLAG, 'N'), 'Y', 'Y','N') ='N'
AND AH.CREATION_DATE &gt;= nvl(fnd_date.Canonical_to_date(fnd_profile.Value('PO_PSC_ITEM_SUPP_LOAD_CUT_OFF')),AH.CREATION_DATE)
  AND  AH.LAST_UPDATE_DATE &gt; to_date(to_char(to_timestamp('23-APR-20'),'DD-MON-YY HH24.MI.SS'),'DD-MON-YY HH24.MI.SS')
) ah
unpivot ((duration_type,duration,duration_code) FOR  sol_duration IN ((draft_type,TOTAL_DRAFT_TIME,draft_type_code)AS '1',
                                                           (bid_Type,TOTAL_BID_TIME,bid_Type_code) AS '2',
                                                           (analyze_type,TOTAL_ANALYSE_TIME,analyze_type_code) AS '3' ,
                                                            (award_type,TOTAL_AWARD_TIME,award_type_code ) AS '4'
                                                            ) ) )pivot(Max(duration_type) AS duration_type FOR LANGUAGE IN ('US' "US"))</t>
  </si>
  <si>
    <t>select * from (
SELECT
ecc_spec_id||'-'||duration_type as ecc_spec_id,
grh_po_header_id,
grh_po_num,
grh_buyer_name,
language,
DOC_AUTHORIZED_USER_IDS,
SECURITY_LEVEL_CODE,
ORG_ID,
duration_type,
duration
FROM (
select poh.po_header_id                       AS ecc_spec_id,
poh.po_header_id                                                    AS grh_po_header_id,
poh.segment1    grh_po_num,
(SELECT emp.full_name
 FROM   per_all_people_f emp
 WHERE  emp.person_id = poh.agent_id
 AND ( ( emp.effective_end_date IS NULL )
       OR ( emp.effective_end_date =(SELECT Max(c.effective_end_date)
                                     FROM   per_all_people_f c
                                     WHERE  emp.person_id = c.person_id)
			    )
		  )) 	                                                          AS grh_buyer_name,
houtl.language                                                      AS language,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ORG_ID,
po_pcc_orders_util_pvt.GET_TIME_IN_POOL(poh.po_header_id)           AS time_in_pool,
po_pcc_orders_util_pvt.GET_TIME_IN_SOURCING(poh.po_header_id)       AS time_in_sourcing,
po_pcc_orders_util_pvt.GET_TIME_IN_ORDER_DRAFTING(poh.po_header_id) AS time_in_ord_drafting,
po_pcc_orders_util_pvt.GET_TIME_IN_ORDER_APPROVAL(poh.po_header_id) AS time_in_ord_approval,
po_pcc_orders_util_pvt.get_fnd_message('PO_PCC_ORD_TIME_IN_POOL','201',houtl.language) AS time_in_pool_msg,
po_pcc_orders_util_pvt.get_fnd_message('PO_PCC_ORD_TIME_IN_NEG','201',houtl.language) AS time_in_sourcing_msg,
po_pcc_orders_util_pvt.get_fnd_message('PO_PCC_ORD_TIME_IN_ORD_DRAFT','201',houtl.language) AS time_in_ord_drafting_msg,
po_pcc_orders_util_pvt.get_fnd_message('PO_PCC_ORD_TIME_IN_ORD_APP','201',houtl.language) AS time_in_ord_approval_msg
FROM po_headers_all poh,po_doc_style_headers doc_style, PO_DOCUMENT_TYPES_ALL pdt,
hr_all_organization_units_tl houtl
WHERE poh.type_lookup_code IN ('STANDARD')
AND doc_style.style_id = poh.style_id
AND nvl(doc_style.clm_flag,'N') = 'N'
AND pdt.org_id = poh.org_id
AND pdt.DOCUMENT_TYPE_CODE = 'PO'
AND pdt.DOCUMENT_SUBTYPE = poh.TYPE_LOOKUP_CODE
and houtl.LANGUAGE IN ('US')
AND houtl.organization_id (+) = poh.org_id  and poh.last_update_date &gt; to_date(to_char(to_timestamp('23-APR-20'),'DD-MON-YY HH24.MI.SS'),'DD-MON-YY HH24.MI.SS') ) grp_poh unpivot ((duration_type,duration) FOR  req_duration IN ((time_in_pool_msg,time_in_pool)AS '1',
                                                           (time_in_sourcing_msg,time_in_sourcing) AS '2',
                                                           (time_in_ord_drafting_msg,time_in_ord_drafting) AS '3' ,
                                                            (time_in_ord_approval_msg,time_in_ord_approval ) AS '4'
                                                            ))) pivot(Max(duration_type) AS duration_type FOR LANGUAGE IN ('US' "US"))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</si>
  <si>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	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   )  deliverable_status,
  deliverabletypes_tl.LANGUAGE,
  deliverable.deliverable_status deliverable_status_code
   FROM okc_deliverables deliverable,
   okc_bus_doc_types_b busdoc,
   okc_bus_doc_types_tl busdoc_tl,
   hz_parties hpcontact,
   okc_deliverable_types_tl deliverabletypes_tl,
   po_session_gt gt
   WHERE
   gt.KEY=3134043
   AND deliverable.deliverable_id=gt.num5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</si>
  <si>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
(SELECT gt.char1 ecc_spec_id, DFV.*,
po_dist.po_distribution_id                                         po_dist_id,
		 po_dist.distribution_num                                           po_dist_num,
		 (SELECT flv.meaning
          FROM   fnd_lookup_values flv
          WHERE  flv.lookup_type = 'DESTINATION TYPE'
          AND flv.lookup_code = po_dist.destination_type_code
          AND flv.language= po_hr_org_unit_tl.LANGUAGE)	                po_dist_destination_type,
		 (SELECT  concatenated_segments
          FROM gl_code_combinations_kfv  gl_code_kfv
          WHERE code_combination_id = po_dist.code_combination_id)   	    po_dist_charge_account,
		 pa_project.name                                                    project_name,
		 pa_project.segment1                                                project_number,
		 pa_task.task_name                                                  task_name,
		 pa_task.task_number                                                task_number,
		 po_dist.expenditure_type                                           po_expenditure_type,
         po_hr_org_unit_tl.name                                             po_EXPENDITURE_ORGANIZATION,
         po_dist.EXPENDITURE_ITEM_DATE                                      po_EXPENDITURE_ITEM_DATE,
		 (SELECT full_name
          FROM  hr_employees hr_emp
          WHERE hr_emp.employee_id = po_dist.deliver_to_person_id)       	po_dist_requester,
          po_hr_org_unit_tl.LANGUAGE,
     (select req_header.segment1
      from po_requisition_headers_all req_header,
           po_distributions_all pda,
           po_requisition_lines_all req_line,
           po_req_distributions_all req_dist
      where req_line.requisition_header_id = req_header.requisition_header_id
      and req_line.requisition_line_id  = req_dist.requisition_line_id
      and req_dist.distribution_id     = pda.req_distribution_id
      AND pda.po_distribution_id = po_dist.po_distribution_id) requisition,
po_dist.destination_subinventory 	po_dist_dest_sub_inv
FROM
po_distributions_all po_dist,
po_session_gt gt,
po_headers_all po_header,
pa_projects_all pa_project,
	 pa_tasks  pa_task,
  hr_all_organization_units_tl po_hr_org_unit_tl,
  (select 'PO_ORD_D_ROW_ID','PO_ORD_D_CONTEXT','PO_ORD_D_CONCATENATED_SEGMENTS' from dual where 1=2  union select ROWIDTOCHAR(ROW_ID),CONTEXT,CONCATENATED_SEGMENTS from PO_DISTRIBUTIONS_ALL_DFV) DFV
WHERE gt.KEY=3134043
AND po_dist.po_header_id = gt.num1
AND po_dist.po_line_id = gt.num2
AND po_dist.line_location_id = gt.num3
and po_header.po_header_id = po_dist.po_header_id
	  and po_dist.task_id = pa_task.task_id(+)
	  and pa_task.project_id = pa_project.project_id (+)
	  and po_header.org_id =   po_hr_org_unit_tl.organization_id(+)
          AND po_hr_org_unit_tl.language IN ('US')
	  AND po_dist.rowid = dfv."'PO_ORD_D_ROW_ID'" (+))
      PIVOT (max(po_EXPENDITURE_ORGANIZATION) as po_EXPENDITURE_ORGANIZATION,
	  max(po_dist_destination_type) as po_dist_destination_type
 for LANGUAGE in ('US' "US"))</t>
  </si>
  <si>
    <t>select * from (SELECT
gt.char1 ecc_spec_id, DFV.*,
 po_lineloc.line_location_id                                          po_lineloc_id,
       po_lineloc.shipment_num                                              po_shipment_num,
	   po_lineloc.quantity                                                  po_ship_ordered_quantity,
	   (SELECT location_code
        FROM   po_ship_to_loc_org_v
        WHERE  location_id = po_lineloc.ship_to_location_id) 	            po_ship_to_location,
	   DECODE(po_lineloc.matching_basis,
			      'AMOUNT',nvl(po_lineloc.amount, 0),
	          Nvl(po_lineloc.PRICE_OVERRIDE*(po_lineloc.quantity-po_lineloc.quantity_cancelled), 0))   shipment_amount,
	   po_lineloc.quantity_received                                         po_ship_received_quantity,
	   po_lineloc.quantity_rejected                                         po_ship_rejected_quantity,
	   po_lineloc.quantity_billed                                           po_ship_invoiced_quantity,
	   po_lineloc.quantity_cancelled                                        po_ship_cancelled_quantity,
     po_lineloc.quantity_shipped                                          po_ship_shipped_quantity,
	   DECODE(po_lineloc.matching_basis,
			      'AMOUNT',nvl(po_lineloc.amount, 0),
	          Nvl(po_lineloc.PRICE_OVERRIDE*(po_lineloc.quantity-po_lineloc.quantity_cancelled), 0)) po_ship_ordered_amount,
	   DECODE(po_lineloc.matching_basis,
            'AMOUNT',nvl(po_lineloc.amount_shipped, 0),
	          Nvl(po_lineloc.PRICE_OVERRIDE*po_lineloc.quantity_shipped, 0))                         po_ship_shipped_amount,
	   DECODE(po_lineloc.matching_basis,
            'AMOUNT',nvl(po_lineloc.amount_received, 0),
	          Nvl(po_lineloc.PRICE_OVERRIDE*po_lineloc.quantity_received, 0))                        po_ship_received_amount,
     DECODE(po_lineloc.matching_basis,
            'AMOUNT',nvl(po_lineloc.amount_rejected, 0),
	          Nvl(po_lineloc.PRICE_OVERRIDE*po_lineloc.quantity_rejected, 0))                        po_ship_rejected_amount,
	   DECODE(po_lineloc.matching_basis,
            'AMOUNT',nvl(po_lineloc.amount_billed, 0),
	          Nvl(po_lineloc.PRICE_OVERRIDE*po_lineloc.quantity_billed, 0))                          po_ship_invoiced_amount,
     po_lineloc.PRICE_OVERRIDE                                            po_unit_price,
	   po_lineloc.need_by_date                                              po_need_by_date,
	   po_lineloc.promised_date 	                                        po_promised_date,
     (
    CASE
      WHEN ( NVL(po_lineloc.promised_date,po_lineloc.need_by_date)  IS NOT NULL
             AND NVL(po_lineloc.promised_date,po_lineloc.need_by_date)  &lt; SYSDATE )
             AND po_lineloc.approved_flag = 'Y'
			 AND (NVL((po_lineloc.quantity-po_lineloc.quantity_cancelled), 0) - NVL(po_lineloc.quantity_received, 0)) &gt; 0
      THEN 'Y'
      ELSE 'N'
    END) overdue_flag,
    (SELECT NVL(plla.promised_date,plla.need_by_date)
     FROM po_line_locations_all plla
     WHERE plla.line_location_id=po_lineloc.line_location_id
     and (NVL(plla.promised_date,plla.need_by_date)  IS NOT NULL)
     and plla.approved_flag = 'Y'
     and decode(plla.matching_basis,'QUANTITY', (NVL((plla.quantity-plla.quantity_cancelled), 0) - NVL(plla.quantity_received, 0)),
     (NVL((plla.amount-plla.amount_cancelled), 0) - NVL(plla.amount_received, 0))
     ) &gt; 0
     ) need_by_date_open_shipment,
    (select count(*)
  from ap_holds_all
  where release_lookup_code is null
  and line_location_id = po_lineloc.line_location_id
  AND hold_lookup_code in
       (select hold_lookup_code
        from ap_hold_codes
        where hold_type = 'MATCHING HOLD REASON'
        and NVL(inactive_date, trunc(sysdate) + 1) &gt;= trunc(sysdate))
  )  invoice_on_hold
FROM po_line_locations_all po_lineloc,
po_session_gt gt,
po_lines_all po_line,
po_headers_all po_header, (select 'PO_ORD_LL_ROW_ID','PO_ORD_LL_CONTEXT','PO_ORD_LL_CONCATENATED_SEGMENTS' from dual where 1=2  union select ROWIDTOCHAR(ROW_ID),CONTEXT,CONCATENATED_SEGMENTS from PO_LINE_LOCATIONS_ALL_DFV) DFV
WHERE gt.KEY=3134043
AND po_lineloc.po_header_id=gt.num1
AND po_lineloc.po_line_id=gt.num2
AND po_lineloc.line_location_id = gt.num3
AND po_line.po_line_id = po_lineloc.po_line_id
AND po_lineloc.po_header_id = po_header.po_header_id
AND po_lineloc.rowid = dfv."'PO_ORD_LL_ROW_ID'" (+))</t>
  </si>
  <si>
    <t>select * from (SELECT
gt.char1 ecc_spec_id, DFV.*,
 po_line.po_line_id                                                   po_line_id,
	   po_line.line_num 	                                                po_line_num,
	   (SELECT line_type
      FROM   po_line_types_tl lt
      WHERE  lt.line_type_id = po_line.line_type_id
             AND lt.language  = houtl.language)                           po_line_type,
	   mtl_sys_item.concatenated_segments                                   PO_ITEM_NUMBER,
       po_line.item_description                                             po_item_description,
	   po_mtl_cat.concatenated_segments                                     po_item_category,
	   po_line.quantity                                                     po_line_quantity,
	   po_line.unit_meas_lookup_code                                        po_UOM,
	   po_line.UNIT_PRICE                                                   po_line_price,
	   DECODE( NVL(po_line.closed_code, 'OPEN'),
               'OPEN', po_pcc_orders_util_pvt.get_fnd_message('PO_OPEN','201',houtl.language),
               'CLOSED FOR RECEIVING', po_pcc_orders_util_pvt.get_fnd_message('PO_STATUS_CLOSED','201',houtl.language),
               po_pcc_orders_util_pvt.get_fnd_message ('PO_STATUS_CLOSED','201',houtl.language))             po_line_status,
	   gt.char2 po_func_currency,
       (select neg_header.document_number
        from    pon_auction_headers_all neg_header
        where   po_line.auction_header_id = neg_header.auction_header_id)      NEG_NUMBER ,
        houtl.language,
        decode(po_line.matching_basis, 'AMOUNT', po_line.amount, (po_line.quantity*nvl(po_line.unit_price,0))) po_line_amount,
        po_line.note_to_vendor note_to_supplier,
        (select segment1 from po_headers_all where po_header_id = nvl(po_line.from_header_id,po_line.contract_id)) agreement,
        nvl(po_line.from_header_id,po_line.contract_id) source_header_id,
        po_line.from_line_id source_line_id
FROM po_headers_all po_header,
po_lines_all po_line,
	 mtl_system_items_b_kfv mtl_sys_item,
	 mtl_categories_kfv po_mtl_cat,
 financials_system_params_all fsp 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gt.KEY=3134043
AND po_header.po_header_id=gt.num1
AND po_line.po_line_id=gt.num2
AND houtl.organization_id (+) = po_header.org_id
AND houtl.language IN ('US')
AND po_header.org_id = fsp.org_id (+)
AND nvl(nvl(mtl_sys_item.organization_id,fsp.inventory_organization_id),-99) = nvl(fsp.inventory_organization_id,-99)
AND po_line.po_header_id = po_header.po_header_id
and po_line.item_id = mtl_sys_item.inventory_item_id(+)
and po_line.category_id = po_mtl_cat.category_id (+)
and po_line.rowid = dfv."'PO_ORD_L_ROW_ID'" (+)
)
PIVOT (max(po_line_type) as po_line_type,
max(po_line_status) as po_line_status
 for LANGUAGE in ('US' "US"))</t>
  </si>
  <si>
    <t>select * from (SELECT
     gt.char1 ecc_spec_id, DFV.*,
po_header.po_header_id,
       po_header.segment1                                                   ORDER_NUMBER,
	   po_header.REVISION_NUM                                               po_revision,
	   po_pcc_orders_util_pvt.get_po_status(po_header.po_header_id,houtl.language)                 po_status,
     /*po_headers_sv3.get_po_status(po_header.po_header_id) po_status,*/
	   doc_style.style_name                                                 po_document_style,
	   (SELECT emp.full_name
        FROM   per_all_people_f emp
        WHERE  emp.person_id = po_header.agent_id
               AND ( ( emp.effective_end_date IS NULL )
                      OR ( emp.effective_end_date =(SELECT Max(c.effective_end_date)
                                                    FROM   per_all_people_f c
                                                    WHERE  emp.person_id = c.person_id)
			            )
			      )) 	                                                    po_buyer_name,
	   ap_supplier.vendor_name                                              po_supplier_name,
     po_header.vendor_id                                          po_supplier_id,
	   (select apst.vendor_site_code
        from ap_supplier_sites_all apst
		where apst.vendor_site_id = po_header.vendor_site_id) 	            po_supplier_site,
       (select pvc.first_name||' '|| pvc.last_name
        from po_vendor_contacts pvc
        where pvc.vendor_contact_id = po_header.vendor_contact_id
			 AND pvc.vendor_site_id = po_header.vendor_site_id) 	        po_supplier_contact,
	   po_header.currency_code                                              PO_CURRENCY,
	   (CASE
		WHEN po_header.closed_code ='FINALLY CLOSED' THEN po_pcc_orders_util_pvt.get_fnd_message('PO_STATUS_FINALLY_CLOSED','201',houtl.language)
		WHEN po_header.closed_code = 'CLOSED' THEN po_pcc_orders_util_pvt.get_fnd_message('PO_STATUS_CLOSED','201',houtl.language)
		WHEN po_header.cancel_flag = 'Y' THEN po_pcc_orders_util_pvt.get_fnd_message('PO_STATUS_CANCELED','201',houtl.language)
		WHEN po_header.authorization_status IN ('REJECTED') THEN
		(SELECT flv.meaning
		  FROM fnd_lookup_values flv
		  WHERE flv.lookup_type  = 'AUTHORIZATION STATUS'
		  AND flv.LOOKUP_CODE = 'REJECTED'
      AND flv.language= houtl.language )
		WHEN NVL(po_header.authorization_status,'INCOMPLETE') IN ('INCOMPLETE') THEN
		(SELECT flv.meaning
		  FROM fnd_lookup_values flv
		  WHERE flv.lookup_type  = 'AUTHORIZATION STATUS'
		  AND flv.LOOKUP_CODE = 'INCOMPLETE'
      AND flv.language= houtl.language )
		WHEN PO_ACKNOWLEDGE_PO_PVT.get_header_ack_change_status(po_header.po_header_id,null,po_header.revision_num) LIKE 'SIG_REQUIRED'
			  THEN po_pcc_orders_util_pvt.get_fnd_message('PO_PCC_REQ_SIGN','201',houtl.language)
		WHEN PO_ACKNOWLEDGE_PO_PVT.get_header_ack_change_status(po_header.po_header_id,null,po_header.revision_num) LIKE 'ACK_REQUIRED'
			  THEN po_pcc_orders_util_pvt.get_fnd_message('PO_PCC_SUPP_ACK','201',houtl.language)
		/* WHEN EXISTS (SELECT 1
					  FROM po_distributions_all pda
					  WHERE pda.po_header_id = po_header.po_header_id
					  AND failed_funds_lookup_code like 'F%')
			  THEN po_pcc_orders_util_pvt.get_fnd_message('PO_PCC_PEND_FUNDS','201',houtl.language) */
		WHEN po_header.authorization_status IN ('PRE-APPROVED') THEN
		(SELECT flv.meaning
		  FROM fnd_lookup_values flv
		  WHERE flv.lookup_type  = 'AUTHORIZATION STATUS'
		  AND flv.LOOKUP_CODE = 'PRE-APPROVED'
      AND flv.language= houtl.language)
		WHEN po_header.authorization_status IN ('IN PROCESS') THEN
		(SELECT flv.meaning
		  FROM fnd_lookup_values flv
		  WHERE flv.lookup_type  = 'AUTHORIZATION STATUS'
		  AND flv.LOOKUP_CODE = 'IN PROCESS'
      AND flv.language= houtl.language)
		WHEN po_header.user_hold_flag = 'Y'
      THEN po_pcc_orders_util_pvt.get_fnd_message('PO_STATUS_ON_HOLD','201',houtl.language)
		WHEN EXISTS (SELECT 1
					  FROM po_change_requests
					  WHERE document_header_id = po_header.po_header_id
					  and request_status = 'PENDING')
      THEN po_pcc_orders_util_pvt.get_fnd_message('PO_PCC_PEND_CHG_REQ','201',houtl.language)
		WHEN po_header.authorization_status = 'APPROVED' and  EXISTS ( SELECT 1 FROM
					  po_line_locations_all plla
					  WHERE plla.need_by_date IS NOT NULL
					  and plla.po_header_id = po_header.po_header_id
					  AND nvl(plla.promised_date, plla.need_by_date) &lt; SYSDATE and plla.po_header_id = po_header.po_header_id
					  AND (NVL((plla.quantity-plla.quantity_cancelled), 0) - NVL(plla.QUANTITY_RECEIVED, 0)) &gt; 0)
			THEN	po_pcc_orders_util_pvt.get_fnd_message('PO_PCC_HAS_OVERDUE_SHIP','201',houtl.language)
		WHEN EXISTS ( SELECT 1 FROM
					  po_line_locations_all plla
					  WHERE plla.po_header_id = po_header.po_header_id
					  AND plla.quantity_rejected &gt; 0)
			THEN po_pcc_orders_util_pvt.get_fnd_message('PO_PCC_HAS_REJECTIONS','201',houtl.language)
		WHEN po_header.authorization_status = 'APPROVED' and exists  (SELECT 1
					  FROM  po_lines_all pla,
							po_lines_all agrla ,
							po_line_locations_all plla,
							po_attribute_values pav
					  WHERE plla.po_line_id = pla.po_line_id
							and pla.from_line_id = agrla.po_line_id(+)
							and agrla.po_line_id = pav.po_line_id(+)
							AND plla.po_header_id = po_header.po_header_id
							and  NVL(plla.PROMISED_DATE,plla.need_by_date)-sysdate &lt; pav.lead_time)
			THEN po_pcc_orders_util_pvt.get_fnd_message('PO_PCC_DELAY_ANTICIPATE','201',houtl.language)
		WHEN po_header.FROZEN_FLAG= 'Y' THEN po_pcc_orders_util_pvt.get_fnd_message('PO_STATUS_FROZEN','201',houtl.language)
		/*WHEN exists (select 1 from po_buyer_actions WHERE Trunc(Nvl(completion_date,SYSDATE ))- Trunc(TARGET_DATE)&gt; 0
					 and status  &lt;&gt; 'CLOSED'  and entity_type = 'PO_HEADER' and entity_id = po_header.po_header_id)
			THEN 'Overdue Notes Exist' */
		ELSE
		  (SELECT flv.meaning
		  FROM fnd_lookup_values flv
		  WHERE lookup_type  = 'AUTHORIZATION STATUS'
		  AND LOOKUP_CODE = po_header.authorization_status
      AND flv.language= houtl.language)
		END )                                                               po_sub_status,
	   po_header.creation_date                                              po_creation_date,
       po_header.approved_date 	                                            po_approved_date,
       po_header.submit_date 	                                            po_submit_date,
	    houtl.name                                                        po_ou_name,
	   (CASE WHEN EXISTS(SELECT 1
                  FROM   po_change_requests
                  WHERE  document_header_id = po_header.po_header_id
                  AND    request_status = 'PENDING')
      THEN 'Yes'
      ELSE 'No'
      END)                                                              po_open_change_requests,
	   (SELECT apt.name
	    FROM ap_terms apt
		WHERE apt.term_id = po_header.terms_id)                             po_payment_terms,
houtl.language,
gt.num6     po_ordered_amount,
gt.num7     po_received_amount,
gt.num8     po_invoiced_amount,
DECODE(po_header.type_lookup_code,'STANDARD',	(CASE
		WHEN NVL(po_header.authorization_status,'INCOMPLETE') IN ('REQUIRES REAPPROVAL')
			 OR EXISTS (SELECT 1
					  FROM po_change_requests
					  WHERE document_header_id = po_header.po_header_id
					  and request_status = 'PENDING')
		THEN  'Yes'
		ELSE 'No'
	END),null) orders_to_watch,
  po_header.comments po_description,
  DECODE (po_pcc_orders_util_pvt.is_fully_reserved('PO','HEADER',po_header.po_header_id),'Y',
	           (SELECT POLC.displayed_field
               FROM PO_LOOKUP_CODES POLC
               WHERE POLC.lookup_type = 'DOCUMENT STATE'
               AND POLC.lookup_code = 'RESERVED'),
			   (SELECT POLC.displayed_field
               FROM PO_LOOKUP_CODES POLC
               WHERE POLC.lookup_type = 'DOCUMENT STATE'
               AND POLC.lookup_code = 'NOT RESERVED')) po_reservation_status,
     (CASE
		WHEN (po_header.closed_code IN ('CLOSED','FINALLY CLOSED') OR  po_header.cancel_flag LIKE 'Y')
		THEN  po_pcc_orders_util_pvt.get_fnd_message ('PO_PCC_CLOSED_STATUS', '201',houtl.language)
		WHEN (Nvl(po_header.authorization_status,'INCOMPLETE') IN ('INCOMPLETE','REQUIRES REAPPROVAL', 'REJECTED'))
		THEN po_pcc_orders_util_pvt.get_fnd_message ('PO_PCC_DRAFT_STATUS', '201',houtl.language)
		WHEN (po_header.authorization_status IN ('IN PROCESS','PRE-APPROVED') OR
		     PO_ACKNOWLEDGE_PO_PVT.get_header_ack_change_status(po_header.po_header_id,null,po_header.revision_num)
			 in ('SIG_REQUIRED', 'ACK_REQUIRED') )
		THEN po_pcc_orders_util_pvt.get_fnd_message ('PO_PCC_INPROC_STATUS', '201',houtl.language)
		ELSE po_pcc_orders_util_pvt.get_fnd_message ('PO_PCC_OPEN_STATUS', '201',houtl.language)
	  END)  po_group_status,
CASE
    WHEN (po_header.currency_code IS NULL  OR gt.char2 = po_header.currency_code) THEN gt.num6
	ELSE nvl(po_header.rate,1)*gt.num6
END AS ordered_amount_func,
CASE
    WHEN (po_header.currency_code IS NULL  OR gt.char2 = po_header.currency_code) THEN gt.num7
	ELSE nvl(po_header.rate,1)*gt.num7
END AS received_amount_func,
CASE
    WHEN (po_header.currency_code IS NULL  OR gt.char2 = po_header.currency_code) THEN gt.num8
	ELSE nvl(po_header.rate,1)*gt.num8
END AS invoiced_amount_func,
po_pcc_orders_util_pvt.GET_TIME_IN_POOL(po_header.po_header_id)           AS  cycle_time,
gt.char3 DOC_AUTHORIZED_USER_IDS,
gt.char4 SECURITY_LEVEL_CODE,
po_header.org_id ORG_ID
FROM
po_headers_all po_header,
     po_doc_style_headers doc_style,
	 ap_suppliers  ap_supplier,
hr_all_organization_units_tl houtl,
po_session_gt gt, (select 'PO_ORD_H_ROW_ID','PO_ORD_H_CONTEXT','PO_ORD_H_CONCATENATED_SEGMENTS' from dual where 1=2  union select ROWIDTOCHAR(ROW_ID),CONTEXT,CONCATENATED_SEGMENTS from PO_HEADERS_ALL_DFV) DFV
WHERE
gt.KEY=3134043
AND    po_header.po_header_id=gt.num1
AND po_header.type_lookup_code   = 'STANDARD'
      and doc_style.style_id = po_header.style_id
	  and nvl(doc_style.clm_flag,'N') = 'N'
	  and nvl(doc_style.progress_payment_flag,'N') = 'N'
	  and po_header.vendor_id = ap_supplier.vendor_id (+)
AND houtl.organization_id (+) = po_header.org_id
AND houtl.language IN ('US')
AND po_header.rowid = dfv."'PO_ORD_H_ROW_ID'" (+))
 PIVOT (max(po_ou_name) as po_ou_name,
 max(po_status) as po_status,
 max(po_sub_status) as po_sub_status,
 max(po_reservation_status) as po_reservation_status,
 max(po_group_status) as po_group_status
 for LANGUAGE in ('US' "US"))</t>
  </si>
  <si>
    <t>select * from (
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'SUGGESTIONS'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review.review_id suggestion_id,
    review.reviewer_id suggester_id,
    (select full_name from per_all_people_f
      where person_id = review.reviewer_id
        and trunc(sysdate) BETWEEN effective_start_date
                               and effective_end_date) suggester_name,
    review.creation_date suggestion_date,
    review.review_title suggestion_title,
    REPLACE(review.review_comments,'|',',') suggestion_comments,
    nvl(review.status,'O') suggestion_status,
    (select meaning from fnd_lookup_values
      where lookup_type = 'ICX_REVIEW_STATUS_TYPE' and lookup_code = nvl(review.status,'O') AND language= houtl.language) suggestion_status_code,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suggestion_responses,
	(select count(action_id) from po_buyer_actions where entity_type = 'SUGGESTION' and entity_id = review.review_id and status &lt;&gt; 'CLOSED') open_suggestion_action_count,
    (select count(response_id) from icx_rvw_responses where review_id = review.review_id) suggestion_response_count,
	review.purchased_from suggestion_item_purchased_from,
    'No'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'No' has_review_responses,
    decode(
    (select count(action_id) from po_buyer_actions where entity_type = 'SUGGESTION' and entity_id = review.review_id and status &lt;&gt; 'CLOSED'),
    0, 'No', 'Yes') has_suggestion_action_flag,
    decode(
    (select count(response_id) from icx_rvw_responses where review_id = review.review_id),
    0, 'No', 'Yes') has_suggestion_responses,
    --iExpense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fnd_lookup_values_vl
      where lookup_type = 'PO_BUYER_ACTION_STATUS' and lookup_code = pba.status)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PO_PCC_IND_PROC_UTIL_PVT.get_cost_center_for_employee(review.reviewer_id) cost_center,
    review.org_id,
    --(select name from hr_all_organization_units_tl where organization_id = review.org_id and language = userenv('LANG')) org_name,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review.item_id inventory_item_id,
    (select concatenated_segments
       from mtl_system_items_kfv
      where review.item_id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review.vendor_id supplier_id,
    (select VENDOR_NAME from ap_suppliers aps where aps.VENDOR_ID = review.vendor_id) supplier,
    'N'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'NULL' DOC_AUTHORIZED_USER_IDS,
       'Manage Feedback' MANAGE_FEEDBACK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	   po_doc_style_headers doc_style
 where review.review_entity                                         = 'SG'
   and review.org_id                                                = fsp.org_id(+)
   and review.org_id                                                = ctxh.owning_org_id(+)
   --and ctxh.language                                                = houtl.LANGUAGE
   and review.po_line_id                                            = ctxh.po_line_id(+)
   and review.req_template_name                                     = ctxh.req_template_name(+)
   and review.req_template_line_num                                 = ctxh.req_template_line_num(+)
   and review.item_id                                               = ctxh.inventory_item_id(+)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pba.entity_type(+)                                           = 'SUGGESTION'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houtl.organization_id (+) = review.org_id
   AND doc_style.style_id(+) = apoh.style_id
   AND nvl(doc_style.clm_flag,'N') = 'N'
and houtl.language IN ('US')
--Load CutOff Condition
   and review.last_update_date &gt;= nvl(fnd_date.Canonical_to_date(fnd_profile.Value('PO_PSC_ITEM_SUPP_LOAD_CUT_OFF')),review.last_update_date)  AND (pba.last_update_date &gt; '23-APR-20'
                            OR ctxh.last_update_date &gt; '23-APR-20'
                            OR av.last_update_date &gt; '23-APR-20'
                            OR avtlp.last_update_date &gt;  '23-APR-20'
                            OR review.last_update_date &gt;  '23-APR-20'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 ,
        max(suggestion_status_code) AS suggestion_status_code,
        max(CAT_IP_CATEGORY_NAME) AS   CAT_IP_CATEGORY_NAME
        for LANGUAGE in ('US' "US"))</t>
  </si>
  <si>
    <t>select * from (select NULL
    || '-'
    || NULL
    || '-'
    || NULL
    || '-'
    || NULL
    || '-'
    || NULL
    || '-'
    || NULL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replace(PO_PCC_IND_PROC_UTIL_PVT.remove_stop_words(pla.item_description), ' ', UNISTR('|')) std_po_line_desc_for_tag,
    pla.from_header_id std_po_from_header_id,
    pla.from_line_id std_po_from_line_id,
    decode(nvl(pla.from_header_id, pla.contract_id), null, 'Yes', 'No') std_po_line_off_contract,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pla.unit_price std_po_loc_unit_price,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std_po_loc_amount,
    decode(nvl(pla.from_header_id, pla.contract_id), null,
       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    (select min(need_by_date) from po_line_locations_all where po_line_id = pla.po_line_id)  std_po_loc_need_by_date,
    pha.approved_date std_po_loc_approved_date,
    gl_currency_api.Convert_amount_sql( pha.currency_code,
                              ( SELECT sob.currency_code
                                  FROM gl_sets_of_books sob
                                 WHERE  sob.set_of_books_id = fsp.set_of_books_id
                              ), pha.rate_date, pha.rate_type, decode(pla.matching_basis, 'AMOUNT', pla.amount
                            , pla.quantity * pla.unit_price)) spend_amount,
    decode(nvl(pla.from_header_id, pla.contract_id), null, 'Off-Contract', 'Contract') spend_type,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PO_PCC_IND_PROC_UTIL_PVT.get_cost_center_for_po(pla.po_line_id)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PO_PCC_IND_PROC_UTIL_PVT.get_doc_authorized_userIds('POPA', pha.TYPE_LOOKUP_CODE, pha.AUTHORIZATION_STATUS,
	pha.org_id, pha.AGENT_ID, pha.PO_HEADER_ID)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houtl.language
                 AND lkp.lookup_code = apoh.document_creation_method)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houtl.language,
       extract(YEAR from pha.approved_date) spend_year
  from po_buyer_actions pba,
       po_lines_all pla,
       po_headers_all pha,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
 where (
             ( pba.entity_type                                      = 'PO_HEADER'
           and pba.entity_id                                        = pla.po_header_id
             )
    or       ( pba.entity_type                                      = 'PO_LINE'
           and pba.entity_id                                        = pla.po_line_id
             )
       )
   and pha.po_header_id                                             = pla.po_header_id
   and pha.type_lookup_code                                         = 'STANDARD'
   and pla.org_id                                                   = fsp.org_id(+)
   and pla.from_header_id                                           = ctxh.po_header_id(+)
   and pla.from_line_id                                             = ctxh.po_line_id(+)
   and pla.org_id                                                   = ctxh.org_id(+)
   and ctxh.req_template_name(+)                                    = '-2'
   and ctxh.req_template_line_num(+)                                = -2
   and ctxh.language                                            = houtl.LANGUAGE(+)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 and pla.from_header_id                                           = apol.po_header_id(+)
   and pla.from_line_id                                             = apol.po_line_id(+)
   and apol.po_header_id                                            = apoh.po_header_id(+)
   and (ctxh.po_header_id is null
         or 'Y' = (SELECT global_agreement_flag FROM po_headers_all WHERE po_header_id = ctxh.po_header_id))
   and  houtl.organization_id (+) = ctxh.owning_org_id
   AND doc_style.style_id(+) = pha.style_id
   AND nvl(doc_style.clm_flag,'N') = 'N'
   and houtl.language IN ('US')
--Load CutOff Condition
   and pha.last_update_date &gt;= nvl(fnd_date.Canonical_to_date(fnd_profile.Value('PO_PSC_ITEM_SUPP_LOAD_CUT_OFF')),pha.last_update_date)  AND (pba.last_update_date &gt; '23-APR-20'
                            OR ctxh.last_update_date &gt; '23-APR-20'
                            OR av.last_update_date &gt; '23-APR-20'
                            OR avtlp.last_update_date &gt;  '23-APR-20'
            ))
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</si>
  <si>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NULL
    || '-'
    || pba.action_id
    || '-'
    || pba.entity_id
    || '-'
    || pba.entity_type
    || '-'
    || NULL
    || '-'
    || NULL
    || '-'
    || NULL
    || '-'
    || 'ACTION_ITEMS' ecc_spec_id,
    --catalog items
    ctxh.source_type cat_source_type,
    (select meaning from fnd_lookup_values
      where lookup_type = 'ICX_CAT_SOURCE_TYPE' and lookup_code = ctxh.source_type AND language= houtl.language) cat_source_type_code,
    DECODE(ctxh.source_type,'TEMPLATE',DECODE(least(LENGTH(ctxh.req_template_name) , 20),20,SUBSTR(ctxh.req_template_name,1,17)
        ||'...',ctxh.req_template_name),'INTERNAL_TEMPLATE',DECODE(least(LENGTH(ctxh.req_template_name) , 20),20,SUBSTR(ctxh.req_template_name,1,17)
        ||'...',ctxh.req_template_name),'QUOTATION',ICX_CAT_UTIL_PVT.get_message('ICX_CAT_QUOTATION_SOURCE','NUMBER',ctxh.document_number) ,
        'BLANKET',ICX_CAT_UTIL_PVT.get_message('ICX_CAT_BLANKET_SOURCE','NUMBER',ctxh.document_number),'GLOBAL_BLANKET',
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Least(pha.end_date, pla.expiration_date),
         Nvl(pha.end_date, pla.expiration_date)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pha.amount_limit agreement_amount_limit,
    NVL(pha.blanket_total_amount,0) agreed_agreement_amount,
    NVL(pla.committed_amount,0)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--action items
    pba.action_id,
    pba.entity_id action_entity_id,
    pba.entity_type action_entity_type,
	(select meaning from fnd_lookup_values
     where lookup_type = 'PO_BUYER_ACTION_ENTITY_TYPE' and lookup_code = pba.entity_type AND language= houtl.language) action_entity_type_code,
    pba.action_type,
    (select meaning
       from fnd_lookup_values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    AND language= houtl.language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ctxh.org_id,
    --(select name from hr_all_organization_units_tl where organization_id = ctxh.org_id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 houtl.language) line_type,
    pha.currency_code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  PO_PCC_IND_PROC_UTIL_PVT.get_doc_authorized_userIds('POPA', pha.TYPE_LOOKUP_CODE, pha.AUTHORIZATION_STATUS,
	pha.org_id, pha.AGENT_ID, pha.PO_HEADER_ID) DOC_AUTHORIZED_USER_IDS,
    NULL project_ids,
    'N' is_proj_ref_on_po,
	(SELECT lkp.meaning
          FROM   fnd_lookup_values lkp
          WHERE  lkp.lookup_type = 'PO_DOCUMENT_CREATION_METHOD'
                 AND lkp.LANGUAGE =  houtl.language
                 AND lkp.lookup_code = pha.document_creation_method) document_creation_method,
    (CASE
	 WHEN NVL(pha.authorization_status,'INCOMPLETE') IN ('INCOMPLETE','IN PROCESS','PRE-APPROVED')
		OR EXISTS (SELECT 1
				  FROM po_change_requests
				  WHERE document_header_id = pha.po_header_id
				  and request_status = 'PENDING')
		OR 	SYSDATE  &gt;= pha.end_date - 30
		OR PO_CORE_S.get_total(Decode(pha.type_lookup_code,'BLANKET','GA','GC'), pha.po_header_id) &gt;=
		   (pha.amount_limit * 0.9)
		OR pha.end_date &lt;= SYSDATE
		OR  PO_CORE_S.get_total(Decode(pha.type_lookup_code,'BLANKET','GA','GC'), pha.po_header_id) =
		    pha.amount_limit
		OR exists (select 1 from po_buyer_actions
	             WHERE Trunc(Nvl(completion_date,SYSDATE )) - Trunc(TARGET_DATE)   &gt; 0
                 and status  &lt;&gt; 'CLOSED'  and entity_type = 'PA_HEADER' and entity_id =pha.po_header_id)
     THEN  'Y'
	 ELSE 'N'
    END )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null performance_date,
	   null ontime_delivery_rating,
       null quality_rating,
       null price_comp_rating ,
    houtl.language
  from po_buyer_actions pba,
       icx_cat_items_ctx_hdrs_tlp ctxh,
       icx_cat_attribute_values av,
       icx_cat_attribute_values_tlp avtlp,
       po_lines_all pla,
       po_headers_all pha,
       financials_system_params_all fsp,
       hr_all_organization_units_tl houtl,
	   po_doc_style_headers doc_style
 where (
             ( pba.entity_type                                      = 'PA_HEADER'
           and pba.entity_id                                        = pla.po_header_id
             )
    or       ( pba.entity_type                                      = 'PA_LINE'
           and pba.entity_id                                        = pla.po_line_id
             )
       )
   and 'Y'                                                          = pha.global_agreement_flag
   and pha.po_header_id                                             = pla.po_header_id
   and pla.org_id                                                   = fsp.org_id(+)
   and ctxh.po_line_id(+)                                           = pla.po_line_id
   and ctxh.po_header_id(+)                                         = pla.po_header_id
   and ctxh.org_id(+)                                               = pla.org_id
   and ctxh.language                                                = houtl.LANGUAGE(+)
   and ctxh.req_template_name(+)                                    = '-2'
   and ctxh.req_template_line_num(+)                                = -2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ctxh.language                                                = avtlp.language(+)
  AND houtl.organization_id (+) = ctxh.owning_org_id
   AND doc_style.style_id(+) = pha.style_id
   AND nvl(doc_style.clm_flag,'N') = 'N'
   and houtl.language IN ('US')
 --Load CutOff Condition
   and pha.last_update_date &gt;= nvl(fnd_date.Canonical_to_date(fnd_profile.Value('PO_PSC_ITEM_SUPP_LOAD_CUT_OFF')),pha.last_update_date)  AND (pba.last_update_date &gt; '23-APR-20'
                              OR ctxh.last_update_date &gt; '23-APR-20'
                              OR av.last_update_date &gt; '23-APR-20'
                              OR avtlp.last_update_date &gt;  '23-APR-20'
                              OR pla.last_update_date &gt; '23-APR-20'
                              OR pha.last_update_date &gt; '23-APR-20'
              ))
        PIVOT (max(org_name) as Org_name,
        max(cat_source_type_code) as cat_source_type_code,
        max(cat_uom_code) as cat_uom_code,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       for LANGUAGE in ('US' "US"))</t>
  </si>
  <si>
    <t>select * from (select ctxh.source_type
    || '-'
    || ctxh.org_id
    || '-'
    || ctxh.inventory_item_id
    || '-'
    || ctxh.po_line_id
    || '-'
    || ctxh.req_template_name
    || '-'
    || ctxh.req_template_line_num
    || '-'
    || NULL
    || '-'
    || NULL
    || '-'
    || NULL
    || '-'
    || NULL
    || '-'
    || pla.po_header_id
    || '-'
    || pla.po_line_id
    || '-'
    || plla.line_location_id
    || '-'
    || NULL
    || '-'
    || NULL
    || '-'
    || NULL
    || '-'
    || NULL
    || '-'
    || NULL
    || '-'
    || NULL
    || '-'
    || 'STANDARD_PO'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 houtl.language) cat_uom_code,
    ctxh.ip_category_id cat_ip_category_id,
    (SELECT ip_category_name FROM icx_cat_items_ctx_hdrs_tlp WHERE po_line_id = pla.from_line_id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(select VENDOR_NAME from ap_suppliers aps where aps.VENDOR_ID = pha.VENDOR_ID)  review_supplier,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apoh.amount_limit agreement_amount_limit,
    NVL(apoh.blanket_total_amount,0) agreed_agreement_amount,
    NVL(apol.committed_amount,0) agreed_line_amount,
    --suggestions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--iExpense
    --standard po
    pha.po_header_id std_po_header_id,
    pla.po_line_id std_po_line_id,
    pha.segment1 std_po_document_number,
    pla.line_num std_po_line_number,
    REPLACE(pla.item_description,'|',',') std_po_line_description,
	replace(psgt.char1, ' ', UNISTR('|')) std_po_line_desc_for_tag,
    pla.from_header_id std_po_from_header_id,
    pla.from_line_id std_po_from_line_id,
    decode(nvl(pla.from_header_id, pla.contract_id), null, 'Yes', 'No') std_po_line_off_contract,
    plla.line_location_id std_po_line_location_id,
    pha.agent_id std_po_buyer_id,
    (select full_name from per_all_people_f
                       where person_id = pha.agent_id
                         and trunc(sysdate) BETWEEN effective_start_date
                                                and effective_end_date)
    std_po_buyer_name,
    pla.quantity std_po_loc_quantity,
    plla.quantity_cancelled std_po_loc_quantity_cancelled,
    plla.unit_meas_lookup_code std_po_loc_uom,
    (select uom_code from mtl_units_of_measure_tl WHERE unit_of_measure = plla.unit_meas_lookup_code and language =  houtl.language) std_po_loc_uom_code,
    pla.unit_price std_po_loc_unit_price,
    psgt.num1 std_po_loc_amount,
    decode(nvl(pla.from_header_id, pla.contract_id), null,
           psgt.num1, 0) std_po_off_contract_loc_amount,
    decode(pla.from_header_id, null, 0,
           gl_currency_api.Convert_amount_sql( pha.currency_code,
                              ( SELECT sob.currency_code
                                  FROM gl_sets_of_books sob,
                                       financials_system_params_all fspa
                                 WHERE sob.set_of_books_id = fspa.set_of_books_id
                                   and fspa.org_id = apoh.org_id
                              ), pha.rate_date, pha.rate_type, decode(pla.matching_basis, 'AMOUNT', pla.amount
                            , pla.quantity * pla.unit_price))) amount_from_source_doc,
	(select min(need_by_date) from po_line_locations_all where po_line_id = pla.po_line_id)  std_po_loc_need_by_date,
    plla.ship_to_location_id std_po_ship_location_id,
    (select loc_tl.location_code
       from hr_locations_all_tl loc_tl
      where plla.ship_to_location_id = loc_tl.location_id
        and loc_tl.language =  houtl.language
    ) std_po_ship_location,
	plla.quantity_received  std_po_loc_received_quantity,
	plla.quantity_rejected  std_po_loc_rejected_quantity,
    pha.approved_date std_po_loc_approved_date,
     psgt.num1 spend_amount,
    decode(nvl(pla.from_header_id, pla.contract_id), null, 'Off-Contract', 'Contract') spend_type,
    --action items
    --common
    pha.approved_date spend_date,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pha.agent_id
          and paf.primary_flag = 'Y'
          and rownum = 1
    ) employee_group,
    psgt.char2 cost_center,
    pla.org_id,
    --(select name from hr_all_organization_units_tl where organization_id = pla.org_id and language = userenv('LANG')) org_name,
    houtl.name org_name,
    (select currency_code from gl_sets_of_books where fsp.set_of_books_id = set_of_books_id) functional_currency,
    pha.rate,
    pha.rate_type,
    pha.rate_date,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pla.item_id inventory_item_id,
    (select concatenated_segments
       from mtl_system_items_kfv
      where pla.item_id = inventory_item_id and fsp.inventory_organization_id = organization_id) item_number,
    pla.category_id po_category_id,
    (select concatenated_segments from mtl_categories_kfv where pla.category_id = category_id) purchasing_category,
    pla.line_type_id,
    (SELECT line_type FROM po_line_types_tl where line_type_id = pla.line_type_id and language =  houtl.language) line_type,
    pha.currency_code transaction_currency,
	pha.VENDOR_ID supplier_id,
    pha.VENDOR_SITE_ID supplier_site_id,
    (select VENDOR_NAME from ap_suppliers aps where aps.VENDOR_ID = pha.VENDOR_ID) supplier,
    (select vendor_site_code FROM AP_SUPPLIER_SITES_ALL where pha.VENDOR_SITE_ID = vendor_site_id) supplier_site,
    psgt.char3 DOC_AUTHORIZED_USER_IDS,
    (SELECT listagg(pda1.project_id,UNISTR('|')) within GROUP(ORDER BY pda1.CREATION_DATE) FROM po_distributions_all pda1 WHERE pda1.po_header_id = pha.po_header_id) project_ids,
    (SELECT Decode(Count(DISTINCT pda2.project_id), 0, 'N', 'Y') FROM po_distributions_all pda2 WHERE pda2.po_header_id = pha.po_header_id) is_proj_ref_on_po,
	(SELECT lkp.meaning
          FROM   fnd_lookup_values lkp
          WHERE  lkp.lookup_type = 'PO_DOCUMENT_CREATION_METHOD'
                 AND lkp.LANGUAGE =  houtl.language
                 AND lkp.lookup_code = pha.document_creation_method ) document_creation_method,
  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 THEN  'Y'
	 ELSE 'N'
    END )    agreements_to_watch,
  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  (SELECT MAX(poh.approved_date)
       FROM   po_headers_all poh,
              po_lines_all pol
       WHERE ctxh.po_line_id = pol.from_line_id
       AND poh.po_header_id    = pol.po_header_id
       and poh.type_lookup_code  = 'STANDARD'
      ) cat_last_used_on,
        houtl.language,
        extract(YEAR from pha.approved_date) spend_year
  from po_lines_all pla,
       po_headers_all pha,
       po_line_locations_all plla,
       icx_cat_items_ctx_hdrs_tlp ctxh,
       icx_cat_attribute_values av,
       icx_cat_attribute_values_tlp avtlp,
       po_headers_all apoh,
       po_lines_all apol,
       financials_system_params_all fsp,
       hr_all_organization_units_tl houtl,
	   po_doc_style_headers doc_style ,
     po_session_gt psgt
 where pha.po_header_id                                             = pla.po_header_id
   and pla.po_line_id                                               = plla.po_line_id(+)
   and pha.type_lookup_code                                         = 'STANDARD'
   and pla.from_header_id                                           = ctxh.po_header_id(+)
   and pla.from_line_id                                             = ctxh.po_line_id(+)
   and pla.org_id                                                   = fsp.org_id(+)
   and pla.org_id                                                   = ctxh.org_id(+)
   and ctxh.req_template_name(+)                                    = '-2'
   and ctxh.req_template_line_num(+)                                = -2
   and Nvl(ctxh.LANGUAGE,houtl.LANGUAGE)                            = houtl.LANGUAGE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pla.from_header_id                                           = apol.po_header_id(+)
   and pla.from_line_id                                             = apol.po_line_id(+)
   and apol.po_header_id                                            = apoh.po_header_id(+)
and houtl.language IN ('US')
and (ctxh.po_header_id is null
         or 'Y' = (SELECT global_agreement_flag FROM po_headers_all WHERE po_header_id = ctxh.po_header_id))
   AND houtl.organization_id (+) = pha.org_id
   AND doc_style.style_id(+) = pha.style_id
   AND nvl(doc_style.clm_flag,'N') = 'N'
   AND psgt.index_char1(+) = 'IND_PROC_PO_' || pla.po_header_id ||'_'||  pla.po_line_id
   --Load CutOff Condition
   and pha.last_update_date &gt;= nvl(fnd_date.Canonical_to_date(fnd_profile.Value('PO_PSC_ITEM_SUPP_LOAD_CUT_OFF')),pha.last_update_date)  AND ( ctxh.last_update_date &gt; '23-APR-20'
                        OR av.last_update_date &gt; '23-APR-20'
                        OR avtlp.last_update_date &gt;  '23-APR-20'
                        OR plla.last_update_date &gt; '23-APR-20'
                        OR pla.last_update_date &gt;  '23-APR-20'
                        OR pha.last_update_date &gt;  '23-APR-20'
         ) )
   PIVOT (max(org_name) as Org_name,
        max(cat_source_type_code) as cat_source_type_code,
        max(cat_uom_code) as cat_uom_code,
        max(line_type) as line_type,
        max(cat_manufacturer) AS cat_manufacturer ,
        max(cat_item_description) AS cat_item_description,
        max(cat_long_description) AS cat_long_description,
        max(std_po_loc_uom_code) AS std_po_loc_uom_code,
        max(document_creation_method) AS document_creation_method,
        max(CAT_IP_CATEGORY_NAME) AS   CAT_IP_CATEGORY_NAME,
        max(STD_PO_SHIP_LOCATION) AS   STD_PO_SHIP_LOCATION
        for LANGUAGE in ('US' "US"))</t>
  </si>
  <si>
    <t>select * from (select NULL
       || '-'
       || NULL
       || '-'
       || NULL
       || '-'
       || NULL
       || '-'
       || NULL
       || '-'
       || NULL
       || '-'
       || NULL
       || '-'
       || ai.invoice_id
       || '-'
       || ail.line_number
       || '-'
       || ai.source
       || '-'
       || NULL
       || '-'
       || NULL
       || '-'
       || NULL
       || '-'
       || pba.action_id
       || '-'
       || pba.entity_id
       || '-'
       || pba.entity_type
       || '-'
       || NULL
       || '-'
       || NULL
       || '-'
       || NULL
       || '-'
       || 'iEXPENSE' ecc_spec_id,
       --catalog items
       --iExpense
       ai.invoice_id,
       ai.invoice_num invoice_number,
       ai.invoice_amount,
       ail.line_number invoice_line_number,
       ai.source invoice_source,
       ail.description invoice_description,
       ail.justification invoice_justification,
	     replace(PO_PCC_IND_PROC_UTIL_PVT.remove_stop_words(ail.justification) ,' ',UNISTR('|')) inv_just_split_words_tag,
       nvl(ail.base_amount, ail.amount) invoice_line_amount,
       ail.creation_date invoice_date,
       ail.merchant_name invoice_merchant_name,
       --standard po
       nvl(ail.base_amount, ail.amount) AS spend_amount,
       'iExpense' AS spend_type,
       --action items
       pba.action_id,
       pba.entity_id action_entity_id,
       pba.entity_type action_entity_type,
	   (select meaning from fnd_lookup_values
        where lookup_type = 'PO_BUYER_ACTION_ENTITY_TYPE' and lookup_code = pba.entity_type AND language= houtl.language) action_entity_type_code,
       pba.action_type,
       (select meaning
          from fnd_lookup_values_vl
         where lookup_type = decode(pba.entity_type, 'REVIEW',     'PO_BUYER_REVIEW_ACTIONS',
		                                             'SUGGESTION', 'PO_BUYER_SUGGESTION_ACTIONS',
                                                     'REQ_LINE',   'PO_BUYER_REQ_LINE_ACTIONS',
                                                     'PO_HEADER',  'PO_BUYER_PO_HEADER_ACTIONS',
                                                     'PO_LINE',    'PO_BUYER_PO_LINE_ACTIONS',
                                                     'PA_HEADER',  'PO_BUYER_PA_HEADER_ACTIONS',
                                                     'PA_LINE',    'PO_BUYER_PA_LINE_ACTIONS',   null)
           and lookup_code = pba.action_type
       ) action_type_code,
       pba.description action_description,
       pba.assignee_per_id,
       (select full_name from per_all_people_f
         where person_id = pba.assignee_per_id
           and trunc(sysdate) BETWEEN effective_start_date
                                  and effective_end_date) action_assignee,
       pba.target_date action_due_date,
       pba.status action_status,
       (select meaning from fnd_lookup_values
         where lookup_type = 'PO_BUYER_ACTION_STATUS' and lookup_code = pba.status AND language= houtl.language) action_status_code,
       pba.comments action_comments,
	   (case
		   when Trunc(Nvl(pba.COMPLETION_DATE,SYSDATE )) - Trunc(pba.TARGET_DATE)   &gt; 0
				 and pba.STATUS  &lt;&gt; 'CLOSED'
		   then
			 Trunc(Nvl(pba.COMPLETION_DATE,SYSDATE )) - Trunc(pba.TARGET_DATE)
		   else null
	   end ) action_days_remaining,
       --common
       ail.creation_date spend_date,
       (
       select REPLACE (ppg.group_name,'|',',')
         from per_all_assignments_f paf, pay_people_groups ppg
        where paf.people_group_id = ppg.people_group_id
          and paf.primary_flag = 'Y'
          and trunc(sysdate) between trunc(effective_start_date)
                                 and trunc(effective_end_date)
          and person_id = decode(ai.invoice_type_lookup_code, 'EXPENSE REPORT', (select employee_id from ap_suppliers where vendor_id = ai.vendor_id),
                                                              'PAYMENT REQUEST', ai.paid_on_behalf_employee_id, null)
          and rownum = 1
       ) employee_group,
       PO_PCC_IND_PROC_UTIL_PVT.get_cost_center_for_expense(ail.invoice_id, ail.line_number) cost_center,
       ail.org_id,
       --(select name from hr_all_organization_units_tl where organization_id = ail.org_id and language = userenv('LANG')) org_name,
       houtl.name org_name,
       (select currency_code from gl_sets_of_books where ail.set_of_books_id = set_of_books_id) functional_currency,
       ai.exchange_rate rate,
       ai.exchange_rate_type rate_type,
       ai.exchange_date rate_date,
       ai.invoice_currency_code transaction_currency,
       'N' is_proj_ref_on_po,
    houtl.language,
    extract(YEAR from ail.creation_date) spend_year,
    'NULL' DOC_AUTHORIZED_USER_IDS
  from ap_invoices_all ai,
       ap_invoice_lines_all ail,
       po_buyer_actions pba ,
       hr_all_organization_units_tl houtl
 where ai.source IN ('SelfService', 'XpenseXpress')
   and ai.invoice_id                                                = ail.invoice_id
   and pba.entity_type(+)                                           = 'EXPENSE'
   and pba.entity_id(+)                                             = ai.invoice_id
   AND houtl.organization_id (+) = ail.org_id
   and houtl.language IN ('US')
   --Load CutOff Condition
   and ail.last_update_date &gt;= nvl(fnd_date.Canonical_to_date(fnd_profile.Value('PO_PSC_ITEM_SUPP_LOAD_CUT_OFF')),ail.last_update_date) AND (pba.last_update_date &gt; '23-APR-20'
                            OR ai.last_update_date &gt; '23-APR-20'
                            OR ail.last_update_date &gt; '23-APR-20'
            ) )
   PIVOT (max(org_name) as Org_name,
        max(action_entity_type_code) as action_entity_type_code,
        max(action_type_code) as action_type_code,
        max(action_status_code) as action_status_code
 for LANGUAGE in ('US' "US"))</t>
  </si>
  <si>
    <t xml:space="preserve">select * from (select ctxh.source_type
    || '-'
    || ctxh.org_id
    || '-'
    || ctxh.inventory_item_id
    || '-'
    || ctxh.po_line_id
    || '-'
    || ctxh.req_template_name
    || '-'
    || ctxh.req_template_line_num
    || '-'
    || review.review_id
    || '-'
    || NULL
    || '-'
    || NULL
    || '-'
    || NULL
    || '-'
    || NULL
    || '-'
    || NULL
    || '-'
    || NULL
    || '-'
    || pba.action_id
    || '-'
    || pba.entity_id
    || '-'
    || pba.entity_type
    || '-'
    || NULL
    || '-'
    || NULL
    || '-'
    || NULL
    || '-'
    || 'CATALOG_ITEMS' ecc_spec_id,
    --catalog items
    ctxh.source_type cat_source_type,
    (select meaning from fnd_lookup_values
      where lookup_type = 'ICX_CAT_SOURCE_TYPE' and lookup_code = ctxh.source_type and language = houtl.language) cat_source_type_code,
    DECODE(ctxh.source_type,'TEMPLATE',DECODE(least(LENGTH(ctxh.req_template_name) , 20),20,SUBSTR(ctxh.req_template_name,1,17)
          ||'...',ctxh.req_template_name),'INTERNAL_TEMPLATE',DECODE(least(LENGTH(ctxh.req_template_name) , 20),20,SUBSTR(ctxh.req_template_name,1,17)
          ||'...',ctxh.req_template_name),'QUOTATION',ICX_CAT_UTIL_PVT.get_message('ICX_CAT_QUOTATION_SOURCE','NUMBER',ctxh.document_number) ,
          'BLANKET',ICX_CAT_UTIL_PVT.get_message('ICX_CAT_BLANKET_SOURCE','NUMBER',ctxh.document_number),'GLOBAL_BLANKET',
          ICX_CAT_UTIL_PVT.get_message('ICX_CAT_BLANKET_SOURCE','NUMBER',ctxh.document_number), NULL) cat_source,
    nvl(avtlp.description, ctxh.description) cat_item_description,
    avtlp.long_description cat_long_description,
    ctxh.po_header_id cat_po_header_id,
    DECODE(ctxh.merged_source_type, 'REQ_TEMPLATE', NVL(ctxh.req_template_po_line_id, -2), ctxh.po_line_id) cat_po_line_id,
    Nvl( Least(apoh.end_date, apol.expiration_date),
         Nvl(apoh.end_date, apol.expiration_date)
    )cat_end_date,
    ctxh.document_number cat_document_number,
    ctxh.line_num cat_line_number,
    ctxh.req_template_name cat_req_template_name,
    ctxh.req_template_line_num cat_req_template_line_num,
    ctxh.unit_meas_lookup_code cat_uom,
    (select uom_code from mtl_units_of_measure_tl WHERE unit_of_measure = ctxh.unit_meas_lookup_code and language = houtl.language) cat_uom_code,
    ctxh.ip_category_id cat_ip_category_id,
    (SELECT ip_category_name FROM icx_cat_items_ctx_hdrs_tlp WHERE po_line_id = apol.from_line_id AND org_id = houtl.organization_id AND LANGUAGE = houtl.LANGUAGE) cat_ip_category_name,
    ctxh.unit_price cat_unit_price,
    ctxh.currency_code cat_currency,
    DECODE(ctxh.supplier_part_num, '##NULL##', TO_CHAR(NULL), ctxh.supplier_part_num) cat_supplier_part_num,
    DECODE(ctxh.supplier_part_auxid, '##NULL##', TO_CHAR(NULL), ctxh.supplier_part_auxid) cat_supplier_part_auxid,
    avtlp.manufacturer cat_manufacturer,
    av.manufacturer_part_num cat_manufacturer_part_num,
    ctxh.buyer_id cat_buyer_id,
    (select full_name from per_all_people_f
      where person_id = ctxh.buyer_id
        and trunc(sysdate) BETWEEN effective_start_date
                               and effective_end_date) cat_buyer_name,
    av.lead_time cat_lead_time,
    av.unspsc cat_unspsc,
    ctxh.hazard_class cat_hazard_class,
    review.review_id,
    review.reviewer_id,
    (select full_name from per_all_people_f
      where person_id = review.reviewer_id
        and trunc(sysdate) BETWEEN effective_start_date
                               and effective_end_date) reviewer_name,
    review.creation_date review_date,
    review.review_title,
    REPLACE(review.review_comments,'|',',') review_comments,
    review.rating review_rating,
    decode(review.review_entity, 'I', rating, null) review_item_rating,
    decode(review.review_entity, 'S', rating, null) review_supplier_rating,
    review.review_entity,
    (select meaning from fnd_lookup_values
      where lookup_type = 'ICX_REVIEW_ENTITY_TYPE' and lookup_code = review.review_entity AND language= houtl.language) review_for,
    (select VENDOR_NAME from ap_suppliers aps where aps.VENDOR_ID = review.vendor_id) review_supplier,
	review.vendor_id review_supplier_id,
    nvl(review.status,'O') review_status,
    (select meaning from fnd_lookup_values
      where lookup_type = 'ICX_REVIEW_STATUS_TYPE' and lookup_code = nvl(review.status,'O')
        AND language= houtl.language AND view_application_id = 3) review_status_code,
    review.purchased_from review_item_purchased_from,
	(select meaning from fnd_lookup_values
      where lookup_type = 'PO_REVIEW_PURCHASED_FROM_TYPES' and lookup_code = review.purchased_from AND language= houtl.language) review_purchased_from_code,
    (
      select listagg((select full_name from per_all_people_f
                       where person_id = resp.responder_id
                         and trunc(sysdate) BETWEEN effective_start_date
                                                and effective_end_date)
             || ' : '
             || response_text, ';')
             within group (order by review_id)
        from icx_rvw_responses resp
       where resp.review_id = review.review_id
        GROUP BY review_id
    ) review_responses,
	(select count(usefull_flag) from icx_review_usefull_dtls where review_id = review.review_id and usefull_flag = 'Y') review_useful_count,
	REPLACE (psgt.char1,' ',UNISTR('|')) review_keywords,
	NVL(
        (SELECT 'Yes'
		   FROM icx_rvw_reviews
		  WHERE review_id    = review.review_id
			AND review_entity IN ('I', 'S')
			AND rating         &lt; 3
        ), 'No') open_poor_rating,
    (select count(action_id) from po_buyer_actions where entity_type = 'REVIEW' and entity_id = review.review_id and status &lt;&gt; 'CLOSED') open_review_action_count,
    (select count(action_id) from po_buyer_actions where entity_type = 'PA_HEADER' and entity_id = ctxh.po_header_id and status &lt;&gt; 'CLOSED') open_bpa_header_action_count,
    (select count(action_id) from po_buyer_actions where entity_type = 'PA_LINE' and entity_id = ctxh.po_line_id and status &lt;&gt; 'CLOSED') open_bpa_line_action_count,
    (select count(response_id) from icx_rvw_responses where review_id = review.review_id) review_response_count,
    (select count(usefull_flag) from icx_review_usefull_dtls where review_id = review.review_id and usefull_flag = 'Y')
    || '/'
    ||
    (select count(usefull_flag) from icx_review_usefull_dtls where review_id = review.review_id and usefull_flag = 'N') usefull_useless,
    apoh.amount_limit agreement_amount_limit,
    NVL(apoh.blanket_total_amount,0) agreed_agreement_amount,
    NVL(apol.committed_amount,0) agreed_line_amount,
    extract(YEAR from review.creation_date) review_year,
    --suggestions
    decode(
    (select count(action_id) from po_buyer_actions where entity_type = 'REVIEW' and entity_id = review.review_id and status &lt;&gt; 'CLOSED'),
    0, 'No', 'Yes') has_review_action_flag,
    decode(
    (select count(action_id) from po_buyer_actions where entity_type = 'PA_HEADER' and entity_id = ctxh.po_header_id and status &lt;&gt; 'CLOSED') ,
    0, 'No', 'Yes') has_bpa_header_action_flag,
    decode(
    (select count(action_id) from po_buyer_actions where entity_type = 'PA_LINE' and entity_id = ctxh.po_line_id and status &lt;&gt; 'CLOSED'),
    0, 'No', 'Yes') has_bpa_line_action_flag,
    decode(
    (select count(response_id) from icx_rvw_responses where review_id = review.review_id),
    0, 'No', 'Yes') has_review_responses,
    --iExpense
    --standard po
    --action items
    pba.action_id,
    pba.entity_id action_entity_id,
    pba.entity_type action_entity_type,
	(select meaning from fnd_lookup_values
      where lookup_type = 'PO_BUYER_ACTION_ENTITY_TYPE' and lookup_code = pba.entity_type AND language= houtl.language) action_entity_type_code,
    pba.action_type,
    (select meaning
       from fnd_lookup_values_vl
      where lookup_type = decode(pba.entity_type, 'REVIEW',     'PO_BUYER_REVIEW_ACTIONS',
	                                              'SUGGESTION', 'PO_BUYER_SUGGESTION_ACTIONS',
                                                  'REQ_LINE',   'PO_BUYER_REQ_LINE_ACTIONS',
                                                  'PO_HEADER',  'PO_BUYER_PO_HEADER_ACTIONS',
                                                  'PO_LINE',    'PO_BUYER_PO_LINE_ACTIONS',
                                                  'PA_HEADER',  'PO_BUYER_PA_HEADER_ACTIONS',
                                                  'PA_LINE',    'PO_BUYER_PA_LINE_ACTIONS',   null)
        and lookup_code = pba.action_type
    ) action_type_code,
    pba.description action_description,
    pba.assignee_per_id,
    (select full_name from per_all_people_f
      where person_id = pba.assignee_per_id
        and trunc(sysdate) BETWEEN effective_start_date
                               and effective_end_date) action_assignee,
    pba.target_date action_due_date,
    pba.status action_status,
    (select meaning from fnd_lookup_values
      where lookup_type = 'PO_BUYER_ACTION_STATUS' and lookup_code = pba.status AND language= houtl.language) action_status_code,
    pba.comments action_comments,
	(case
	   when Trunc(Nvl(pba.COMPLETION_DATE,SYSDATE )) - Trunc(pba.TARGET_DATE)   &gt; 0
	         and pba.STATUS  &lt;&gt; 'CLOSED'
	   then
	     Trunc(Nvl(pba.COMPLETION_DATE,SYSDATE )) - Trunc(pba.TARGET_DATE)
	   else null
	end ) action_days_remaining,
    --common
    (
       select REPLACE (ppg.group_name,'|',',')
         from per_all_assignments_f paf, pay_people_groups ppg
        where paf.people_group_id = ppg.people_group_id
          and trunc(sysdate) between trunc(effective_start_date)
                                 and trunc(effective_end_date)
          and paf.person_id = review.reviewer_id
          and paf.primary_flag = 'Y'
          and rownum = 1
    ) employee_group,
    psgt.char2 cost_center,
    ctxh.org_id,
    houtl.name org_name,
    (select currency_code from gl_sets_of_books where fsp.set_of_books_id = set_of_books_id) functional_currency,
    ctxh.rate,
    ctxh.rate_type,
    ctxh.rate_date,
    decode( ctxh.source_type, 'BLANKET',
                        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fnd_message.get_string('FND', 'No')),
                       'GLOBAL_BLANKET',nvl(
                          (select fnd_message.get_string('FND', 'Yes')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fnd_message.get_string('FND', 'No')),
          null) item_not_placed_on_po,
    ctxh.inventory_item_id inventory_item_id,
    (select concatenated_segments
       from mtl_system_items_kfv
      where ctxh.inventory_item_id = inventory_item_id and fsp.inventory_organization_id = organization_id) item_number,
    ctxh.po_category_id,
    (select concatenated_segments from mtl_categories_kfv where ctxh.po_category_id = category_id) purchasing_category,
    ctxh.line_type_id,
    (SELECT line_type FROM po_line_types_tl where line_type_id = ctxh.line_type_id and language = houtl.language) line_type,
    ctxh.currency_code transaction_currency,
	DECODE(ctxh.supplier_id, -2, to_number(NULL), ctxh.supplier_id) supplier_id,
    ctxh.supplier_site_id supplier_site_id,
    ctxh.supplier supplier,
    (select vendor_site_code FROM AP_SUPPLIER_SITES_ALL where ctxh.supplier_site_id = vendor_site_id) supplier_site,
  'N' is_proj_ref_on_po,
  (SELECT lkp.meaning
          FROM   fnd_lookup_values lkp
          WHERE  lkp.lookup_type = 'PO_DOCUMENT_CREATION_METHOD'
                 AND lkp.LANGUAGE = houtl.language
                 AND lkp.lookup_code = apoh.document_creation_method) document_creation_method,
  (CASE
	 WHEN NVL(apoh.authorization_status,'INCOMPLETE') IN ('INCOMPLETE','IN PROCESS','PRE-APPROVED')
		OR EXISTS (SELECT 1
				  FROM po_change_requests
				  WHERE document_header_id = apoh.po_header_id
				  and request_status = 'PENDING')
		OR 	SYSDATE  &gt;= apoh.end_date - 30
		OR PO_CORE_S.get_total(Decode(apoh.type_lookup_code,'BLANKET','GA','GC'), apoh.po_header_id) &gt;=
		   (apoh.amount_limit * 0.9)
		OR apoh.end_date &lt;= SYSDATE
		OR  PO_CORE_S.get_total(Decode(apoh.type_lookup_code,'BLANKET','GA','GC'), apoh.po_header_id) =
		    apoh.amount_limit
		OR exists (select 1 from po_buyer_actions
	             WHERE Trunc(Nvl(completion_date,SYSDATE )) - Trunc(TARGET_DATE)   &gt; 0
                 and status  &lt;&gt; 'CLOSED'  and entity_type = 'PA_HEADER' and entity_id =apoh.po_header_id)
    THEN  'Y'
	ELSE 'N'
   END ) agreements_to_watch,
  decode( ctxh.source_type, 'BLANKET',
                        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), 'N'),
                       'GLOBAL_BLANKET',nvl(
                          (select 'Y' from dual where(sysdate-180) &gt;
                                                    (SELECT MAX(poh.approved_date)
                                                    FROM
                                                      po_headers_all poh,
                                                      po_lines_all pol
                                                    WHERE ctxh.po_line_id = pol.from_line_id
                                                    AND poh.po_header_id    = pol.po_header_id
                                                    and poh.type_lookup_code  = 'STANDARD'
                                                    )
                           ), 'N'),
          null)  is_unused_cat_item,
    (SELECT MAX(poh.approved_date)
     FROM   po_headers_all poh,
            po_lines_all pol
     WHERE ctxh.po_line_id = pol.from_line_id
     AND poh.po_header_id    = pol.po_header_id
     and poh.type_lookup_code  = 'STANDARD'
    ) cat_last_used_on,
   psgt.date1 performance_date,
   psgt.num2 ontime_delivery_rating,
   psgt.num3 quality_rating,
   psgt.num4 price_comp_rating,
   houtl.LANGUAGE ,
    psgt.char3 DOC_AUTHORIZED_USER_IDS,
    psgt.num5 purchased_agreement_amount,
    psgt.num6 purchased_line_amount,
    'Update Catalog Item' UPDATE_CATALOG_ITEM,
    'Renegotiate Agreement' RENEGOTIATE_AGREEMENT,
    'Manage Review' MANAGE_REVIEW,
    'View Agreement' VIEW_AGREEMENT
  from icx_cat_items_ctx_hdrs_tlp ctxh,
       icx_rvw_reviews review,
       icx_cat_attribute_values av,
       icx_cat_attribute_values_tlp avtlp,
       po_buyer_actions pba,
       po_headers_all apoh,
       po_lines_all apol,
       financials_system_params_all fsp,
       hr_all_organization_units_tl houtl,
    po_session_gt psgt
 where ctxh.owning_org_id                                           = fsp.org_id
   and ctxh.language                                                = houtl.LANGUAGE(+)
   and ctxh.owning_org_id                                           = review.org_id(+)
   and ctxh.po_line_id                                              = review.po_line_id(+)
   and ctxh.req_template_name                                       = review.req_template_name(+)
   and ctxh.req_template_line_num                                   = review.req_template_line_num(+)
   and ctxh.inventory_item_id                                       = review.item_id(+)
   and review.review_entity(+) &lt;&gt; 'Q'
   and ctxh.inventory_item_id                                       = av.inventory_item_id(+)
   and ctxh.owning_org_id                                           = av.org_id(+)
   and ctxh.po_line_id                                              = av.po_line_id(+)
   and ctxh.req_template_name                                       = av.req_template_name(+)
   and ctxh.req_template_line_num                                   = av.req_template_line_num(+)
   and ctxh.inventory_item_id                                       = avtlp.inventory_item_id(+)
   and ctxh.owning_org_id                                           = avtlp.org_id(+)
   and ctxh.po_line_id                                              = avtlp.po_line_id(+)
   and ctxh.req_template_name                                       = avtlp.req_template_name(+)
   and ctxh.req_template_line_num                                   = avtlp.req_template_line_num(+)
   and Nvl(avtlp.LANGUAGE,houtl.LANGUAGE)                           = houtl.LANGUAGE
   and pba.entity_type(+)                                           = 'REVIEW'
   and pba.entity_id(+)                                             = review.review_id
   and ctxh.po_header_id                                            = apol.po_header_id(+)
   and ctxh.po_line_id                                              = apol.po_line_id(+)
   and apol.po_header_id                                            = apoh.po_header_id(+)
   and houtl.language IN ('US')
and (ctxh.po_header_id is null
         or 'Y' = (SELECT global_agreement_flag FROM po_headers_all WHERE po_header_id = ctxh.po_header_id))
	AND houtl.organization_id (+) = ctxh.org_id
  AND psgt.index_char1(+) = 'IND_PROC_ITEMS_' || ctxh.po_header_id ||'_'||  ctxh.po_line_id
  AND (psgt.num7 = review.review_id OR psgt.num7 IS NULL)
   --Load CutOff Condition
   and ctxh.last_update_date &gt;= nvl(fnd_date.Canonical_to_date(fnd_profile.Value('PO_PSC_ITEM_SUPP_LOAD_CUT_OFF')),ctxh.last_update_date)  AND (pba.last_update_date &gt; '23-APR-20'
                        OR ctxh.last_update_date &gt; '23-APR-20'
                        OR av.last_update_date &gt; '23-APR-20'
                        OR avtlp.last_update_date &gt;  '23-APR-20'
                        OR review.last_update_date &gt; '23-APR-20'
         ))
   PIVOT (max(org_name) as Org_name,
        max(cat_source_type_code) as cat_source_type_code,
        max(cat_uom_code) as cat_uom_code,
        max(review_for) as review_for,
        max(review_status_code) as review_status_code,
        max(review_purchased_from_code) as review_purchased_from_code,
        max(action_entity_type_code) as action_entity_type_code,
        max(action_type_code) as action_type_code,
        max(action_status_code) as action_status_code,
        max(line_type) as line_type,
        max(cat_manufacturer) AS cat_manufacturer ,
        max(cat_item_description) AS cat_item_description,
        max(cat_long_description) AS cat_long_description,
        max(document_creation_method) AS document_creation_method,
        max(CAT_IP_CATEGORY_NAME) AS   CAT_IP_CATEGORY_NAME
 for LANGUAGE in ('US' "US")) </t>
  </si>
  <si>
    <t>SELECT
          req_header.requisition_header_id || '-' || req_line.requisition_line_id || '-' || req_dist.distribution_Id AS ecc_spec_id
          FROM
          po_requisition_headers_all req_header,
          po_requisition_lines_all req_line,
          po_req_distributions_all req_dist
          WHERE
          req_header.requisition_header_id = req_line.requisition_header_id
          and (nvl(req_header.closed_code,'NO') = 'FINALLY CLOSED'
          or NVL(req_header.cancel_flag, 'N') = 'Y'
          or nvl(req_line.cancel_flag,'N') = 'Y'
          or Nvl(req_line.modified_by_agent_flag,'N') = 'Y'
          or Nvl(req_line.closed_code,'NO') IN ('CLOSED','FINALLY CLOSED')
          or  (nvl(req_header.AUTHORIZATION_STATUS,'NO') = 'RETURNED'
                  AND req_line.line_location_id IS NULL AND
                  nvl(req_line.reqs_in_pool_flag,'N')='N')
	  )
          AND req_line.requisition_line_id = req_dist.requisition_line_id(+)
          and req_header.last_update_date &gt; to_date(to_char(to_timestamp('23-APR-20'),'DD-MON-YY HH24.MI.SS'),'DD-MON-YY HH24.MI.SS')</t>
  </si>
  <si>
    <t xml:space="preserve">select * from (
SELECT
req_header.requisition_header_id || '-' || req_line.requisition_line_id || '-' || req_dist.distribution_Id  AS ecc_spec_id,
DFV_H.*, DFV_L.*, DFV_D.*,
req_header.requisition_header_id requisition_header_id,
req_header.segment1 requisition,
req_header.description description,
CASE
  WHEN req_header.closed_code = 'CLOSED'
  THEN fnd_message.Get_string('PO', 'PO_STATUS_CLOSED')
  WHEN req_header.closed_code = 'FINALLY CLOSED'
  THEN fnd_message.Get_string('PO', 'PO_STATUS_FINALLY_CLOSED')
  WHEN NVL(req_header.cancel_flag, 'N') = 'Y'
  THEN fnd_message.Get_string('PO', 'PO_STATUS_CANCELED')
  ELSE status_lkup.meaning
END  status,
status_lkup.lookup_code requisition_status_code,
status_lkup.LANGUAGE status_language,
nvl((SELECT emp.full_name FROM per_all_people_f emp WHERE emp.person_id = req_line.suggested_buyer_id
AND ( ( emp.effective_end_date IS NULL )
OR ( emp.effective_end_date =
  (SELECT Max(c.effective_end_date)
  FROM   per_all_people_f c
  WHERE  emp.person_id = c.person_id
) ) )),po_pcc_agreements_util_pvt.get_fnd_message ('PO_PCC_BUYER_UNASSIGNED', '201',status_lkup.language)) buyer_name,
req_header.preparer_id,
( SELECT emp.full_name
  FROM   per_all_people_f emp
  WHERE  emp.person_id = req_header.preparer_id
  AND ( ( emp.effective_end_date IS NULL )
  OR ( emp.effective_end_date =
    (SELECT Max(c.effective_end_date)
    FROM   per_all_people_f c
    WHERE  emp.person_id = c.person_id
  ) ) )
  ) 	preparer	,
por_view_reqs_pkg.get_req_total(req_header.requisition_header_id) amount	,
(SELECT sob.currency_code
FROM gl_sets_of_books sob,financials_system_params_all fsp
WHERE sob.set_of_books_id = fsp.set_of_books_id
AND fsp.org_id = req_header.org_id)
AS currency , -- functional currency
(SELECT description
  FROM   fnd_lookup_values
  WHERE  lookup_type = 'REQUISITION TYPE'
  AND lookup_code = req_header.type_lookup_code
  AND LANGUAGE = status_lkup.LANGUAGE
) 	requisition_type	,
req_header.creation_date 	creation_date	,
req_header.approved_date 	approved_date	,
EXTRACT( YEAR FROM approved_date ) approved_date_year,
To_Char(approved_date,'Month') approved_date_month,
To_Char(NULL) approved_date_range,
(SELECT houtl.name
  FROM   hr_all_organization_units_tl houtl
  WHERE  houtl.organization_id (+) = req_header.org_id
  AND houtl.LANGUAGE = status_lkup.LANGUAGE
) 	operating_unit	,
  req_header.org_id org_id,
  req_line.requisition_line_id requisition_line_id,
req_line.item_id,
req_line.line_num 	line_number,
  mtl_sys_item.concatenated_segments item,
req_line.item_description item_description,
req_line.category_id,
req_mtl_cat.concatenated_segments category,
req_line.quantity quantity,
req_line.quantity - req_line.quantity_cancelled requested_quantity,
req_line.need_by_date need_by_date,
(req_line.need_by_date -
         nvl(((SELECT nvl(lead_time,0)
          FROM icx_cat_attribute_values
          WHERE po_line_id = (SELECT po_line_id
                              FROM po_lines_all
                              WHERE po_header_id = req_line.BLANKET_PO_HEADER_ID
                              AND line_num = req_line.BLANKET_PO_LINE_NUM
                              AND ROWNUM =1) )), 0)) order_by_date,
EXTRACT( YEAR FROM need_by_date ) need_by_date_year,
To_Char(need_by_date,'Month') need_by_date_month,
NVL(req_line.REQS_IN_POOL_FLAG,'N') reqs_in_pool_flag,
req_line.unit_meas_lookup_code uom_code,
req_line.unit_meas_lookup_code uom,
req_line.unit_price unit_price,
req_line.line_type_id,
(SELECT line_type
FROM po_line_types_tl
WHERE line_type_id = req_line.line_type_id
AND LANGUAGE = status_lkup.language)	line_type	,
req_line.matching_basis,
req_line.item_revision  item_revision	,
  DECODE(req_line.matching_basis,
        'AMOUNT', req_line.amount,
		(req_line.quantity-NVL(req_line.quantity_cancelled,0)) * req_line.unit_price
  ) 	line_amount	,
    Nvl2(req_line.currency_code,req_line.currency_code,
    (SELECT sob.currency_code
    FROM gl_sets_of_books sob,financials_system_params_all fsp
    WHERE sob.set_of_books_id = fsp.set_of_books_id
    AND fsp.org_id = req_header.org_id)) line_currency,
(SELECT gsb.currency_code
  FROM   financials_system_params_all fsp,
        gl_sets_of_books gsb
  WHERE  fsp.set_of_books_id = gsb.set_of_books_id
  AND fsp.org_id = req_line.org_id
) 	line_functional_currency	,
(CASE WHEN req_line.MODIFIED_BY_AGENT_FLAG = 'Y' THEN 0
    WHEN req_line.currency_code IS NOT NULL AND req_line.matching_basis = 'AMOUNT'  THEN Nvl(req_line.currency_amount, req_line.amount)
    WHEN req_line.currency_code IS NOT NULL AND req_line.matching_basis &lt;&gt; 'AMOUNT'
     THEN (Nvl(req_line.currency_unit_price,req_line.unit_price) * (req_line.quantity - nvl(req_line.quantity_cancelled,0)))
    WHEN req_line.matching_basis = 'AMOUNT' THEN req_line.amount
    ELSE
          req_line.unit_price *(req_line.quantity - nvl(req_line.quantity_cancelled,0))
  END) 	line_currency_amount	,
  req_header.cancel_flag,
req_line.cancel_flag line_cancel_flag,
  req_header.closed_code,
req_line.closed_code line_closed_code,
req_line.modified_by_agent_flag,
( CASE
  WHEN req_line.cancel_flag='Y'
    THEN po_pcc_agreements_util_pvt.get_fnd_message ('PO_PCC_REQ_CANCELLED', '201',status_lkup.language)
  WHEN req_line.urgent_flag = 'Y' AND req_line.REQS_IN_POOL_FLAG='Y'
    THEN po_pcc_agreements_util_pvt.get_fnd_message ('PO_PCC_REQLINE_URGENT', '201',status_lkup.language)
  WHEN  req_line.REQS_IN_POOL_FLAG='Y' AND Trunc(req_line.need_by_date) &lt;
            Trunc(SYSDATE + (SELECT nvl(lead_time,0)
                            FROM icx_cat_attribute_values
                            WHERE po_line_id = (SELECT po_line_id
                                                FROM po_lines_all
                                                WHERE po_header_id = req_line.BLANKET_PO_HEADER_ID
                                                AND line_num = req_line.BLANKET_PO_LINE_NUM
                                                AND ROWNUM =1) ) )
    THEN po_pcc_agreements_util_pvt.get_fnd_message ('PO_PCC_REQLINE_LATE2', '201',status_lkup.language)
  WHEN req_line.REQS_IN_POOL_FLAG='Y' AND req_line.need_by_date &lt;= SYSDATE
    THEN po_pcc_agreements_util_pvt.get_fnd_message ('PO_PCC_REQLINE_LATE', '201',status_lkup.language)
  WHEN req_line.reqs_in_pool_flag = 'Y'
    THEN po_pcc_agreements_util_pvt.get_fnd_message ('PO_PCC_REQLINE_POOL', '201',status_lkup.language)
  WHEN req_line.at_sourcing_flag = 'Y'
    THEN po_pcc_agreements_util_pvt.get_fnd_message ('PO_PCC_REQLINE_NEG', '201',status_lkup.language)
    WHEN (SELECT Count(1)
      FROM
      po_distributions_all pod
      WHERE pod.REQ_DISTRIBUTION_ID IN (SELECT distribution_Id FROM po_req_distributions_all WHERE requisition_line_id = req_line.requisition_line_id)
      AND ROWNUM &lt; 2) &gt; 0
    THEN po_pcc_agreements_util_pvt.get_fnd_message ('PO_PCC_REQLINE_ORDER', '201',status_lkup.language)
  ELSE
    (SELECT meaning
    FROM   fnd_lookup_values
    WHERE  lookup_type = 'AUTHORIZATION STATUS'
    AND lookup_code = req_header.authorization_status
    AND LANGUAGE = status_lkup.language)
  END
)  line_status	,
req_line.to_person_id requester_id,
( SELECT emp.full_name
	FROM   per_all_people_f emp
	WHERE  emp.person_id = req_line.to_person_id
	AND ( ( emp.effective_end_date IS NULL )
	OR ( emp.effective_end_date =
		(SELECT Max(c.effective_end_date)
		FROM   per_all_people_f c
		WHERE  emp.person_id = c.person_id))
)) requester,
(SELECT SUM(Nvl(prd1.recoverable_tax,0))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	recoverable_tax	,
(SELECT SUM(Nvl(prd1.nonrecoverable_tax,0))
  FROM   po_requisition_lines_all prl1,
        po_req_distributions_all prd1
  WHERE  prd1.requisition_line_id = req_line.requisition_line_id
        AND prl1.requisition_line_id = prd1.requisition_line_id
        AND Nvl(prl1.cancel_flag, 'N') = 'N'
        AND Nvl(prl1.modified_by_agent_flag, 'N') = 'N'
) 	non_recoverable_tax	,
req_line.suggested_buyer_id,
( SELECT emp.full_name
  FROM   per_all_people_f emp
  WHERE  emp.person_id =req_line.suggested_buyer_id
  AND ( ( emp.effective_end_date IS NULL )
        OR ( emp.effective_end_date =
                  (SELECT Max(c.effective_end_date)
                  FROM   per_all_people_f c
                  WHERE  emp.person_id = c.person_id  )
			)
	)
) 	suggested_buyer	,
req_line.note_to_agent note_to_buyer,
req_line.suggested_vendor_name suggested_supplier	,
(SELECT description
  FROM   hr_locations_all_tl
  WHERE  location_id = req_line.deliver_to_location_id
        AND LANGUAGE = status_lkup.language
) 	deliver_to_location	,
req_line.deliver_to_location_id,
(SELECT LOCATION_CODE FROM HR_LOCATIONS_ALL_TL WHERE location_id = req_line.deliver_to_location_id
and language = status_lkup.language)  ship_to_location,
req_line.destination_type_code,
(SELECT meaning
  FROM   fnd_lookup_values
  WHERE  lookup_type = 'DESTINATION TYPE'
  AND lookup_code = req_line.destination_type_code
  AND LANGUAGE = status_lkup.language
)  destination_type	,
req_line.urgent_flag urgent_flag,
req_line.last_update_date req_last_upd_date,
Decode(req_header.type_lookup_code,
                  'INTERNAL',TO_CHAR(OE_ORDER_IMPORT_INTEROP_PUB.Get_Order_Number(PSP.order_source_id,req_line.requisition_header_id,req_line.requisition_line_id)),
                    po_v.segment1) AS purchase_order,
po_v.po_header_id,
req_line.blanket_po_header_id,
(SELECT segment1 FROM po_headers_all WHERE po_header_id = req_line.blanket_po_header_id) AS agreement,
(SELECT document_number FROM pon_auction_Headers_all WHERE auction_header_id = req_line.auction_header_id) AS negotiation,
To_Char(NULL) next_action_owner,
To_Char(NULL) next_action_type,
  DECODE (po_pcc_requisitions_util_pvt.is_fully_reserved('REQUISITION','LINE',req_line.requisition_line_id),'Y',
	           (SELECT meaning
               FROM fnd_lookup_values POLC
               WHERE POLC.lookup_type = 'DOCUMENT STATE'
               AND POLC.lookup_code = 'RESERVED'
               AND LANGUAGE = status_lkup.language),
			   (SELECT meaning
               FROM fnd_lookup_values POLC
               WHERE POLC.lookup_type = 'DOCUMENT STATE'
               AND POLC.lookup_code = 'NOT RESERVED'
               AND LANGUAGE = status_lkup.language)) AS reservation_status,
req_dist.distribution_id distribution_id,
req_header.segment1 || ', ' || req_line.line_Num requisition_line,
req_dist.distribution_num distribution_number,
req_dist.req_line_quantity distribution_quantity,
req_dist.code_combination_id,
(SELECT  concatenated_segments
  FROM gl_code_combinations_kfv  gl_code_kfv
  WHERE code_combination_id = req_dist.code_combination_id
)   	charge_account	,
req_dist.expenditure_type expenditure_type,
(SELECT name
FROM hr_all_organization_units_tl
WHERE organization_id=req_dist.expenditure_organization_id
AND LANGUAGE = status_lkup.language) expenditure_org,
req_dist.expenditure_item_date expenditure_item_date,
pa_project.name project ,
pa_project.project_id,
pa_project.project_currency_code project_currency_code,
pa_project.segment1 project_number,
pa_task.task_number task_number,
pa_task.task_id,
To_Char(NULL) project_status,
DECODE(req_line.requisition_line_id,NULL,NULL,pa_task.task_name ) task_name
FROM
po_requisition_headers_all req_header,
po_requisition_lines_all req_line,
po_req_distributions_all req_dist,
pa_projects_all pa_project,
pa_tasks  pa_task,
mtl_system_items_b_kfv mtl_sys_item,
ap_suppliers ap_supplier,
mtl_categories_kfv req_mtl_cat,
fnd_lookup_values status_lkup,
(SELECT poh.segment1,poh.po_header_id, pod.REQ_DISTRIBUTION_ID
FROM
po_distributions_all pod,
po_headers_all poh
WHERE pod.po_header_id = poh.po_header_id
AND poh.type_lookup_code = 'STANDARD'
) po_v,
ORG_ORGANIZATION_DEFINITIONS OOD,
PO_SYSTEM_PARAMETERS_ALL PSP,
 (select 'PO_REQ_H_ROW_ID','PO_REQ_H_CONTEXT','PO_REQ_H_CONCATENATED_SEGMENTS' from dual where 1=2  union select ROWIDTOCHAR(ROW_ID),CONTEXT,CONCATENATED_SEGMENTS from PO_REQUISITION_HEADERS_ALL_DFV) DFV_H, (select 'PO_REQ_L_ROW_ID','PO_REQ_L_CONTEXT','PO_REQ_L_CONCATENATED_SEGMENTS' from dual where 1=2  union select ROWIDTOCHAR(ROW_ID),CONTEXT,CONCATENATED_SEGMENTS from PO_REQUISITION_LINES_ALL3_DFV) DFV_L, (select 'PO_REQ_D_ROW_ID','PO_REQ_D_CONTEXT_VALUE','PO_REQ_D_CONCATENATED_SEGMENTS' from dual where 1=2  union select ROWIDTOCHAR(ROW_ID),CONTEXT_VALUE,CONCATENATED_SEGMENTS from PO_REQ_DISTRIBUTIONS_ALL1_DFV) DFV_D
WHERE
req_header.authorization_status = 'APPROVED'
and nvl(req_header.closed_code,'NO') &lt;&gt; 'FINALLY CLOSED'
and NVL(req_header.cancel_flag, 'N') &lt;&gt; 'Y'
and nvl(req_header.federal_flag,'N') = 'N'
AND req_header.requisition_header_id = req_line.requisition_header_id
and nvl(req_line.cancel_flag,'N') &lt;&gt; 'Y'
AND Nvl(req_line.modified_by_agent_flag,'N') &lt;&gt; 'Y'
AND Nvl(req_line.closed_code,'NO') NOT IN ('CLOSED','FINALLY CLOSED')
AND req_line.requisition_line_id = req_dist.requisition_line_id(+)
and req_dist.task_id  = pa_task.task_id (+)
and req_dist.project_id = 	pa_task.project_id (+)
and pa_task.project_id = pa_project.project_id(+)
AND NVL(req_header.authorization_status,'INCOMPLETE') = status_lkup.lookup_code
AND status_lkup.lookup_type = 'AUTHORIZATION STATUS'
AND status_lkup.LANGUAGE IN ('US')
and req_line.vendor_id = ap_supplier.vendor_id(+)
and req_line.category_id = req_mtl_cat.category_id(+) --req line category to req mtl category
and req_line.item_id = mtl_sys_item.inventory_item_id(+) --req line item to mtl system inv item
and req_line.destination_organization_id = mtl_sys_item.organization_id(+)
AND po_v.REQ_DISTRIBUTION_ID(+) = req_dist.distribution_id
AND      OOD.ORGANIZATION_ID(+) = req_line.SOURCE_ORGANIZATION_ID
AND      PSP.ORG_ID(+) = OOD.OPERATING_UNIT
AND (nvl(req_header.CONTRACTOR_REQUISITION_FLAG,'N')='N'
or (req_header.AUTHORIZATION_STATUS='APPROVED'  and
req_header.CONTRACTOR_STATUS='ASSIGNED'))
AND req_header.rowid = dfv_h."'PO_REQ_H_ROW_ID'" (+)
AND req_line.rowid = dfv_l."'PO_REQ_L_ROW_ID'" (+)
AND req_dist.rowid = dfv_d."'PO_REQ_D_ROW_ID'" (+) and Greatest(req_header.last_update_date, req_line.last_update_date) &gt; to_date(to_char(to_timestamp('23-APR-20'),'DD-MON-YY HH24.MI.SS'),'DD-MON-YY HH24.MI.SS')
               ) pivot(Max(status) AS status,
                                     Max(operating_unit) AS operating_unit,
                                     Max(buyer_name) AS buyer_name,
                                     Max(line_type) AS line_type,
                                     Max(line_status) AS line_status,
                                     Max(requisition_type) AS requisition_type,
                                     Max(deliver_to_location) AS deliver_to_location,
                                     Max(ship_to_location) AS ship_to_location,
                                     Max(destination_type) AS destination_type,
                                     Max(expenditure_org) AS expenditure_org,
                                     Max(reservation_status) AS reservation_status
                                     FOR status_language IN ('US' "US")) </t>
  </si>
  <si>
    <t>select aha.INVOICE_ID  ||'-'|| aha.LINE_LOCATION_ID ||'-'||REPLACE(aha.HOLD_LOOKUP_CODE,' ','_') ECC_SPEC_ID,
aha.invoice_id, aha.line_location_id, aha.HOLD_ID, aha.release_lookup_code, nvl(aha.release_lookup_code,'Yes') as on_hold_flag,
CASE WHEN pdt.SECURITY_LEVEL_CODE='PUBLIC' OR pdt.SECURITY_LEVEL_CODE='PURCHASING' THEN
          NULL
     ELSE
          po_pcc_agreements_util_pvt.get_doc_authorized_userIds('POPA', poh.TYPE_LOOKUP_CODE, poh.AUTHORIZATION_STATUS,
          poh.org_id,poh.AGENT_ID, poh.PO_HEADER_ID) END as DOC_AUTHORIZED_USER_IDS,
pdt.SECURITY_LEVEL_CODE,
poh.org_id ORG_ID
  from ap_holds_all aha,po_line_locations_all po_lineloc,po_headers_all poh,PO_DOCUMENT_TYPES_ALL pdt,
  po_doc_style_headers doc_style
  where aha.line_location_id = po_lineloc.line_location_id
  AND aha.hold_lookup_code in
       (select hold_lookup_code
        from ap_hold_codes
        where hold_type = 'MATCHING HOLD REASON'
        and NVL(inactive_date, trunc(sysdate) + 1) &gt;= trunc(sysdate))
  AND pdt.org_id = poh.org_id
  AND pdt.DOCUMENT_TYPE_CODE = 'PO'
  AND pdt.DOCUMENT_SUBTYPE = poh.TYPE_LOOKUP_CODE
  AND po_lineloc.po_header_id = poh.po_header_id
  and poh.type_lookup_code IN ('STANDARD')
  AND doc_style.style_id = poh.style_id
  AND nvl(doc_style.clm_flag,'N') = 'N' and aha.last_update_date &gt; to_date(to_char(to_timestamp('23-APR-20'),'DD-MON-YY HH24.MI.SS'),'DD-MON-YY HH24.MI.SS')</t>
  </si>
  <si>
    <t>SELECT * FROM (
   SELECT
   gt.char1 ecc_spec_id,
   deliverable.deliverable_id okc_deliverable_id  ,
   deliverable.deliverable_name  okc_deliverable_name,
   deliverabletypes_tl.name  okc_deliverable_type,
   busdoc_tl.name   okc_business_document_type,
   deliverable.business_document_type okc_doc_type_code,
   deliverable.business_document_number   okc_business_doc_number,
   (select name
	 from okc_resp_parties_vl  okc_resp_party
	 where okc_resp_party.resp_party_code=deliverable.responsible_party
	 and okc_resp_party.document_type_class = 'PO')   responsible_party,
   (CASE
     WHEN deliverable.responsible_party = 'INTERNAL_ORG' THEN
		(SELECT EMPLOYEE.FULL_NAME CONTACT_NAME
		 FROM PER_ALL_PEOPLE_F EMPLOYEE
		 WHERE EMPLOYEE.EFFECTIVE_START_DATE = EMPLOYEE.START_DATE
		 AND EMPLOYEE.PERSON_ID = deliverable.INTERNAL_PARTY_CONTACT_ID)
	ELSE
       hpcontact.party_name
    END
    )   okc_party_contact,
     deliverable.actual_due_date  due_date,
    (select meaning
	   from  fnd_lookup_values fnd_lookup
	   where fnd_lookup.lookup_code = deliverable.deliverable_status
	   and fnd_lookup.LANGUAGE = deliverabletypes_tl.LANGUAGE
	   and fnd_lookup.lookup_type = 'OKC_DELIVERABLE_STATUS'
     and fnd_lookup.language=  deliverabletypes_tl.language
    )  deliverable_status,
  deliverabletypes_tl.LANGUAGE
   FROM okc_deliverables deliverable,
   okc_bus_doc_types_b busdoc,
   okc_bus_doc_types_tl busdoc_tl,
   hz_parties hpcontact,
   okc_deliverable_types_tl deliverabletypes_tl,
   po_session_gt gt
   WHERE
   gt.KEY=3134033
   AND deliverable.deliverable_id=gt.num3
   and deliverable.external_party_contact_id = hpcontact.party_id (+)
   AND deliverable.deliverable_type = deliverabletypes_tl.deliverable_type_code
   AND busdoc.document_type =  deliverable.business_document_type
   and busdoc.document_type = busdoc_tl.document_type
   AND busdoc_tl.language = deliverabletypes_tl.language
   AND deliverabletypes_tl.LANGUAGE IN ('US')
    ) PIVOT (max(deliverable_status) as deliverable_status,
             max(okc_deliverable_type) as okc_deliverable_type,
             max(okc_business_document_type) okc_business_document_type
          for LANGUAGE in ('US' "US"))</t>
  </si>
  <si>
    <t>select * from (SELECT
gt.char1 ecc_spec_id, DFV.*,
agr_line.po_line_id                  agreement_line,
agr_line.line_num                    line_number,
     (
         SELECT
             line_type
         FROM
             po_line_types_tl lt
         WHERE
             lt.line_type_id = agr_line.line_type_id
             AND lt.language  = houtl.language
     ) line_type,
     mtl_sys_item.concatenated_segments   item,
     agr_line.item_description,
     mtl_cat_kfv.concatenated_segments    category,
     agr_line.unit_meas_lookup_code       uom,
     agr_line.unit_price                  unit_price,
     DECODE( NVL(agr_line.closed_code, 'OPEN'),
               'OPEN', po_pcc_agreements_util_pvt.get_fnd_message('PO_OPEN', '201',houtl.language),
               'CLOSED FOR RECEIVING', po_pcc_agreements_util_pvt.get_fnd_message('PO_STATUS_CLOSED', '201',houtl.language),
               po_pcc_agreements_util_pvt.get_fnd_message ('PO_STATUS_CLOSED', '201',houtl.language)) line_status	,
     agr_attr_values.lead_time            lead_time,
     (SELECT Count(1)
                   FROM po_line_locations_all pll
                   WHERE pll.po_line_id = agr_line.po_line_id
  )  	no_price_breaks,
  (SELECT document_number FROM pon_auction_headers_all paha
  WHERE paha.auction_header_id= agr_line.auction_header_id) negotiation,
 /* (SELECT
                LISTAGG(poh.segment1,'|') WITHIN GROUP  (ORDER BY nvl(pla.from_header_id,pla.contract_id)) AS order_num
                  FROM
                  po_lines_all pla,
                  po_headers_all poh
                WHERE
                  nvl(pla.from_header_id,pla.contract_id) = agr_header.po_header_id
                  AND poh.po_header_id=pla.po_header_id
                  GROUP BY nvl(pla.from_header_id,pla.contract_id))*/ null AS ORDER_num,
  ( SELECT Sum(plla.quantity) FROM  po_lines_all pla,po_line_locations_all  plla
 WHERE  pla.from_line_id=agr_line.po_line_id
 AND plla.po_line_id=pla.po_line_id) Released_Quantity,
   ( SELECT Sum(plla.quantity_shipped) FROM  po_lines_all pla,po_line_locations_all  plla
 WHERE  pla.from_line_id=agr_line.po_line_id
 AND plla.po_line_id=pla.po_line_id) Shipped_Quantity,
  ( SELECT Sum(plla.quantity_received) FROM  po_lines_all pla,po_line_locations_all  plla
 WHERE  pla.from_line_id=agr_line.po_line_id
 AND plla.po_line_id=pla.po_line_id) Received_Quantity,
  ( SELECT Sum(plla.quantity_rejected) FROM  po_lines_all pla,po_line_locations_all  plla
 WHERE  pla.from_line_id=agr_line.po_line_id
 AND plla.po_line_id=pla.po_line_id) Rejected_Quantity,
  ( SELECT Sum(plla.quantity_billed ) FROM  po_lines_all pla,po_line_locations_all  plla
 WHERE  pla.from_line_id=agr_line.po_line_id
 AND plla.po_line_id=pla.po_line_id) Invoiced_Quantity,
  po_pcc_agreements_util_pvt.get_ga_line_amount_released(agr_line.po_line_id,agr_line.po_header_id) AS line_released_amount,
  (SELECT Sum(DECODE(po_lineloc.matching_basis,'AMOUNT',nvl(po_lineloc.amount_received, 0),
	                Nvl(po_line.unit_price*po_lineloc.quantity_received, 0)))
   FROM  po_lines_all po_line,
po_line_locations_all po_lineloc ,
po_headers_all po_orders
WHERE
po_line.from_line_id= agr_line.po_line_id
AND po_orders.po_header_id = po_line.po_header_id
and po_line.po_line_id = po_lineloc.po_line_id)  line_received_amount,
(SELECT Sum(DECODE(po_lineloc.matching_basis,'AMOUNT',nvl(po_lineloc.amount_billed, 0),
	                Nvl(po_line.unit_price*po_lineloc.quantity_billed, 0)))
   FROM  po_lines_all po_line,
po_line_locations_all po_lineloc ,
po_headers_all po_orders
WHERE
po_line.from_line_id= agr_line.po_line_id
AND po_orders.po_header_id = po_line.po_header_id
and po_line.po_line_id = po_lineloc.po_line_id)  line_invoiced_amount,
(SELECT Sum(DECODE(po_lineloc.matching_basis,'AMOUNT',nvl(po_lineloc.amount_shipped, 0),
	                    Nvl(po_line.unit_price*po_lineloc.quantity_shipped, 0)))
   FROM  po_lines_all po_line,
po_line_locations_all po_lineloc ,
po_headers_all po_orders
WHERE
po_line.from_line_id= agr_line.po_line_id
AND po_orders.po_header_id = po_line.po_header_id
and po_line.po_line_id = po_lineloc.po_line_id)  line_shipped_amount,
     (
         SELECT
             DECODE(flv.lookup_code,'APPROVED', (CASE
                 WHEN agr_header.closed_code = 'CLOSED'         THEN 'PO_STATUS_CLOSED'
                 WHEN agr_header.closed_code = 'FINALLY CLOSED' THEN 'PO_STATUS_FINALLY_CLOSED'
                 WHEN nvl(agr_header.cancel_flag,'N') = 'Y'    THEN 'PO_STATUS_CANCELED'
                 WHEN nvl(agr_header.frozen_flag,'N') = 'Y'    THEN 'PO_STATUS_FROZEN'
                 WHEN nvl(agr_header.user_hold_flag,'N') = 'Y' THEN 'PO_STATUS_ON_HOLD'
                 ELSE flv.lookup_code
             END),flv.lookup_code)
         FROM
             fnd_lookup_values_vl flv
         WHERE
             nvl(agr_header.authorization_status,'INCOMPLETE') = flv.lookup_code
             AND flv.lookup_type = 'AUTHORIZATION STATUS'
             AND agr_header.po_header_id IS NOT NULL
     ) agreement_status_code,
     houtl.language ,
     agr_line.vendor_product_num          SUPPLIER_ITEM_NUM
FROM
po_headers_all agr_header,
po_lines_all agr_line,
po_attribute_values agr_attr_values,
mtl_categories_kfv mtl_cat_kfv,
mtl_system_items_b_kfv mtl_sys_item,
financials_system_params_all fsp ,
hr_all_organization_units_tl houtl,
po_session_gt gt, (select 'PO_ORD_L_ROW_ID','PO_ORD_L_CONTEXT','PO_ORD_L_ATTRIBUTE_13','PO_ORD_L_ORDER_SEQUENCE','PO_ORD_L_CONCATENATED_SEGMENTS' from dual where 1=2  union select ROWIDTOCHAR(ROW_ID),CONTEXT,ATTRIBUTE_13,ORDER_SEQUENCE,CONCATENATED_SEGMENTS from PO_LINES_ALL_DFV) DFV
WHERE
gt.KEY=3134033
AND agr_header.po_header_id=gt.num1
AND agr_line.po_line_id=gt.num2
AND agr_line.po_line_id = agr_attr_values.po_line_id (+)
AND agr_line.category_id = mtl_cat_kfv.category_id (+)
AND agr_line.item_id = mtl_sys_item.inventory_item_id (+)
AND agr_header.org_id = fsp.org_id (+)
AND nvl(nvl(mtl_sys_item.organization_id,fsp.inventory_organization_id),-99) = nvl(fsp.inventory_organization_id,-99)
AND houtl.organization_id (+) = agr_header.org_id
AND houtl.LANGUAGE IN ('US')
and agr_line.rowid = dfv."'PO_ORD_L_ROW_ID'" (+)
)
PIVOT (max(line_type) as line_type ,
       max(line_status) as line_status
 for LANGUAGE in ('US' "US"))</t>
  </si>
  <si>
    <t>select * from (SELECT
     gt.char1 ecc_spec_id, DFV.*,
     agr_header.po_header_id              agreement,
     agr_header.segment1                  agreement_number,
     agr_header.revision_num              agr_revision,
     po_pcc_orders_util_pvt.get_po_status(agr_header.po_header_id,houtl.language) status,
     ap_supplier.vendor_name supplier,
     (SELECT
             apst.vendor_site_code
         FROM
             ap_supplier_sites_all apst
         WHERE
             apst.vendor_site_id = agr_header.vendor_site_id
     ) supplier_site,
     (SELECT
             pvc.first_name
             || ' '
             || pvc.last_name
         FROM
             po_vendor_contacts pvc
         WHERE
             pvc.vendor_contact_id = agr_header.vendor_contact_id
             AND pvc.vendor_site_id = agr_header.vendor_site_id
     ) agr_supplier_contact,
     agr_header.blanket_total_amount      agr_agreed_amount,
     agr_header.amount_limit              agr_amount_limit,
     gt.num4 agr_amount_released,
     gt.char2 functional_currency_code,
     agr_header.currency_code             currency,
     (
         SELECT
             emp.full_name
         FROM
             per_all_people_f emp
         WHERE
             emp.person_id = agr_header.agent_id
             AND ( ( emp.effective_end_date IS NULL )
                   OR ( emp.effective_end_date = (
                 SELECT
                     MAX(c.effective_end_date)
                 FROM
                     per_all_people_f c
                 WHERE
                     emp.person_id = c.person_id
             ) ) )
     ) buyer_name,
     agr_header.start_date                effective_from,
     agr_header.end_date                  effective_to,
     agr_header.creation_date             creation_date,
     agr_header.approved_date             approval_date,
     agr_header.submit_date               submit_date,
     (SELECT
             at.name
         FROM
             AP_TERMS  at
         WHERE
             at.term_id = agr_header.terms_id
     ) agr_payment_term,
     agr_header.org_id                    org_id,
     houtl.name Operating_Unit,
 ( SELECT Sum( DECODE(po_lineloc.matching_basis,'AMOUNT',nvl(po_lineloc.amount_received, 0),
	                 Nvl(po_line.unit_price*po_lineloc.quantity_received, 0)))
 FROM
po_lines_all po_line,
po_line_locations_all po_lineloc ,
po_headers_all po_orders
WHERE
nvl(po_line.from_header_id,po_line.contract_id)= agr_header.po_header_id
AND po_orders.po_header_id = po_line.po_header_id
and po_line.po_line_id = po_lineloc.po_line_id
 )  received_amount,
( SELECT Sum( DECODE(po_lineloc.matching_basis,'AMOUNT',nvl(po_lineloc.amount_billed, 0),
	                Nvl(po_line.unit_price*po_lineloc.quantity_billed, 0)))
 FROM
po_lines_all po_line,
po_line_locations_all po_lineloc ,
po_headers_all po_orders
WHERE
nvl(po_line.from_header_id,po_line.contract_id)= agr_header.po_header_id
AND po_orders.po_header_id = po_line.po_header_id
and po_line.po_line_id = po_lineloc.po_line_id
 )  invoiced_amount,
( SELECT Sum( DECODE(po_lineloc.matching_basis,'AMOUNT',nvl(po_lineloc.amount_shipped, 0),
	                    Nvl(po_line.unit_price*po_lineloc.quantity_shipped, 0)))
 FROM
po_lines_all po_line,
po_line_locations_all po_lineloc ,
po_headers_all po_orders
WHERE
nvl(po_line.from_header_id,po_line.contract_id)= agr_header.po_header_id
AND po_orders.po_header_id = po_line.po_header_id
and po_line.po_line_id = po_lineloc.po_line_id
 )  shipped_amount,
houtl.language,
( CASE
         WHEN ( nvl(agr_header.authorization_status,'INCOMPLETE') IN (
             'INCOMPLETE',
             'REQUIRES REAPPROVAL',
             'REJECTED'
         ) ) THEN po_pcc_agreements_util_pvt.get_fnd_message ('PO_PCC_DRAFT_STATUS', '201',houtl.language)
         WHEN ( agr_header.authorization_status IN (
             'IN PROCESS',
             'PRE-APPROVED'
         )
                OR po_acknowledge_po_pvt.get_header_ack_change_status(agr_header.po_header_id,NULL,agr_header.revision_num) IN (
             'SIG_REQUIRED',
             'ACK_REQUIRED'
         ) ) THEN po_pcc_agreements_util_pvt.get_fnd_message ('PO_PCC_INPROC_STATUS', '201',houtl.language)
         WHEN ( agr_header.closed_code IN (
             'CLOSED',
             'FINALLY CLOSED'
         )
                OR agr_header.cancel_flag LIKE 'Y'
                /*OR agr_header.end_date &lt;= SYSDATE
                OR gt.num4 = agr_header.amount_limit*/ ) THEN   po_pcc_agreements_util_pvt.get_fnd_message ('PO_PCC_CLOSED_STATUS', '201',houtl.language)
         WHEN agr_header.po_header_id IS NOT NULL THEN po_pcc_agreements_util_pvt.get_fnd_message ('PO_PCC_OPEN_STATUS', '201',houtl.language)
     END ) GROUP_STATUS,
     ( CASE
         WHEN agr_header.closed_code = 'FINALLY CLOSED'  THEN po_pcc_agreements_util_pvt.get_fnd_message ('PO_STATUS_FINALLY_CLOSED', '201',houtl.language)
         WHEN agr_header.closed_code = 'CLOSED'    THEN po_pcc_agreements_util_pvt.get_fnd_message ('PO_STATUS_CLOSED', '201',houtl.language)
         WHEN agr_header.cancel_flag = 'Y'    THEN po_pcc_agreements_util_pvt.get_fnd_message ('PO_STATUS_CANCELED', '201',houtl.language)
         WHEN agr_header.authorization_status IN (
             'REJECTED'
         ) THEN (
             SELECT
                 flv.meaning
             FROM
                 fnd_lookup_values flv
             WHERE
                 flv.lookup_type = 'AUTHORIZATION STATUS'
                 AND flv.lookup_code = 'REJECTED'
                 AND flv.language= houtl.language
         )
         WHEN nvl(agr_header.authorization_status,'INCOMPLETE') IN (
             'INCOMPLETE'
         ) THEN (
             SELECT
                 flv.meaning
             FROM
                 fnd_lookup_values flv
             WHERE
                 flv.lookup_type = 'AUTHORIZATION STATUS'
                 AND flv.lookup_code = 'INCOMPLETE'
                 AND flv.language= houtl.language
         )
         WHEN po_acknowledge_po_pvt.get_header_ack_change_status(agr_header.po_header_id,NULL,agr_header.revision_num) LIKE 'SIG_REQUIRED'
         THEN po_pcc_agreements_util_pvt.get_fnd_message ('PO_PCC_REQ_SIGN', '201',houtl.language)
         WHEN po_acknowledge_po_pvt.get_header_ack_change_status(agr_header.po_header_id,NULL,agr_header.revision_num) LIKE 'ACK_REQUIRED'
         THEN po_pcc_agreements_util_pvt.get_fnd_message ('PO_PCC_SUPP_ACK', '201',houtl.language)
         WHEN EXISTS (
             SELECT
                 1
             FROM
                 po_distributions_all pda
             WHERE
                 pda.po_header_id = agr_header.po_header_id
                 AND failed_funds_lookup_code LIKE 'F%'
         ) THEN po_pcc_agreements_util_pvt.get_fnd_message ('PO_PCC_PEND_FUNDS', '201',houtl.language)
         WHEN agr_header.authorization_status IN (
             'PRE-APPROVED'
         ) THEN (
             SELECT
                 flv.meaning
             FROM
                 fnd_lookup_values flv
             WHERE
                 flv.lookup_type = 'AUTHORIZATION STATUS'
                 AND flv.lookup_code = 'PRE-APPROVED'
                 AND flv.language= houtl.language
         )
         WHEN agr_header.authorization_status IN (
             'IN PROCESS'
         ) THEN po_pcc_agreements_util_pvt.get_fnd_message ('PO_STATUS_IN_PROCESS', '201',houtl.language)
         WHEN agr_header.user_hold_flag = 'Y'  THEN 'On Hold'
         WHEN EXISTS (
             SELECT
                 1
             FROM
                 po_change_requests
             WHERE
                 document_header_id = agr_header.po_header_id
                 AND request_status = 'PENDING'
         ) THEN po_pcc_agreements_util_pvt.get_fnd_message ('PO_PCC_PEND_CHG_REQ', '201',houtl.language)
         WHEN agr_header.end_date &lt;= SYSDATE    THEN po_pcc_agreements_util_pvt.get_fnd_message ('PO_PCC_END_DATE_REACHED', '201',houtl.language)
         WHEN gt.num4 = agr_header.amount_limit  THEN
         po_pcc_agreements_util_pvt.get_fnd_message ('PO_PCC_AMT_LIMIT_REACHED', '201',houtl.language)
         WHEN SYSDATE &gt;= agr_header.end_date - 30   THEN po_pcc_agreements_util_pvt.get_fnd_message ('PO_PCC_APPROACH_END_DATE', '201',houtl.language)
         WHEN gt.num4 &gt;= ( agr_header.amount_limit * 0.9 ) THEN po_pcc_agreements_util_pvt.get_fnd_message ('PO_PCC_APPROACH_AMT_LIMIT', '201',houtl.language)
         WHEN agr_header.frozen_flag = 'Y'  THEN po_pcc_agreements_util_pvt.get_fnd_message ('PO_STATUS_FROZEN', '201',houtl.language)
        /* WHEN EXISTS (
             SELECT
                 1
             FROM
                 po_buyer_actions
             WHERE
                 trunc(nvl(completion_date,SYSDATE) ) - trunc(target_date) &gt; 0
                 AND status &lt;&gt; 'CLOSED'
                 AND entity_type = 'PA_HEADER'
                 AND entity_id = agr_header.po_header_id
         ) THEN 'Overdue Notes Exist'*/
         ELSE (
             SELECT
                 flv.meaning
             FROM
                  fnd_lookup_values flv
             WHERE
                 flv.lookup_type = 'AUTHORIZATION STATUS'
                 AND flv.lookup_code = agr_header.authorization_status
                 AND flv.language= houtl.language
         )
     END ) SUB_STATUS,
     /*(
         SELECT
             next_action_type
         FROM
             (
                 SELECT
                     fnd_look.meaning   next_action_type,
                     entity_id
                 FROM
                     po_buyer_actions pba,
                     fnd_lookup_values fnd_look
                 WHERE
                     entity_type = 'PA_HEADER'
                     AND status = 'OPEN'
                     AND fnd_look.lookup_type = 'PO_BUYER_PA_HEADER_ACTIONS'
                     AND fnd_look.lookup_code = pba.action_type
                     and fnd_look.LANGUAGE=  houtl.language
                     ORDER BY
                     target_date
             )
         WHERE
             entity_id = agr_header.po_header_id
             AND ROWNUM = 1
     )*/ null as NEXT_ACTION_TYPE,
     DECODE(po_pcc_agreements_util_pvt.is_fully_reserved('PA','HEADER',agr_header.po_header_id),'Y', (
         SELECT
             polc.meaning
         FROM
             fnd_lookup_values  polc
         WHERE
             polc.lookup_type = 'DOCUMENT STATE'
             AND polc.lookup_code = 'RESERVED'
             AND polc.language= houtl.language
     ), (
         SELECT
             polc.meaning
         FROM
             fnd_lookup_values polc
         WHERE
             polc.lookup_type = 'DOCUMENT STATE'
             AND polc.lookup_code = 'NOT RESERVED'
             AND polc.language= houtl.language
     ) ) reservation_status,
     extract(YEAR from agr_header.creation_date) CREATION_YEAR,
     to_char(agr_header.creation_date,'Month') creation_month,
     (CASE WHEN
	      agr_header.authorization_status = 'APPROVED'
       AND Nvl(agr_header.closed_code, 'OPEN') &lt;&gt; 'FINALLY CLOSED'
       AND Nvl(agr_header.cancel_flag, 'N') = 'N'
       AND Nvl(agr_header.frozen_flag, 'N') = 'N'
       AND    ((gt.num4 &gt;= ( agr_header.amount_limit * 0.9 )) )
       OR     (gt.num4 = agr_header.amount_limit)
    THEN  'Yes'
	ELSE 'No'
   END ) AGREEMENTS_TO_WATCH,
(
CASE WHEN
           agr_header.authorization_status = 'APPROVED'
       AND Nvl(agr_header.closed_code, 'OPEN') &lt;&gt; 'FINALLY CLOSED'
       AND Nvl(agr_header.cancel_flag, 'N') = 'N'
       AND Nvl(agr_header.frozen_flag, 'N') = 'N'
       AND ((SYSDATE &gt;= agr_header.end_date - 30)
        OR (agr_header.end_date &lt;= SYSDATE)) THEN
      'Yes'
      ELSE
      'No'
      END
) as  EXPIRING_AGREEMENTS,
doc_style.style_name AGR_STYLE ,
     CASE
                            WHEN (agr_header.currency_code IS NULL   OR gt.char2 = agr_header.currency_code) THEN
                            agr_header.blanket_total_amount
                            ELSE nvl(agr_header.rate,1)*agr_header.blanket_total_amount
                     END AS amount_agreed_func,
    CASE
                            WHEN ( agr_header.currency_code IS NULL  OR gt.char2 = agr_header.currency_code) THEN gt.num4
                            ELSE nvl(agr_header.rate,1)*gt.num4
                     END AS released_amount_func,
                     agr_header.authorization_status,
                     decode(agr_header.type_lookup_code,'CONTRACT',po_pcc_agreements_util_pvt.get_fnd_message ('PO_CONTRACT_AGREEMENT', '201',houtl.language),
                                                                     po_pcc_agreements_util_pvt.get_fnd_message ('PO_BLANKET_PO', '201',houtl.language)) document_type,
  case
     when agr_header.blanket_total_amount is not null and agr_header.blanket_total_amount &gt;0 then
       (gt.num4/agr_header.blanket_total_amount)*100
    else
      null end as utilization_percentage,
      gt.char3  DOC_AUTHORIZED_USER_IDS ,
      GT.CHAR4 SECURITY_LEVEL_CODE,
      agr_header.type_lookup_code,
   agr_header.vendor_id supplier_id
FROM
po_headers_all agr_header,
po_doc_style_headers doc_style,
ap_suppliers ap_supplier,
hr_all_organization_units_tl houtl,
po_session_gt gt, (select 'PO_ORD_H_ROW_ID','PO_ORD_H_CONTEXT','PO_ORD_H_CONCATENATED_SEGMENTS' from dual where 1=2  union select ROWIDTOCHAR(ROW_ID),CONTEXT,CONCATENATED_SEGMENTS from PO_HEADERS_ALL_DFV) DFV
WHERE
gt.KEY=3134033
AND agr_header.po_header_id=gt.num1
AND agr_header.vendor_id = ap_supplier.vendor_id (+)
AND doc_style.style_id = agr_header.style_id
AND houtl.organization_id (+) = agr_header.org_id
AND houtl.LANGUAGE IN ('US')
AND agr_header.rowid = dfv."'PO_ORD_H_ROW_ID'" (+))
 PIVOT (max(operating_unit) as operating_unit,
        max(GROUP_STATUS) as GROUP_STATUS,
        max(SUB_STATUS) as SUB_STATUS,
        max(NEXT_ACTION_TYPE) as NEXT_ACTION_TYPE,
        max(reservation_status) as reservation_status,
        max(document_type) as document_type,
        max(status) as status
 for LANGUAGE in ('US' "US"))</t>
  </si>
  <si>
    <t xml:space="preserve">There is SQLException while applying load rule for dataset po-clm-solicitations for job 56,931.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</si>
  <si>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
SELECT
auction_header_id||'-'||duration_type  ECC_SPEC_ID,
auction_header_id,
document_number,
duration_type,
duration,
solicitation_amount,
language ,
org_id,
SECURITY_LEVEL_CODE,
NEG_TEAM_MEMBERS
FROM (
SELECT
pah.auction_header_id,
pah.document_number,
PON_CLM_OKC_INTEG_PKG.GET_SOL_TOTAL_AMT(pah.auction_header_id) solicitation_amount,
Nvl(po_pon_ecc_util_pvt.get_preparation_time(pah.auction_header_id),0) creation_duration,
Nvl(po_pon_ecc_util_pvt.get_approval_time(pah.auction_header_id),0) approval_duration,
Nvl(po_pon_ecc_util_pvt.get_publish_time(pah.auction_header_id),0)  publish_duration,
Nvl(po_pon_ecc_util_pvt.get_total_bid_time(pah.auction_header_id),0) closure_duration,
Nvl(po_pon_ecc_util_pvt.get_total_analyse_time(pah.auction_header_id),0) evaluation_duration,
Nvl(po_pon_ecc_util_pvt.get_total_award_time(pah.auction_header_id),0) award_duration,
PO_PON_ECC_UTIL_PVT.get_fnd_message ('PO_SRC_ECC_CRT_TYP', '201',hrou.language) creation_type,
PO_PON_ECC_UTIL_PVT.get_fnd_message ('PO_SRC_ECC_APP_TYP', '201',hrou.language) approval_Type,
PO_PON_ECC_UTIL_PVT.get_fnd_message ('PO_SRC_ECC_PUB_TYP', '201',hrou.language) publish_type,
PO_PON_ECC_UTIL_PVT.get_fnd_message ('PO_SRC_ECC_CLOSE_TYP', '201',hrou.language) closure_type,
PO_PON_ECC_UTIL_PVT.get_fnd_message ('PO_SRC_ECC_EVAL_TYP', '201',hrou.language) evaluation_type,
PO_PON_ECC_UTIL_PVT.get_fnd_message ('PO_SRC_ECC_AWARD_TYP', '201',hrou.language) award_type,
hrou.language,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pon_auction_headers_all pah,
HR_ALL_ORGANIZATION_UNITS_TL HROU,
po_session_gt gt
WHERE
pah.auction_header_id=gt.num1
and hrou.language in ( 'US')
and gt.key = 3134042
and hrou.organization_id (+) = pah.org_id) ah
unpivot ((duration_type,duration) FOR  sol_duration IN ((creation_type,creation_duration)AS '1',
                                                           (approval_Type,approval_duration) AS '2',
                                                           (publish_type,publish_duration) AS '3' ,
                                                            (closure_type,closure_duration ) AS '4',
                                                            (evaluation_type, evaluation_duration) AS '5',
                                                            (award_type,award_duration) AS '6'))
) pivot(Max(duration_type) AS duration_type FOR LANGUAGE IN ('US' "US"))</t>
  </si>
  <si>
    <t xml:space="preserve">There is SQLException while applying load rule for dataset po-clm-requisitions for job 56,931.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</si>
  <si>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3134041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</si>
  <si>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3134041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</si>
  <si>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3134041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</si>
  <si>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3134041 )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</si>
  <si>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3134041 )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</si>
  <si>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3134041 )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</si>
  <si>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
SELECT  gt.char1 ecc_spec_id
       ,ppf.full_name REQUESTER
FROM    okc_deliverables del
       ,po_session_gt gt
       ,per_all_people_f ppf
WHERE   del.deliverable_id = gt.num2
AND     ppf.person_id = del.requester_id
AND     ppf.effective_start_date &lt;= SYSDATE
AND     (ppf.effective_end_date is NULL OR ppf.effective_end_date&gt; sysdate)
AND     gt.key = 3134040</t>
  </si>
  <si>
    <t>
SELECT  gt.char1 ecc_spec_id
       ,hz.party_name SUPPLIER_CONTACT
FROM    okc_deliverables del
       ,po_session_gt gt
       ,hz_parties hz
WHERE   del.deliverable_id = gt.num2
AND     del.EXTERNAL_PARTY_CONTACT_ID = hz.party_id
AND     gt.key = 3134040</t>
  </si>
  <si>
    <t>
SELECT  gt.char1 ecc_spec_id
       ,sup.vendor_name RESPONSIBLE_PARTY_NAME
FROM    okc_deliverables del
       ,po_session_gt gt
       ,AP_SUPPLIERS sup
WHERE   del.deliverable_id = gt.num2
AND     del.EXTERNAL_PARTY_ID = sup.vendor_id
AND     gt.key = 3134040</t>
  </si>
  <si>
    <t>SELECT * FROM ( 
SELECT  gt.char1 ecc_spec_id
       ,org.name RESPONSIBLE_PARTY_NAME
       ,org_tl.name INTERNAL_ORGANIZATION
       ,org_tl.language
       ,ppf.full_name INTERNAL_CONTACT
FROM    okc_deliverables del
       ,po_session_gt gt
       ,HR_ALL_ORGANIZATION_UNITS_TL org_tl
       ,HR_ALL_ORGANIZATION_UNITS org
       ,per_all_people_f ppf
WHERE   del.deliverable_id = gt.num2
AND     del.INTERNAL_PARTY_ID = org.ORGANIZATION_ID
AND     org.ORGANIZATION_ID = org_tl.ORGANIZATION_ID
AND     ppf.person_id = del.internal_party_contact_id
AND     ppf.effective_start_date &lt;= SYSDATE
AND     (ppf.effective_end_date is NULL OR ppf.effective_end_date&gt; sysdate)
AND     org_tl.language in ( 'US')
AND     gt.key = 3134040 ) PIVOT ( max(INTERNAL_ORGANIZATION) as INTERNAL_ORGANIZATION
                                             FOR language in ( 'US' "US"))</t>
  </si>
  <si>
    <t>SELECT * FROM ( 
SELECT  gt.char1 ecc_spec_id
       ,flv.meaning category
       ,flv.language
FROM    okc_deliverables del
       ,po_session_gt gt
       ,fnd_lookup_values flv
WHERE   del.deliverable_id = gt.num2
AND     flv.view_application_id = 0
AND     flv.lookup_type  = 'OKC_DEL_CATEGORIES'
AND     flv.lookup_code  = del.del_category_code
AND     flv.language in ( 'US')
AND     gt.key = 3134040 ) PIVOT ( max(category) as category
                                             FOR language in ( 'US' "US"))</t>
  </si>
  <si>
    <t>SELECT * FROM ( 
SELECT  gt.char1 ecc_spec_id
       ,del.deliverable_id
       ,gt.index_num2 business_document_id
       ,gt.char3 document_number
       ,type_tl.name AS "TYPE"
       ,del.deliverable_name AS "NAME"
       ,del.description
       ,del.comments
       ,del.actual_due_date
       ,del.completion_date
       ,flv.meaning AS "STATUS"
       ,party_tl.name responsible_party
       ,flv.language
       ,busdoc_tl.name document_type
       ,DECODE(del.deliverable_status, 'OPEN', 'Y', 'SUBMITTED', 'Y', 'N') pending
       ,CASE
          WHEN  del.actual_due_date &lt; sysdate and del.deliverable_status = 'OPEN'
	      THEN 'OA_MEDIA/warningind_status.gif'
          else  null
        END alert
       ,gt.char2 entity_type
       ,flv1.meaning ON_TIME
       ,del.EXHIBIT_CODE EXHIBIT
FROM    okc_deliverables del
       ,po_session_gt gt
       ,fnd_lookup_values flv
       ,fnd_lookup_values flv1
       ,okc_deliverable_types_tl type_tl
       ,okc_resp_parties_tl party_tl
       ,okc_bus_doc_types_b busdoc
       ,okc_bus_doc_types_tl busdoc_tl
WHERE   del.deliverable_id = gt.num2
AND     flv.view_application_id = 0
AND     flv.lookup_type  = 'OKC_DELIVERABLE_STATUS'
AND     flv.lookup_code  = del.deliverable_status
AND     type_tl.DELIVERABLE_TYPE_CODE = del.deliverable_type
AND     del.responsible_party = party_tl.resp_party_code
AND     del.business_document_type = busdoc.document_type
AND     busdoc.document_type_class = party_tl.document_type_class
AND     busdoc.intent = party_tl.intent
and     busdoc.document_type = busdoc_tl.document_type
AND     flv1.lookup_type = 'YES_NO'
AND     flv1.lookup_code = (CASE WHEN del.completion_date &lt;= del.actual_due_date  THEN 'Y'
                                 ELSE 'N' END)
AND     flv1.view_application_id = 0
AND     type_tl.language = flv.language
and     type_tl.language = party_tl.language
AND     type_tl.language = busdoc_tl.language
AND     type_tl.language = flv1.language
AND     flv.language in ( 'US')
AND     gt.key = 3134040 ) PIVOT ( max(STATUS) as STATUS,
                                              max(type) as type,
                                              max(responsible_party) as responsible_party,
                                              max(document_type) as document_type,
                                              max(ON_TIME) as ON_TIME
                                             FOR language in ( 'US' "US"))</t>
  </si>
  <si>
    <t>select * from (SELECT
        gt.char1 as ECC_SPEC_ID,
        'VIEW' BID_VIEW_ACTION,
        PBD.AUCTION_HEADER_ID,
        PAH.DOCUMENT_NUMBER SOLICITATION_NUMBER,
        pbd.BID_NUMBER||', '||bl.LINE_NUM_DISPLAY OFFER_LINE_NO,
        PAH.AUCTION_TITLE TITLE,
        PON_LOCALE_PKG.GET_PARTY_DISPLAY_NAME(pbd.surrog_bid_created_contact_id,12,fl2.language) buyer,
      	PBD.BID_NUMBER AS BID_NUMBER,
        FL2.MEANING AS BID_STATUS,
        pah.currency_code  solicitation_currency,
        PBD.TRADING_PARTNER_CONTACT_NAME AS BID_SUPPLIER_CONTACT,
        PBD.TRADING_PARTNER_CONTACT_ID AS BID_SUPPLIER_CONTACT_ID,
        PBD.TRADING_PARTNER_NAME AS BID_SUPPLIER_NAME,
        PBD.VENDOR_SITE_CODE  AS BID_VENDOR_SITE_CODE,
        PO_VENDOR_SITES_ALL.DUNS_NUMBER,
        PO_VENDOR_SITES_ALL.cage_code cage_code,
        PBD.BID_CURRENCY_CODE offer_currency,
        PBD.SURROG_BID_RECEIPT_DATE  Offer_Received_Time,
        PBD.BID_EXPIRATION_DATE Offer_Valid_Until,
        bl.LINE_NUM_DISPLAY,
        DECODE(NVL(msi.allow_item_desc_update_flag, 'Y'), 'Y' ,BL.ITEM_DESCRIPTION ,'N' , msit.description) AS BIDLINE_ITEM_DESC,
        paip.item_number || nvl2(paip.item_revision, ', ', '') || paip.item_revision  item,
        decode(BL.CLM_INFO_FLAG,'Y',PO_PON_ECC_UTIL_PVT.get_fnd_message ('PO_YES', '201',fl2.language),PO_PON_ECC_UTIL_PVT.get_fnd_message ('PO_NO', '201',fl2.language)) Informational,
        DECODE(paip.purchase_basis,'GOODS',BL.QUANTITY,null)   AS OFFER_QUANTITY,
        DECODE(paip.purchase_basis,'GOODS',BL.PRICE,null) AS OFFER_PRICE,
        DECODE(paip.purchase_basis,'GOODS',(BL.QUANTITY*BL.PRICE),BL.PRICE) AS AMOUNT,
        BL.PROMISED_DATE AS PROMISED_DATE,
        BL.PROMISE_POP_START_DATE,
        BL.PROMISE_POP_END_DATE,
        decode(POHA1.TYPE_LOOKUP_CODE,'STANDARD',BL.ORDER_NUMBER,null) AS BIDLINE_ORDER_NUMBER,
        BID_LINE_REF.LINK_TYPE,
        decode(BID_LINE_REF.LINK_TYPE,'ALTERNATE',PO_PON_ECC_UTIL_PVT.get_fnd_message ('PO_YES', '201',fl2.language),null) BIDLINE_LINK_TYPE,
        /*DECODE(BID_LINE_REF.LINK_TYPE , NULL,DECODE(BL.AUCTION_LINE_NUMBER,-1,FL3.MEANING,NULL),FL3.MEANING) AS BIDLINE_LINK_TYPE,*/
        fl2.language,
        bl.clm_idc_type,
        po_pon_ecc_util_pvt.get_lookup_meaning(bl.clm_idc_type,'PO_FEDERAL_IDC_TYPES',201,fl2.language)          idc_type,
        bl.clm_cost_constraint,
        po_pon_ecc_util_pvt.get_lookup_meaning(bl.clm_cost_constraint,'PO_FEDERAL_COST_CONSTRAINTS',201,fl2.language)   cost_constraint,
        po_pon_ecc_util_pvt.get_lookup_meaning(bl.clm_contract_type,DECODE(paip.purchase_basis,'GOODS','PO_FEDERAL_CONTRACT_TYPES_QTY','PO_FEDERAL_CONTRACT_TYPES_AMT'
),201,fl2.language) contract_type,
        (SELECT units.UNIT_OF_MEASURE_TL
               FROM mtl_units_of_measure_tl units
               WHERE
               bl.UOM = units.uom_code
               AND units.language  = fl2.LANGUAGE) as  unit,
               PBD.IDV_HEADER_ID,
               PBD.EXTERNAL_IDV,
               POHA.segment1 internal_idv,
               paip.CLM_NEED_BY_DATE,
               PO_PON_ECC_UTIL_PVT.get_lookup_meaning(paip.EXHIBIT_NUMBER,'PO_CLM_EXHIBIT_NUMBER',201,fl2.language)
 AS EXHIBIT,
 CASE
WHEN BL.clm_option_indicator IS NULL OR paip.exhibit_number IS NOT NULL THEN ''
WHEN BL.clm_option_indicator = 'B' THEN ''
ELSE PO_PON_ECC_UTIL_PVT.get_fnd_message ('PO_YES', '201',fl2.language)
END AS CLM_OPTION,
(select loc.LOCATION_CODE from hr_locations_all_tl loc
where paip.ship_to_location_id = loc.location_id
and  loc.language=fl2.language)  as SHIP_TO,
decode(nvl(bl.HAS_USER_BID_FLAG, 'N'),null,'Y') as OFFERED,
pah.org_id,
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NEG_TEAM_MEMBERS,
decode(POHA1.TYPE_LOOKUP_CODE,'BLANKET',BL.ORDER_NUMBER,'CONTRACT',BL.ORDER_NUMBER,null) IDV
 FROM  	PON_BID_HEADERS PBD,
        PON_BID_ITEM_PRICES BL,
        PON_AUCTION_HEADERS_ALL PAH,
        pon_auction_item_prices_all paip,
        FND_LOOKUP_VALUES FL2,
        FND_LOOKUP_VALUES FL3,
        PO_HEADERS_ALL POHA,
        PO_HEADERS_ALL POHA1,
        ap_supplier_SITES_ALL PO_VENDOR_SITES_ALL,
        MTL_SYSTEM_ITEMS_TL msit ,
        mtl_system_items_kfv msi,
        FINANCIALS_SYSTEM_PARAMS_ALL fsp,
        po_session_gt gt,
         (SELECT PBF.AUCTION_HEADER_ID,PBF.BID_NUMBER,PBF.LINE_NUMBER,
                MAX(PBF.AUCTION_LINE_NUMBER) AS AUCTION_LINE_NUMBER ,
                MAX(PBF.LINK_TYPE) AS LINK_TYPE,
                MAX(PBF.LINK_DONE_BY) AS LINK_DONE_BY
        FROM PON_BID_ITEM_REFERENCES PBF
        GROUP BY PBF.AUCTION_HEADER_ID,PBF.BID_NUMBER,PBF.LINE_NUMBER) BID_LINE_REF
WHERE	  PBD.bid_number= gt.num2
AND     BL.line_number = gt.num3 (+)
AND     gt.key = 3134039
AND     PAH.AUCTION_HEADER_ID=PBD.AUCTION_HEADER_ID
AND     PBD.AUCTION_HEADER_ID = BL.AUCTION_HEADER_ID
AND   	PBD.BID_NUMBER = BL.BID_NUMBER
AND     BL.BID_NUMBER = BID_LINE_REF.BID_NUMBER(+)
AND     BL.AUCTION_HEADER_ID = BID_LINE_REF.AUCTION_HEADER_ID(+)
AND     BL.LINE_NUMBER = BID_LINE_REF.LINE_NUMBER(+)
and     BL.AUCTION_HEADER_ID= PAIP.AUCTION_HEADER_ID(+)
and     BL.AUCTION_LINE_NUMBER=PAIP.LINE_NUMBER(+)
and     pbd.VENDOR_SITE_ID = PO_VENDOR_SITES_ALL.VENDOR_SITE_ID(+)
AND   	FL2.LOOKUP_TYPE = 'PON_BID_STATUS'
AND   	FL2.LOOKUP_CODE = PBD.BID_STATUS
AND     FL2.LANGUAGE in ( 'US')
AND     FL3.LOOKUP_TYPE(+) = 'PON_UNSOL_LINK_TYPE'
AND	    FL3.LOOKUP_CODE(+) = NVL(BID_LINE_REF.LINK_TYPE,'ADDITIONAL')
AND     nvl(FL3.LANGUAGE,FL2.LANGUAGE) =  FL2.LANGUAGE
AND paip.ORG_ID = fsp.ORG_ID(+)
AND msit.INVENTORY_ITEM_ID(+)    = paip.ITEM_ID
AND NVL(msit.organization_id,fsp.inventory_organization_id) = fsp.inventory_organization_id
AND msi.INVENTORY_ITEM_ID(+)   = paip.ITEM_ID
AND NVL(msi.organization_id,fsp.inventory_organization_id)  = fsp.inventory_organization_id
AND nvl(msit.language,FL2.LANGUAGE)    =   FL2.LANGUAGE
AND     pbd.IDV_HEADER_ID = POHA.PO_HEADER_ID(+)
AND     BL.PO_HEADER_ID = POHA1.PO_HEADER_ID(+)
) PIVOT (max(buyer) as buyer,
                         max(BID_STATUS) as BID_STATUS,
                         max(BIDLINE_LINK_TYPE) as BIDLINE_LINK_TYPE,
                         max(idc_Type) as idc_Type,
                         max(cost_constraint) as cost_constraint,
                         max(unit) as unit,
                         max(contract_type) as contract_type,
                         max(EXHIBIT) as EXHIBIT,
                         max(ship_to) as ship_to,
                         max(CLM_OPTION) as CLM_OPTION,
                         max(informational) as informational,
                         max(BIDLINE_ITEM_DESC) as BIDLINE_ITEM_DESC
                         FOR LANGUAGE in ('US' "US"))</t>
  </si>
  <si>
    <t xml:space="preserve">There is SQLException while applying load rule for dataset po-clm-award for job 56,931.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</si>
  <si>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select * from (select
          orc.contract_id||'-'||ord.deliverable_id as ecc_spec_id,
          orc.contract_id acquisition_plan_summary,
          orc.contract_number acquisition_plan_number,
          orc.contract_name name,
          lkup1.meaning status,
          lkup1.language doc_language,
          orc.contract_status_code,
          orc.latest_signed_ver_number,
          orc.contract_version_num version,
          orc.version_comments,
          orc.contract_desc as description,
          orc.org_id,
          ou.name   operating_unit,
          orc.contract_type contract_type_code,
          docs.name contract_type,
          orc.owner_id,
          (select nvl(pf.full_name, fu.user_name)
          from   per_all_people_f   pf,
                  fnd_user    fu
          where  fu.user_id = orc.owner_id
          and    pf.person_id (+) = fu.employee_id
          and   (fu.employee_id is null or pf.effective_start_date = (select max(effective_start_date)
                                                                      from   per_all_people_f
                                                                      where  person_id = fu.employee_id)))  administrator,
          orc.currency_code currency,
          orc.amount,
          orc.contract_effective_date as effective_date,
          orc.contract_expiration_date as expiration_date,
          orc.reference_document_type source_doc_type,
          orc.reference_document_number source_doc_reference,
          orc.reference_document_id source_doc_id,
          (select nvl(pf.full_name, fu.user_name)
                  from   per_all_people_f   pf,
                        fnd_user    fu
                  where  fu.user_id = orc.contract_last_updated_by
                  and    pf.person_id (+) = fu.employee_id
                  and   (fu.employee_id is null or pf.effective_start_date = (select max(effective_start_date)
                                                                              from   per_all_people_f
                                                                              where  person_id = fu.employee_id))) last_updated_by,
          trunc(orc.contract_last_update_date) as last_updated_date,
          PO_ACQUISITION_ECC_UTIL_PVT.get_next_approver(orc.contract_id) AS next_approver_id,
          orc.authoring_party_code,
          orc.overall_risk_code,
          orc.cancellation_comments,
          orc.cancellation_date,
          orc.termination_comments,
          orc.termination_date,
          orc.keywords,
          orc.object_version_number,
          Trunc(orc.contract_expiration_date) - Trunc(orc.contract_effective_date) planned_duration,
          CASE
            when orc.contract_status_code &lt;&gt; 'APPROVED'
              THEN null
            when trunc(orc.contract_effective_date) &lt; trunc(sysdate)
              THEN Decode(
                  (SELECT 'INCOMPLETE' FROM okc_deliverables WHERE business_document_id=orc.contract_id AND deliverable_status&lt;&gt;'COMPLETED'
                    AND ROWNUM &lt;2),
                  'INCOMPLETE', (Trunc(SYSDATE) - Trunc(contract_effective_date)),
                  --NULL )
                  (SELECT Max(Trunc(completion_date)) FROM okc_deliverables WHERE orc.contract_id = business_document_id AND deliverable_status='COMPLETED'
                    --AND (business_document_version(+) = Decode(t1.contract_status_code,'APPROVED',t1.contract_version_num,-99))
                    ) - Trunc(orc.contract_effective_date))
            ELSE null
          end elapsed_duration,
          (SELECT
                LISTAGG(replace(wfn.TO_USER,',',''),'|') WITHIN GROUP  (ORDER BY orc.contract_id) AS approval_pending_with
                  FROM
                  wf_notifications wfn,
                  wf_item_activity_statuses wfa
                WHERE
                          wfn.notification_id = wfa.notification_id
                         AND wfa.item_type         = 'OKCREPMA'
                         AND SUBSTR(wfa.item_key, 0, INSTR(wfa.item_key, '_')-1) =  orc.WF_ITEM_KEY
                         AND wfn.status            = 'OPEN'
                  GROUP BY orc.contract_id) current_approvers,
          ord.deliverable_id milestone,
          ord.deliverable_type,
          ord.deliverable_name milestone_name,
          ord.description milestone_description,
          ord.fixed_due_date_yn,
          ord.actual_due_date due_date,
          ord.internal_party_contact_id,
          (select buyer_contact.full_name
            from   per_all_people_f buyer_contact
            where  buyer_contact.person_id = ord.internal_party_contact_id
            and  buyer_contact.effective_start_date &lt;= sysdate
            and (buyer_contact.effective_end_date is null or buyer_contact.effective_end_date&gt; sysdate)
          ) milestone_owner,
          ord.schedule_type,
          ord.fixed_start_date,
          ord.fixed_end_date,
          ord.internal_party_id,
          ord.deliverable_status milestone_status_code,
          CASE
            WHEN orc.contract_status_code='REJECTED' THEN lkup1.meaning
            WHEN ord.DELIVERABLE_STATUS='INACTIVE' THEN fnd_message.get_string('PO','PO_ECC_ACQUISITION_DRAFT')
            WHEN ord.DELIVERABLE_STATUS='COMPLETED' THEN PO_PON_ECC_UTIL_PVT.get_lookup_meaning(ord.deliverable_status,'OKC_DELIVERABLE_STATUS',0,lkup1.language)
            WHEN ord.DELIVERABLE_STATUS='FAILED_TO_PERFORM' THEN  PO_PON_ECC_UTIL_PVT.get_lookup_meaning(ord.deliverable_status,'OKC_DELIVERABLE_STATUS',0,lkup1.language)
            WHEN trunc(ord.actual_due_date) &gt;= SYSDATE and trunc(ord.actual_due_date) &lt; Trunc(NEXT_DAY(sysdate, 'SUNDAY')) AND ord.deliverable_status='OPEN'
            THEN  fnd_message.get_string('PO','PO_ECC_ACQUISITION_DUE')
            WHEN trunc(ord.actual_due_date) &lt; SYSDATE AND ord.deliverable_status='OPEN' THEN
            fnd_message.get_string('PO','PO_ECC_ACQUISITION_OVERDUE')
            ELSE fnd_message.get_string('PO','PO_ECC_ACQUISITION_OPEN')
          END milestone_status_derived,
          PO_PON_ECC_UTIL_PVT.get_lookup_meaning(ord.deliverable_status,'OKC_DELIVERABLE_STATUS',0,lkup1.language) milestone_status,
          ord.business_document_version,
          ord.start_event_date,
          ord.end_event_date,
          ord.del_category_code,
          ord.external_party_id,
          ord.external_party_contact_id,
          ord.external_party_role,
          ord.comments milestone_comments,
          ord.completion_date,
          Trunc(ord.actual_due_date) - Trunc(orc.contract_effective_date) milestone_planned_duration,
          CASE
          WHEN ord.deliverable_status='COMPLETED' THEN Trunc(ord.completion_date) -Trunc(orc.contract_effective_date)
          WHEN trunc(orc.contract_effective_date) &gt; trunc(sysdate) THEN null
          WHEN Trunc(orc.contract_effective_date) &lt; Trunc(SYSDATE) AND ord.actual_due_date IS NOT null THEN
               Trunc(SYSDATE) - Trunc(orc.contract_effective_date)
          end milestone_elapsed_duration
          FROM OKC_REP_CONTRACTS_ALL orc,
          okc_deliverables ord,
          FND_LOOKUP_VALUES  lkup1,
          HR_ALL_ORGANIZATION_UNITS_tl ou,
          okc_bus_doc_types_tl docs
          WHERE
          CONTRACT_TYPE='REP_ACQ'
          AND orc.creatioN_date &gt;= nvl(fnd_date.Canonical_to_date(fnd_profile.Value('PO_CLM_DASHBOARD_CUT_OFF')),orc.creation_date)
          AND orc.contract_id = ord.business_document_id(+)
          AND lkup1.lookup_type = 'OKC_REP_CONTRACT_STATUSES'
          AND   lkup1.lookup_code = orc.contract_status_code
          AND lkup1.language in ('US')
          and ou.organization_id = orc.org_id
          and ou.language = lkup1.language
          and docs.document_type = orc.contract_type
          and docs.language = lkup1.language
          AND ord.business_document_version(+) = Decode(orc.contract_status_code,'APPROVED',orc.contract_version_num,-99)
          AND orc.creatioN_date &gt;= nvl(fnd_date.Canonical_to_date(fnd_profile.Value('PO_CLM_DASHBOARD_CUT_OFF')),orc.creation_date)
          AND (Greatest(orc.last_update_date,Nvl(ord.last_update_date,orc.last_update_date)) &gt; to_date(to_char(to_timestamp('23-APR-20'),'DD-MON-YY HH24.MI.SS'),'DD-MON-YY HH24.MI.SS')
               OR
               orc.contract_effective_date &lt;= sysdate )
          ) pivot(Max(status) AS status,
                                     Max(milestone_status) AS milestone_status,
                                     Max(operating_unit) AS operating_unit,
                                     Max(contract_type) AS contract_type,
                                     Max(milestone_status_derived) AS milestone_status_derived
                                     FOR doc_language IN ('US' "US")) </t>
  </si>
  <si>
    <t>SELECT * from (select pah.auction_header_id||'-'|| prt.protest_id ECC_SPEC_ID,
        pah.auction_header_id,
        pah.document_number SOLICITATION_NUMBER,
        po_pon_ecc_util_pvt.get_auction_status(pah.auction_header_id, hrou.language) document_status,
        pon_locale_pkg.get_party_display_name(pah.trading_partner_contact_id,12,hrou.language) buyer,
        prt.protest_id
      ,prt.protest_number
      ,prt.description protest_description
      ,prt.protest_category protest_category_code
      ,PO_PON_ECC_UTIL_PVT.get_lookup_meaning(prt.protest_category,'PO_PROTEST_CATEGORY',201,HROU.LANGUAGE) protest_category
      ,prt.protest_status protest_status_code
      ,PO_PON_ECC_UTIL_PVT.get_lookup_meaning(prt.protest_status,'PO_PROTEST_STATUS',201,HROU.LANGUAGE) protest_status
      ,DECODE(prt.protest_status, 'CLOSED', 'No', 'Yes') pending_solicitation_protests
      ,prt.document_id protest_document_id
      ,prt.document_type protest_document_type_code
      ,prt.created_by protest_created_by_id
      ,pon_locale_pkg.get_party_display_name(users.person_party_id) protest_created_by
      ,PO_PON_ECC_UTIL_PVT.get_lookup_meaning(prt.document_type,'DOCUMENT TYPE',201,HROU.LANGUAGE) protest_Document_Type
      ,prt.protest_case_number
      ,prt.filing_date protest_filing_date
      ,prt.resolution_date protest_resolution_date
      ,decode(nvl(prt.protestor_in_system,'N'),'Y',PO_PON_ECC_UTIL_PVT.get_fnd_message ('PO_YES', '201',hrou.language),PO_PON_ECC_UTIL_PVT.get_fnd_message ('PO_NO', '201',hrou.language)) protestor_in_system
       ,prt.supplier_id protest_supplier_id,
        prt.supplier_contact_name protest_Supplier_User,
        prt.supplier_name protest_Supplier_Organization,
        prt.supplier_contact_id protest_supp_contact_id,
        prt.address protest_address,
        prt.phone protest_telephone_number,
        prt.email protest_email,
        prt.fax protest_fax,
        prt.cage_code protest_CAGE_NCAGE_Code,
        prt.duns protest_duns_number,
        HROU.LANGUAGE LANGUAGE,
        pah.org_id,
     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    po_protests prt,
        fnd_user users,
        pon_auction_headers_all pah,
        HR_ALL_ORGANIZATION_UNITS_TL HROU
WHERE   prt.document_type = 'SOLICITATION'
        AND pah.auction_status NOT IN ('APPLIED','DELETED')
        AND users.user_id=    prt.created_by
        AND pah.auction_header_id= prt.document_id
        AND HROU.ORGANIZATION_ID = pah.ORG_ID
        and HROU.language in ( 'US')
         AND prt.last_update_date &gt; to_date(to_char(to_timestamp('23-APR-20'),'DD-MON-YY HH24.MI.SS'),'DD-MON-YY HH24.MI.SS')) PIVOT (max(protest_category) as protest_category,
                         max(protest_status) as protest_status,
                         max(protest_Document_Type) as protest_Document_Type,
                         max(buyer) as buyer,
                         max(document_status) as document_status,
                         max(protestor_in_system) as  protestor_in_system
                         FOR LANGUAGE in ('US' "US"))</t>
  </si>
  <si>
    <t>SELECT * FROM ( SELECT gt.char1 ecc_spec_id,
        msg.message_text document_status,
        msg.language_code
FROM    po_headers_all poh,
        po_session_gt gt,
        fnd_new_messages msg
WHERE   poh.po_header_id = gt.index_num2
AND     poh.clm_closeout_status IS  NULL
AND     msg.application_id = 201
AND     msg.language_code in ( 'US')
AND     msg.message_name = decode (nvl (poh.authorization_status
                                       ,'INCOMPLETE')
                                  ,'INCOMPLETE'
                                  ,'PO_STATUS_INCOMPLETE'
                                  ,'IN PROCESS'
                                  ,'PO_STATUS_IN_PROCESS'
                                  ,'PRE-APPROVED'
                                  ,'PO_STATUS_PRE_APPROVED'
                                  ,'REJECTED'
                                  ,'PO_STATUS_REJECTED'
                                  ,'APPROVED'
                                  ,'PO_STATUS_APPROVED')
AND     gt.key = 3134034 ) PIVOT ( max(document_status) as document_status
                                             FOR language_code in ( 'US' "US"))</t>
  </si>
  <si>
    <t>SELECT * FROM ( SELECT gt.char1 ecc_spec_id,
        flv.meaning document_status,
        flv.language
FROM    po_headers_all poh,
        po_session_gt gt,
        fnd_lookup_values flv
WHERE   poh.po_header_id = gt.index_num2
AND     poh.clm_closeout_status IS NOT NULL
AND     flv.view_application_id (+) = 201
AND     flv.lookup_type  = 'PO_CLM_CLOSEOUT_STATUS'
AND     flv.lookup_code  = poh.clm_closeout_status
AND     flv.language in ( 'US')
AND     gt.key = 3134034 ) PIVOT ( max(document_status) as document_status
                                             FOR language in ( 'US' "US"))</t>
  </si>
  <si>
    <t>SELECT * FROM ( SELECT gt.char1 ecc_spec_id
        ,flv.meaning protest_category
        ,flv.language
FROM    po_protests prt,
        po_session_gt gt,
        fnd_lookup_values flv
WHERE   prt.document_id = gt.index_num2
AND     prt.protest_id = gt.num2
AND     flv.lookup_type = 'PO_PROTEST_CATEGORY'
AND     flv.lookup_code = prt.protest_category
AND     flv.view_application_id = 201
AND     flv.language in ( 'US')
AND     gt.key = 3134034 ) PIVOT ( max(protest_category) as protest_category
                                             FOR language in ( 'US' "US"))</t>
  </si>
  <si>
    <t>SELECT * FROM ( SELECT gt.char1 ecc_spec_id
        ,flv.meaning protest_status
        ,flv.language
FROM    po_protests prt,
        po_session_gt gt,
        fnd_lookup_values flv
WHERE   prt.document_id = gt.index_num2
AND     prt.protest_id = gt.num2
AND     flv.lookup_type = 'PO_PROTEST_STATUS'
AND     flv.lookup_code = prt.protest_status
AND     flv.view_application_id = 201
AND     flv.language in ( 'US')
AND     gt.key = 3134034 ) PIVOT ( max(protest_status) as protest_status
                                             FOR language in ( 'US' "US"))</t>
  </si>
  <si>
    <t>SELECT * FROM ( SELECT  gt.char1 ecc_spec_id
       ,prt.protest_id
       ,prt.protest_number
       ,prt.description protest_description
       ,prt.document_type protest_document_type_code
       ,prt.protest_case_number
       ,prt.filing_date protest_filing_date
       ,prt.resolution_date protest_resolution_date
       ,decode(nvl(prt.protestor_in_system,'N'),'Y','Y',null) protestor_in_system
       ,prt.supplier_id protest_supplier_id
       ,prt.supplier_contact_name protest_Supplier_User
       ,prt.supplier_name protest_Supplier_Organization
       ,prt.supplier_contact_id protest_supp_contact_id
       ,prt.address protest_address
       ,prt.phone protest_telephone_number
       ,prt.email protest_email
       ,prt.fax protest_fax
       ,prt.cage_code protest_CAGE_NCAGE_Code
       ,prt.duns protest_duns_number
       ,DECODE(prt.protest_status, 'CLOSED', 'N', 'Y') open_protest
       ,pdslt.display_name protest_document_type
       ,pdslt.language
       ,prt.document_number
       ,prt.document_id
       ,ppf.full_name document_owner
       ,EMP.full_name protest_created_by
FROM    po_protests prt,
        po_headers_all poh,
        po_doc_style_lines_tl pdslt,
        po_session_gt gt,
        PER_ALL_PEOPLE_F ppf,
        fnd_user FU,
     	per_workforce_current_x EMP
WHERE   prt.document_id = gt.index_num2
AND     poh.po_header_id = gt.index_num2
AND     pdslt.style_id = poh.style_id
AND     pdslt.document_subtype = poh.type_lookup_code
AND     ppf.person_id = poh.agent_id
AND     fu.user_id = prt.created_by
AND     fu.employee_id = EMP.person_id
AND     prt.protest_id = gt.num2
AND     pdslt.language in ( 'US')
AND     gt.key = 3134034 ) PIVOT ( max(protest_document_type) as protest_document_type
                                             FOR language in ( 'US' "US"))</t>
  </si>
  <si>
    <t xml:space="preserve">There is SQLException while applying load rule for dataset po-clm-idv for job 56,931.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</si>
  <si>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 xml:space="preserve"> select * from ( select pah.auction_header_id||'-'||deliverable.deliverable_id as ECC_SPEC_ID,
       deliverable.deliverable_id,
       pah.auction_header_id,
       pah.document_number solicitation_number,
       deliverable.business_document_id,
       deliverable.BUSINESS_DOCUMENT_NUMBER,
       deliverable.business_document_version,
       'Y' AS deliverables_record,
       deliverable.deliverable_name,
       deliverable.deliverable_status deliverable_status_code,
       PO_PON_ECC_UTIL_PVT.get_lookup_meaning(deliverable.deliverable_status,'OKC_DELIVERABLE_STATUS',0,deliverabletypes_tl.language) deliverable_status,
       deliverable.del_category_code,
       PO_PON_ECC_UTIL_PVT.get_lookup_meaning(deliverable.del_category_code,'OKC_DEL_CATEGORIES',0,deliverabletypes_tl.language) deliverable_category,
       deliverable.deliverable_type deliverable_type_code,
       deliverabletypes_tl.name deliverable_type,
       resp_party_tl.name responsible_party,
              (CASE deliverable.responsible_party WHEN 'INTERNAL_ORG' THEN
                org.name
               ELSE
                okc_deliverable_process_pvt.get_party_name(deliverable.external_party_id,deliverable.responsible_party)
               END) party_name,
               deliverable.description,
               (SELECT Name
              FROM   HR_ALL_ORGANIZATION_UNITS_TL  hrou
              WHERE  deliverable.internal_party_id = hrou.organization_id
                      and hrou.language = deliverabletypes_tl.language) Internal_Organization,
               (SELECT distinct buyer_contact.full_name
              FROM   per_all_people_f buyer_contact
              WHERE  buyer_contact.person_id = deliverable.internal_party_contact_id
               AND  buyer_contact.effective_start_date &lt;= SYSDATE
      AND (buyer_contact.effective_end_date is NULL OR buyer_contact.effective_end_date&gt; sysdate)
       )  Internal_Contact,
       (SELECT party_name
              FROM   hz_parties
              WHERE  party_id = deliverable.external_party_contact_id)  supplier_contact,
       (SELECT distinct requester_contact.full_name
              FROM   per_all_people_f requester_contact
              WHERE  deliverable.requester_id = requester_contact.person_id
              AND requester_contact.effective_start_date &lt;= SYSDATE
             AND (requester_contact.effective_end_date is NULL OR requester_contact.effective_end_date&gt; sysdate)
      ) requestor_name ,
      busdoc_tl.name Document_Type,
      deliverable.completion_date actual_date_of_completion,
      deliverable.actual_due_date due_date,
      deliverable.comments notes,
      deliverable.description deliverable_description,
   DECODE(deliverable.deliverable_status, 'OPEN', 'Yes', 'SUBMITTED', 'Yes', 'No') deliverable_due_flag,
   CASE
	 WHEN
	   deliverable.actual_due_date &lt; sysdate and deliverable.deliverable_status = 'OPEN'
	 THEN 'OA_MEDIA/warningind_status.gif'
   else
   null
   end deliverable_alert,
case
   when deliverable.completion_date is not null and deliverable.deliverable_status = 'COMPLETED' then
     case
       when deliverable.completion_date &lt;= deliverable.actual_due_date  then
        PO_PON_ECC_UTIL_PVT.get_fnd_message ('PO_YES', '201',deliverabletypes_tl.language)
       else
        PO_PON_ECC_UTIL_PVT.get_fnd_message ('PO_NO', '201',deliverabletypes_tl.language)
       end
     else
      null
     end as on_time_completion,
   deliverabletypes_tl.language language ,
   pah.org_id,
   pah.SECURITY_LEVEL_CODE,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pntm.auction_header_id=pah.auction_header_id
                  GROUP BY pntm.auction_header_id) NEG_TEAM_MEMBERS
FROM
  okc_deliverables deliverable,
  okc_deliverable_types_tl deliverabletypes_tl,
  hr_all_organization_units org,
  okc_resp_parties_tl resp_party_tl,
  okc_bus_doc_types_b busdoc,
  okc_bus_doc_types_tl busdoc_tl,
  pon_bid_headers pbh,
  pon_auction_headers_all pah
WHERE
  pah.auction_status NOT IN ('APPLIED','DELETED')
  AND pbh.auction_header_id=pah.auction_header_id
  AND deliverable.business_document_type='SOLICITATION_RESPONSE'
  AND deliverable.deliverable_status &lt;&gt; 'INACTIVE'
  AND deliverable.business_document_id=pbh.bid_number
  AND deliverable.deliverable_type = deliverabletypes_tl.deliverable_type_code
  AND deliverabletypes_tl.language = deliverabletypes_tl.language
  and deliverable.internal_party_id = org.organization_id (+)
  and deliverable.responsible_party = resp_party_tl.resp_party_code
  and busdoc.document_type_class = resp_party_tl.document_type_class
  and busdoc.intent = resp_party_tl.intent
  and resp_party_tl.language = deliverabletypes_tl.language
  and deliverable.business_document_type = busdoc.document_type
  and busdoc.intent = resp_party_tl.intent
  and busdoc.document_type = busdoc_tl.document_type
  AND busdoc_tl.language = deliverabletypes_tl.language
  and deliverabletypes_tl.language in ( 'US')
  AND (deliverable.last_update_date &gt; to_date(to_char(to_timestamp('23-APR-20'),'DD-MON-YY HH24.MI.SS'),'DD-MON-YY HH24.MI.SS')
                OR (trunc(deliverable.creation_date) &gt;= trunc(to_date(to_char(to_timestamp(nvl(fnd_date.Canonical_to_date(fnd_profile.Value('PO_CLM_DASHBOARD_CUT_OFF')),deliverable.creation_date)),'DD-MON-YY HH24.MI.SS'),'DD-MON-YY HH24.MI.SS'))
                     and deliverable.actual_due_date &lt; sysdate and deliverable.deliverable_status = 'OPEN'
                     and to_date(to_char(to_timestamp('23-APR-20'),'DD-MON-YY HH24.MI.SS'),'DD-MON-YY HH24.MI.SS')&lt;=deliverable.actual_due_date))) PIVOT (max(deliverable_status) as deliverable_status,
                         max(deliverable_category) as deliverable_category,
                         max(deliverable_type) as deliverable_type,
                         max(responsible_party) as responsible_party,
                         max(Document_Type) as Document_Type,
                         max(Internal_Organization) as Internal_Organization,
                         max(on_time_completion) as on_time_completion
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</si>
  <si>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3134032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3134032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</si>
  <si>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 select * from (
SELECT
       ah.auction_header_id||'-'||pfi.form_id||'-'||'FEDBIZ'||'-'||Forms.form_code ECC_SPEC_ID,
       ah.AUCTION_HEADER_ID AUCTION_HEADER_ID,
       ah.document_number solicitation_number,
       pfi.STATUS current_status_code,
       pfi.LAST_UPDATE_DATE action_date,
       fl_federal_exc.MEANING exception_reason,
      CASE WHEN Forms.FORM_CODE is not null THEN
       Pfst.form_name
       ELSE
        PO_PON_ECC_UTIL_PVT.get_fnd_message ('PO_ECC_PRE_SOL', '201',hrou.language)
        END form_name,
       'FEDBIZ' form_type_code,
      case when  form_code is null then
       PO_PON_ECC_UTIL_PVT.get_fnd_message ('PO_ECC_NOT_CRT', '201',hrou.language)
       else
       CASE WHEN Forms.form_code='ABSTRACT' THEN
        CASE WHEN pfi.STATUS='PUBLISHED' THEN
        PO_PON_ECC_UTIL_PVT.get_fnd_message ('PON_PUBLISHED', '396',hrou.language)
        ELSE
        PO_PON_ECC_UTIL_PVT.get_fnd_message ('PON_NOT_PUBLISHED', '396',hrou.language)
         END
       ELSE
         CASE WHEN pfi.STATUS='DATA_ENTERED' THEN
         PO_PON_ECC_UTIL_PVT.get_fnd_message ('PON_DATA_ENTERED', '396',hrou.language)
        WHEN pfi.STATUS='POSTED' THEN
         PO_PON_ECC_UTIL_PVT.get_fnd_message ('PON_POSTED', '396',hrou.language)
         WHEN pfi.STATUS='FAILED_POSTED' THEN
          PO_PON_ECC_UTIL_PVT.get_fnd_message ('FAILED_POSTED', '396',hrou.language)
          WHEN pfi.STATUS='FBO_INPROCESS' THEN
          PO_PON_ECC_UTIL_PVT.get_fnd_message ('PON_FBO_INPROCESS', '396',hrou.language)
          WHEN pfi.STATUS='FBO_ERROR' THEN
          PO_PON_ECC_UTIL_PVT.get_fnd_message ('FBO_ERROR', '396',hrou.language)
           ELSE
          PO_PON_ECC_UTIL_PVT.get_fnd_message ('PON_NO_DATA_ENTERED', '396',hrou.language)
         END
        END
       end AS form_current_status,
       hrou.language,
null as control_number,
'No'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NEG_TEAM_MEMBERS,
                  pfi.form_id,
                  ah.DOCTYPE_ID,
                  ah.ABSTRACT_STATUS,
                  ah.INCLUDE_PDF_IN_EXTERNAL_PAGE ABSTRACT_PDF_FLAG,
                  null CONTRACT_VERSION,
                  case when  form_code is not null and pfi.STATUS&lt;&gt; 'NOT_ENTERED' then
                  'Y'
                  else
                  'N'
                  end show_view_action
FROM PON_FORMS_INSTANCES pfi,
       PON_FORMS_SECTIONS_TL pfst,
       PON_FORMS_SECTIONS Forms,
       pon_auction_headers_all ah,
       fnd_lookup_values fl_federal_exc,
       HR_ALL_ORGANIZATION_UNITS_TL HROU,
       po_session_gt gt
WHERE
    ah.auction_header_id= gt.num1
    AND gt.key = 3134031
    and hrou.organization_id (+) = ah.org_id
and hrou.language in ( 'US')
AND ah.auction_header_id=pfi.entity_pk1(+)
AND pfst.FORM_ID(+)=pfi.FORM_ID
AND Forms.FORM_ID(+)=pfst.FORM_ID
AND nvl(pfst.language,hrou.language)=hrou.language
AND pfi.ENTITY_CODE(+)='PON_AUCTION_HEADERS_ALL'
AND fl_federal_exc.lookup_type(+) = 'PON_FEDERAL_PUBLICATION'
AND fl_federal_exc.lookup_code(+) = ah.federal_publication_exception
AND nvl(fl_federal_exc.language,hrou.language) = hrou.language
AND (ah.federal_publication_exception IS NOT NULL OR pfi.FORM_ID IS NOT NULL
     or pon_clm_okc_integ_pkg.get_sol_total_amt(ah.auction_header_id) &gt; 25000)
UNION ALL
SELECT
ah.auction_header_id||'-'||'SBCR'||'-'||orca.contract_number  ECC_SPEC_ID,
ah.auction_header_id,
ah.document_number solicitation_number,
Decode(orcu.contract_id,NULL,'NOT_CREATED',orca.contract_status_code) current_status_code,
orca.LAST_UPDATE_DATE action_date,
null as exception_reason,
'SBCR' FORM_NAME,
'SBCR' form_type_code,
CASE WHEN orcu.contract_id IS NULL THEN
           PO_PON_ECC_UTIL_PVT.get_fnd_message ('PO_ECC_NOT_CRT', '201',hrou.language)
           ELSE statuslkup.meaning
     END form_current_status,
     hrou.language,
orca.contract_number CONTROL_NUMBER,
CASE WHEN orca.contract_status_code IN ('CANCELLED','SIGNED','TERMINATED') THEN
'No'
ELSE
'Yes' end is_sbcr_open,
ah.org_id,
ah.SECURITY_LEVEL_CODE,
             (SELECT
                LISTAGG(pntm.user_id,'|') WITHIN GROUP  (ORDER BY pntm.auction_header_id) AS NEG_TEAM_MEMBERS
                  FROM
                  pon_neg_team_members pntm
                WHERE
                  pntm.auction_header_id=ah.auction_header_id
                  GROUP BY pntm.auction_header_id) NEG_TEAM_MEMBERS ,
                  orcu.contract_id form_id,
                  ah.DOCTYPE_ID,
                  ah.ABSTRACT_STATUS,
                  ah.INCLUDE_PDF_IN_EXTERNAL_PAGE ABSTRACT_PDF_FLAG,
                  orcu.CONTRACT_VERSION,
                  case when orcu.contract_id is null then
                  'N'
                  else
                  'Y' end as show_view_action
FROM
pon_auction_headers_all ah,
HR_ALL_ORGANIZATION_UNITS_TL HROU,
okc_rep_contract_usages orcu,
okc_rep_contracts_all orca,
fnd_lookup_values statuslkup,
po_session_gt gt
WHERE
ah.auction_header_id= gt.num1
AND gt.key = 3134031
and hrou.organization_id (+) = ah.org_id
and hrou.language in ( 'US')
AND orcu.business_document_type(+) = 'SOLICITATION'
AND orcu.business_document_id(+) = ah.auction_header_id
AND orcu.contract_type(+) = 'REP_SBCR'
AND orca.contract_type(+)=  'REP_SBCR'
AND orca.contract_id(+) = orcu.contract_id
AND orca.contract_version_num(+) = orcu.contract_version
and statuslkup.lookup_type(+) = 'OKC_REP_CONTRACT_STATUSES'
and statuslkup.lookup_code(+) = orca.contract_status_code
AND nvl(statuslkup.LANGUAGE,hrou.language)= HROU.language
AND (
(ah.auction_status = 'DRAFT' AND po_pon_ecc_util_pvt.IS_SBCR_CREATION_REQUIRED(ah.auction_header_id)='Y' AND nvl(fair_opp_notice_flag,'N')='N')
     OR orcu.contract_id IS NOT NULL)
) pivot(Max(form_name) AS form_name,
                                     Max(form_current_status) AS form_current_status,
                                     max(exception_reason) as exception_reason
                                     FOR LANGUAGE IN ('US' "US"))</t>
  </si>
  <si>
    <t xml:space="preserve">There is SQLException while applying load rule for dataset po-clm-par for job 56,931. Exception details getSingleResult() did not retrieve any entities.; nested exception is javax.persistence.NoResultException: getSingleResult() did not retrieve any entities. org.springframework.orm.jpa.EntityManagerFactoryUtils.convertJpaAccessExceptionIfPossible(EntityManagerFactoryUtils.java:392) org.springframework.orm.jpa.DefaultJpaDialect.translateExceptionIfPossible(DefaultJpaDialect.java:122) org.springframework.orm.jpa.AbstractEntityManagerFactoryBean.translateExceptionIfPossible(AbstractEntityManagerFactoryBean.java:491) org.springframework.dao.support.ChainedPersistenceExceptionTranslator.translateExceptionIfPossible(ChainedPersistenceExceptionTranslator.java:59) </t>
  </si>
  <si>
    <t>While trying to run pending jobs, there were many which shouldn't be the case. So we picked one and kill this as it is redundant for this application po_ppcc. These jobs ids are 56908</t>
  </si>
  <si>
    <t>SELECT * FROM (
  SELECT /*+ leading(apl) cardinality(apl 10) index(apl PO_APPROVED_SUPPLIER_LIST_EN1) */
						DISTINCT
							'ASL_LIST' RECORD_TYPE,
							pov.segment1 || ' - ' || msi.concatenated_segments || psa.vendor_site_code ECC_SPEC_ID,
							pov.segment1 || ' - ' || msi.concatenated_segments || psa.vendor_site_code RECORD_IDENTIFIER,
							pov.segment1  supplier_number,
							pov.vendor_name supplier_name,
							psa.vendor_site_code supplier_site,
							msi.concatenated_segments  item_number,
							msi.description item_description,
							cat.concatenated_segments category_item,
							plc.meaning business_type,
							pst.status asl_status,
							apl.primary_vendor_item supplier_item,
							mma.manufacturer_name manufacturer,
							ORG.ORGANIZATION_ID as ORG_ID,
							1 amount9,
              lang.language_code language
						from
							MTL_SYSTEM_ITEMS_B_KFV msi,
							MTL_CATEGORIES_B_KFV cat,
							po_approved_supplier_list apl,
							AP_SUPPLIERS pov,
							AP_SUPPLIER_SITES_ALL psa,
							mtl_manufacturers mma,
							FND_LOOKUP_VALUES plc,
							po_asl_statuses pst,
							hz_parties hp,
							HZ_PARTY_SITES HPS,
							hz_organization_profiles org_profile	,
							HZ_LOCATIONS HL,
							hz_geo_struct_map_dtl dtl,
							hz_geo_struct_map map,
							HR_ALL_ORGANIZATION_UNITS ORG,
              FND_LANGUAGES lang
						where
							pst.status_id = apl.asl_status_id
							and plc.lookup_type = 'ASL_VENDOR_BUSINESS_TYPE'
							and plc.lookup_code = apl.vendor_business_type
							and plc.VIEW_APPLICATION_ID = 201
              and lang.installed_flag in ('I', 'B')
							and nvl(plc.language, lang.language_code) = lang.language_code
							and SECURITY_GROUP_ID = fnd_global.lookup_security_group(plc.LOOKUP_TYPE,plc.VIEW_APPLICATION_ID)
							and mma.manufacturer_id (+) = apl.manufacturer_id
							and psa.vendor_site_id = apl.vendor_site_id
							and pov.vendor_id = apl.vendor_id
							and psa.org_id = org.organization_id(+)
							and cat.CATEGORY_ID (+) = apl.category_id
							and msi.inventory_item_id = apl.item_id
							and msi.INVENTORY_ITEM_ID(+)  = apl.ITEM_ID
							and msi.ORGANIZATION_ID(+) = apl.OWNING_ORGANIZATION_ID
							AND hp.party_id = pov.party_id
							AND HPS.PARTY_SITE_ID(+) = psa.PARTY_SITE_ID
							AND org_profile.party_id(+)           = pov.party_id
							AND org_profile.effective_end_date(+) IS NULL
							AND dtl.map_id(+)                         = map.map_id
							AND NVL(hl.address_style, 'XX')        = NVL(map.address_style, NVL(hl.address_style, 'XX'))
							AND NVL(map.loc_tbl_name, 'HZ_LOCATIONS')                   = 'HZ_LOCATIONS'
							AND map.country_code(+)                   = hl.country
							AND nvl(dtl.loc_seq_num, 2)                    = 2
							AND HL.LOCATION_ID(+) = HPS.LOCATION_ID
              AND apl.last_update_date &gt;= to_date(to_char(to_timestamp('23-APR-20'),'DD-MON-YY HH24.MI.SS'),'DD-MON-YY HH24.MI.SS') AND  LANG.LANGUAGE_CODE in ('US')
				) PIVOT (
				 MAX(BUSINESS_TYPE) AS BUSINESS_TYPE
				for LANGUAGE in ('US' "US")
				 )</t>
  </si>
  <si>
    <t xml:space="preserve">  SELECT * FROM
	                       (SELECT  DELDATA AS ECC_SPEC_ID,
								 DELDATA AS RECORD_IDENTIFIER,
								 PROJECT_NAME ,
								 ORDER_NUMBER,
								 DELDATA,
								 BUSINESS_DOCUMENT_TYPE,
								 BUSINESS_DOCUMENT_TYPE_CODE,
								 DELIVERABLE_TYPE,
								 DELIVERABLE_TYPE_CODE,
								 DELIVERABLE_STATUS,
								 DELIVERABLE_STATUS_CODE,
								 RESPONSIBLE_PARTY_CODE,
								 RESPONSIBLE_PARTY,
								 DELIVERABLE_NAME,
								 DELIVERABLE_DESCRIPTION,
								 DISPLAY_SEQUENCE,
								 FIXED_DUE_DATE_YN,
								 ACTUAL_DUE_DATE,
								 RECURRING_YN,
								 AMENDMENT_NOTES,
								 STATUS_CHANGE_NOTES,
								 VENDOR_CONTACT_ID,
								 PARTY_NAME,
								 CONTACT,
								 PO_HEADER_ID,
								 DELIVERABLE_HOLD,
								 HOLD_AMOUNT,
								 DAYS_ON_HOLD,
								 ORG_ID,
								 PROJECT_ID,
								 PROJECT_NUMBER,
								 HOLD_DATE,
								 MANAGE_DELIVERABLE,
                                 LANGUAGE
                                 FROM (
										SELECT  pap.name project_name
											   ,poh.segment1 order_number
											   ,del.deliverable_id deldata
											   ,busdoctypes_tl.name business_document_type
											   ,del.business_document_type business_document_type_code
											   ,deliverabletypes_tl.name deliverable_type
											   ,del.deliverable_type deliverable_type_code
											   ,status_lookup.meaning deliverable_status
											   ,del.deliverable_status deliverable_status_code
											   ,del.responsible_party responsible_party_code
											   ,reptl.name responsible_party
											   ,del.deliverable_name
											   ,del.description deliverable_description
											   ,del.display_sequence
											   ,del.fixed_due_date_yn
											   ,del.actual_due_date
											   ,del.recurring_yn
											   ,del.amendment_notes
											   ,del.status_change_notes
											   ,poh.vendor_contact_id
											   ,CASE
												WHEN    del.deliverable_type = 'CONTRACTUAL'
												AND     responsible_party = 'SUPPLIER_ORG'
														THEN
																(
																SELECT  vendor_name
																FROM    ap_suppliers
																WHERE   vendor_id = poh.vendor_id
																)
												ELSE
														(
														SELECT  DISTINCT
																name
														FROM    hr_all_organization_units_tl
														WHERE   organization_id = poh.org_id
														AND     language (+) = lang.language_code
														) END party_name
											   ,CASE
												WHEN    del.deliverable_type = 'CONTRACTUAL'
												AND     responsible_party = 'SUPPLIER_ORG'
														THEN
																(
																SELECT  DISTINCT
																		party_name
																FROM    hz_parties
																WHERE   party_id = poh.vendor_contact_id
																)
												ELSE
														(
														SELECT  DISTINCT
																full_name
														FROM    per_all_people_f
														WHERE   person_id = del.internal_party_contact_id
														) END contact
											   ,poh.po_header_id
											   ,decode (nvl (holds.hold
															,0)
													   ,0
													   ,'N'
													   ,'Y') deliverable_hold
											   ,holds.hold_amount hold_amount
											   ,trunc (sysdate - holds.hold_date) days_on_hold
											   ,poh.org_id org_id
											   ,psco.project_id
											   ,pap.segment1 project_number
											   ,holds.hold_date hold_date
											   ,po_endeca_util_pub.po_get_action_text ('MANAGE_DELIVERABLE'
																					  ,20) manage_deliverable
											   ,lang.language_code LANGUAGE
										FROM    okc_deliverables del
											   ,po_headers_all poh
											   ,po_doc_style_headers ps
											   ,pa_supply_chain_options psco
											   ,pa_projects_all pap
											   ,po_proc_plan_header pph
											   ,fnd_lookup_values status_lookup
											   ,okc_deliverable_types_tl deliverabletypes_tl
											   ,okc_bus_doc_types_tl busdoctypes_tl
											   ,okc_resp_parties_b repb
											   ,okc_resp_parties_tl reptl
											   ,
												(
												SELECT  pod.po_header_id
													   ,count (1) hold
													   ,sum (apd.amount) hold_amount
													   ,min (ah.hold_date) hold_date
												FROM    ap_invoice_distributions_all apd
													   ,ap_holds_all ah
													   ,po_distributions_all pod
												WHERE   apd.project_id &gt; 0
												AND     ah.invoice_id = apd.invoice_id
												AND     pod.po_distribution_id &gt; 0
												AND     pod.po_distribution_id = apd.po_distribution_id
												AND     ah.hold_lookup_code = 'PO Deliverable'
												AND     ah.release_lookup_code IS NULL
												GROUP BY pod.po_header_id
												) holds
												,fnd_languages lang
										WHERE   poh.po_header_id = del.business_document_id
										AND     poh.revision_num = del.business_document_version
										AND     poh.po_header_id = holds.po_header_id (+)
										AND     business_document_type IN ('PO_STANDARD','RFQ')
										AND     psco.project_id IN
												(
												SELECT  DISTINCT
														project_id
												FROM    po_distributions_all
												WHERE   po_header_id = poh.po_header_id
												)
										AND     pap.project_id = psco.project_id
										AND     pph.project_id = psco.project_id
										AND     psco.enable_scp_flag = 'Y'
										AND     status_lookup.lookup_type = 'OKC_DELIVERABLE_STATUS'
										AND     status_lookup.lookup_code = del.deliverable_status
										AND     status_lookup.VIEW_APPLICATION_ID = 0
                                        AND     status_lookup.SECURITY_GROUP_ID = 0
										AND     status_lookup.language = lang.language_code
										AND     del.deliverable_status &lt;&gt; 'INACTIVE'
										AND     lang.installed_flag in ('I', 'B')
										AND     nvl(deliverabletypes_tl.language, lang.language_code) = lang.language_code
										AND     deliverabletypes_tl.deliverable_type_code = del.deliverable_type
										AND     nvl(busdoctypes_tl.language, lang.language_code) = lang.language_code
										AND     busdoctypes_tl.document_type = del.business_document_type
										AND     poh.style_id = ps.style_id
										AND 	repb.document_type_class = reptl.document_type_class(+)
										AND     repb.resp_party_code = reptl.resp_party_code(+)
										AND     nvl (repb.intent , 'XXX') = nvl (reptl.intent  ,'XXX')
										AND     nvl(reptl.language, lang.language_code) = lang.language_code
										AND     repb.resp_party_code(+) = del.responsible_party
										AND     nvl(repb.document_type_class, 'PO') = 'PO'
										AND     del.last_update_date &gt;= to_date(to_char(to_timestamp('23-APR-20'),'DD-MON-YY HH24.MI.SS'),'DD-MON-YY HH24.MI.SS') AND  LANG.LANGUAGE_CODE in ('US'))
										) PIVOT (
										 MAX(business_document_type) AS BUSINESS_DOCUMENT_TYPE,
										 MAX(deliverable_type) AS DELIVERABLE_TYPE,
										 MAX(party_name) AS PARTY_NAME,
										 MAX(responsible_party) AS RESPONSIBLE_PARTY,
										 MAX(deliverable_status) AS DELIVERABLE_STATUS
										for LANGUAGE in ('US' "US")
										 )</t>
  </si>
  <si>
    <t>SELECT * FROM (select * from (with cycleincrqry as (select /*+ materialize */ decode(cycle_count_entry_id,NULL,cycle_count_header_id||'--'||organization_id||'--'||inventory_item_id,cycle_count_entry_id) ecc_spec_id
		,organization_id
		,organization_code
		,cycle_count_entry_id
		,cycle_count_header_name
		,item_description
		,item
		,revision
		,subinventory
		,locator
		,lot
		,primary_uom
		,primary_qty
		,primary_count_qty
		,schedule_date
		,count_due_date
		,count_date
		,count_type_code
		,decode(primary_uom_quantity_current,NULL,NULL,primary_uom_quantity_current) ||
		 decode(primary_uom_quantity_current,NULL,NULL,' ') ||
		 decode(primary_uom_quantity_current,NULL,NULL,primary_uom) count_qty_uom
		,inv_ecc_cycle_util_pvt.get_count_type(count_type_code,LANGUAGE ) Count_Type
		,decode(cycle_count_entry_id,NULL,NULL,
                 (select mev.full_name from mtl_employees_view mev where mev.employee_id = x.counted_by_employee_id_current and mev.organization_id = x.organization_id  )) counter
		,approval_date
		,decode(cycle_count_entry_id,NULL,NULL,
                 (select mev.full_name from mtl_employees_view mev where mev.employee_id = x.approver_employee_id and mev.organization_id = x.organization_id)) approver
		,adjustment_quantity
		,inv_ecc_cycle_util_pvt.conv_rate_currentformula(COUNT_UOM_CURRENT, INVENTORY_ITEM_ID, organization_id, PRIMARY_UOM) conv_rate
		,SYSTEM_QUANTITY_CURRENT
		,ITEM_UNIT_COST
		,nvl(approval_date,count_date_current) value_change_date
		,cc_class
		,entry_status_code
		,inv_ecc_cycle_util_pvt.get_status(entry_status_code,LANGUAGE ) status
		,Nvl(hit_miss_tolerance_positive_la, hit_miss_tolerance_positive_ch) hit_miss_tolerance_positive
		,Nvl(hit_miss_tolerance_negative_la, hit_miss_tolerance_negative_ch) hit_miss_tolerance_negative
		,last_update_date
		,inventory_item_id
		,Item_Last_Schedule_Date
		,decode(cycle_count_entry_id,NULL,decode(autoschedule_enabled_flag,1,Item_Last_Schedule_Date +
                 nvl(inv_ecc_cycle_util_pvt.f_nworkdaysyearformula(CYCLE_COUNT_CALENDAR, CALENDAR_EXCEPTION_SET) ,0)/decode(num_counts_per_year,NULL,1,0,1,num_counts_per_year),
		 Item_Last_Schedule_Date + 5),NULL) unscheduled_item_date
		,decode(outermost_lpn_id,NULL,NULL,inv_ecc_cycle_util_pvt.cf_outermost_lpnformula(container_enabled_flag, outermost_lpn_id, organization_id)) OUTERMOST_LPN
		,decode(cost_group_id,NULL,NULL,inv_ecc_cycle_util_pvt.cf_cost_groupformula(cost_group_id)) COST_GROUP
		,decode(entry_status_code,1, NULL, 3, NULL, 4, NULL, NULL, NULL,
                 decode(inv_ecc_cycle_util_pvt.f_outtoleranceflagformula(NULL,NULL, ( count_quantity_first - system_quantity_first ),
                 system_quantity_first, nvl ( hit_miss_tolerance_negative_la , hit_miss_tolerance_negative_ch ),
                 nvl ( hit_miss_tolerance_positive_la , hit_miss_tolerance_positive_ch )),0,'Hit','Miss')) Hit_miss
		,LANGUAGE
		,cc_workflow_enabled_flag
		,cc_workflow_flag
 from
(
select   mcce.cycle_count_entry_id
		,mcch.cycle_count_header_id
		,mp.organization_id
		,mcce.inventory_item_id
		,mp.organization_code
		,mcch.cycle_count_header_name
		,mstl.description item_description
		,msib.concatenated_segments item
		,mcce.revision
		,mcce.subinventory
		,mil.concatenated_segments locator
		,mcce.lot_number lot
		,msib.primary_uom_code primary_uom
		,mcce.primary_uom_quantity_current primary_qty
		,mcce.count_quantity_current primary_count_qty
		,mcce.schedule_date
		,mcce.count_due_date
		,mcce.count_date_current count_date
		,mcce.primary_uom_quantity_current
		,mcce.count_type_code
		,mstl.LANGUAGE
		,mcce.counted_by_employee_id_current
		,mcce.approval_date
		,mcce.approver_employee_id
		,mcce.adjustment_quantity
		,mcce.COUNT_UOM_CURRENT
		,mcCE.SYSTEM_QUANTITY_CURRENT
		,mcCE.ITEM_UNIT_COST
		,mcce.count_date_current
		,macl.abc_class_name cc_class
		,mcce.entry_status_code
		,mcla.hit_miss_tolerance_positive hit_miss_tolerance_positive_la
		,mcch.hit_miss_tolerance_positive hit_miss_tolerance_positive_ch
		,mcla.hit_miss_tolerance_negative hit_miss_tolerance_negative_la
		,mcch.hit_miss_tolerance_negative hit_miss_tolerance_negative_ch
		,mcce.last_update_date
		,mcce.Item_Last_Schedule_Date
		,mcch.autoschedule_enabled_flag
		,mcch.CYCLE_COUNT_CALENDAR
		,mcch.CALENDAR_EXCEPTION_SET
		,mcla.num_counts_per_year
		,mcce.outermost_lpn_id
		,mcch.container_enabled_flag
		,mcce.cost_group_id
		,mcce.count_quantity_first
		,mcce.system_quantity_first
		,nvl(mp.cc_workflow_enabled_flag, 'N') cc_workflow_enabled_flag
        ,decode (nvl(mp.cc_workflow_enabled_flag, 'N') ,'Y','view_ena','ecc_blank') cc_workflow_flag
from
(select mcce.cycle_count_entry_id,
        mcce.cycle_count_header_id,
        mcce.organization_id,
        mcce.inventory_item_id,
        mcce.revision,
        mcce.subinventory,
        mcce.locator_id,
        mcce.lot_number,
        mcce.primary_uom_quantity_current,
        mcce.count_quantity_current,
        mcsr.schedule_date,
        mcce.count_due_date,
        mcce.count_date_current,
        mcce.count_type_code,
        mcce.counted_by_employee_id_current,
        mcce.approval_date,
        mcce.approver_employee_id,
        mcce.adjustment_quantity,
        mcce.COUNT_UOM_CURRENT,
        mcce.SYSTEM_QUANTITY_CURRENT,
        mcce.ITEM_UNIT_COST,
        mcce.entry_status_code,
        mcce.last_update_date,
        mcsr.schedule_date Item_Last_Schedule_Date,
        mcce.outermost_lpn_id,
        mcce.cost_group_id,
        mcce.count_quantity_first,
        mcce.system_quantity_first,
        mcci.abc_class_id
from    mtl_cycle_count_entries mcce,
        MTL_CC_SCHED_COUNT_XREFS mcsc,
        MTL_CC_SCHEDULE_REQUESTS mcsr,
        mtl_cycle_count_items mcci
where   mcce.cycle_count_entry_id = mcsc.cycle_count_entry_id (+)
AND     mcsc.cycle_count_schedule_id = mcsr.cycle_count_schedule_id (+)
AND     mcci.cycle_count_header_id = mcce.cycle_count_header_id
AND     mcci.inventory_item_id = mcce.inventory_item_id
AND     mcce.entry_status_code IN (1,2,3,4,5)
UNION ALL
select  NULL cycle_count_entry_id,
        mcci.cycle_count_header_id,
        NULL organization_id,
        mcci.inventory_item_id,
        NULL revision,
        NULL subinventory,
        NULL locator_id,
        NULL lot_number,
        NULL primary_uom_quantity_current,
        NULL count_quantity_current,
        mcci.Item_Last_Schedule_Date schedule_date,
        NULL count_due_date,
        NULL count_date_current,
        NULL count_type_code,
        NULL counted_by_employee_id_current,
        NULL approval_date,
        NULL approver_employee_id,
        NULL adjustment_quantity,
        NULL COUNT_UOM_CURRENT,
        NULL SYSTEM_QUANTITY_CURRENT,
        NULL ITEM_UNIT_COST,
        NULL entry_status_code,
        mcci.last_update_date,
        mcci.Item_Last_Schedule_Date,
        NULL outermost_lpn_id,
        NULL cost_group_id,
        NULL count_quantity_first,
        NULL system_quantity_first,
        mcci.abc_class_id
from    mtl_cycle_count_items mcci
) mcce,
	mtl_cycle_count_headers mcch
	,mtl_system_items_b_kfv msib
	,MTL_SYSTEM_ITEMS_TL mstl
	,mtl_abc_classes macl
	,mtl_cycle_count_classes mcla
	,mtl_parameters mp
	,mtl_item_locations_kfv mil
	where mcch.cycle_count_header_id = mcce.cycle_count_header_id
	and mcch.organization_id = mp.organization_id
	and msib.organization_id = mcch.organization_id
	and msib.inventory_item_id = mcce.inventory_item_id
	AND msib.organization_id = mstl.organization_id
	AND msib.inventory_item_id = mstl.inventory_item_id
	AND mcce.organization_id = mil.organization_id (+)
	AND mcce.locator_id = mil.inventory_location_id (+)
	and mcch.organization_id = macl.organization_id
	and mcla.cycle_count_header_id = mcch.cycle_count_header_id
	and mcla.organization_id = mcch.organization_id
	AND mcla.abc_class_id = mcce.abc_class_id
	and mcce.abc_class_id = macl.abc_class_id
	and nvl(mcch.disable_date,sysdate+1) &gt; sysdate
    and mcch.last_update_Date&gt;= to_date(to_char(to_timestamp('23-APR-20 03.47.50.000000 PM' ),'DD-MON-YY HH24.MI.SS'),'DD-MON-YY HH24.MI.SS') UNION ALL
				select mcce.cycle_count_entry_id
				,mcch.cycle_count_header_id
				,mp.organization_id
				,mcce.inventory_item_id
				,mp.organization_code
				,mcch.cycle_count_header_name
				,mstl.description item_description
				,msib.concatenated_segments item
				,mcce.revision
				,mcce.subinventory
				,mil.concatenated_segments locator
				,mcce.lot_number lot
				,msib.primary_uom_code primary_uom
				,mcce.primary_uom_quantity_current primary_qty
				,mcce.count_quantity_current primary_count_qty
				,mcce.schedule_date
				,mcce.count_due_date
				,mcce.count_date_current count_date
				,mcce.primary_uom_quantity_current
				,mcce.count_type_code
				,mstl.LANGUAGE
				,mcce.counted_by_employee_id_current
				,mcce.approval_date
				,mcce.approver_employee_id
				,mcce.adjustment_quantity
				,mcce.COUNT_UOM_CURRENT
				,mcCE.SYSTEM_QUANTITY_CURRENT
				,mcCE.ITEM_UNIT_COST
				,mcce.count_date_current
				,macl.abc_class_name cc_class
				,mcce.entry_status_code
				,mcla.hit_miss_tolerance_positive hit_miss_tolerance_positive_la
				,mcch.hit_miss_tolerance_positive hit_miss_tolerance_positive_ch
				,mcla.hit_miss_tolerance_negative hit_miss_tolerance_negative_la
				,mcch.hit_miss_tolerance_negative hit_miss_tolerance_negative_ch
				,mcce.last_update_date
				,mcce.Item_Last_Schedule_Date
				,mcch.autoschedule_enabled_flag
				,mcch.CYCLE_COUNT_CALENDAR
				,mcch.CALENDAR_EXCEPTION_SET
				,mcla.num_counts_per_year
				,mcce.outermost_lpn_id
				,mcch.container_enabled_flag
				,mcce.cost_group_id
				,mcce.count_quantity_first
				,mcce.system_quantity_first
				,nvl(mp.cc_workflow_enabled_flag, 'N') cc_workflow_enabled_flag
                ,decode (nvl(mp.cc_workflow_enabled_flag, 'N') ,'Y','view_ena','ecc_blank') cc_workflow_flag
				from
				(select mcce.cycle_count_entry_id,
						mcce.cycle_count_header_id,
						mcce.organization_id,
						mcce.inventory_item_id,
						mcce.revision,
						mcce.subinventory,
						mcce.locator_id,
						mcce.lot_number,
						mcce.primary_uom_quantity_current,
						mcce.count_quantity_current,
						mcsr.schedule_date,
						mcce.count_due_date,
						mcce.count_date_current,
						mcce.count_type_code,
						mcce.counted_by_employee_id_current,
						mcce.approval_date,
						mcce.approver_employee_id,
						mcce.adjustment_quantity,
						mcce.COUNT_UOM_CURRENT,
						mcce.SYSTEM_QUANTITY_CURRENT,
						mcce.ITEM_UNIT_COST,
						mcce.entry_status_code,
						mcce.last_update_date,
						mcsr.schedule_date Item_Last_Schedule_Date,
						mcce.outermost_lpn_id,
						mcce.cost_group_id,
						mcce.count_quantity_first,
						mcce.system_quantity_first,
						mcci.abc_class_id
				from    mtl_cycle_count_entries mcce,
						MTL_CC_SCHED_COUNT_XREFS mcsc,
						MTL_CC_SCHEDULE_REQUESTS mcsr,
						mtl_cycle_count_items mcci
				where   mcce.cycle_count_entry_id = mcsc.cycle_count_entry_id (+)
				AND     mcsc.cycle_count_schedule_id = mcsr.cycle_count_schedule_id (+)
				AND     mcci.cycle_count_header_id = mcce.cycle_count_header_id
				AND     mcci.inventory_item_id = mcce.inventory_item_id
				AND     mcce.entry_status_code IN (1,2,3,4,5)
				UNION ALL
				select  NULL cycle_count_entry_id,
						mcci.cycle_count_header_id,
						NULL organization_id,
						mcci.inventory_item_id,
						NULL revision,
						NULL subinventory,
						NULL locator_id,
						NULL lot_number,
						NULL primary_uom_quantity_current,
						NULL count_quantity_current,
						mcci.Item_Last_Schedule_Date schedule_date,
						NULL count_due_date,
						NULL count_date_current,
						NULL count_type_code,
						NULL counted_by_employee_id_current,
						NULL approval_date,
						NULL approver_employee_id,
						NULL adjustment_quantity,
						NULL COUNT_UOM_CURRENT,
						NULL SYSTEM_QUANTITY_CURRENT,
						NULL ITEM_UNIT_COST,
						NULL entry_status_code,
						mcci.last_update_date,
						mcci.Item_Last_Schedule_Date,
						NULL outermost_lpn_id,
						NULL cost_group_id,
						NULL count_quantity_first,
						NULL system_quantity_first,
						mcci.abc_class_id
				from    mtl_cycle_count_items mcci
				) mcce,
				mtl_cycle_count_headers mcch
				,mtl_system_items_b_kfv msib
				,MTL_SYSTEM_ITEMS_TL mstl
				,mtl_abc_classes macl
				,mtl_cycle_count_classes mcla
				,mtl_parameters mp
				,mtl_item_locations_kfv mil
				where mcch.cycle_count_header_id = mcce.cycle_count_header_id
				and mcch.organization_id = mp.organization_id
				and msib.organization_id = mcch.organization_id
				and msib.inventory_item_id = mcce.inventory_item_id
				AND msib.organization_id = mstl.organization_id
				AND msib.inventory_item_id = mstl.inventory_item_id
				AND mcce.organization_id = mil.organization_id (+)
				AND mcce.locator_id = mil.inventory_location_id (+)
				and mcch.organization_id = macl.organization_id
				and mcla.cycle_count_header_id = mcch.cycle_count_header_id
				and mcla.organization_id = mcch.organization_id
				AND mcla.abc_class_id = mcce.abc_class_id
				and mcce.abc_class_id = macl.abc_class_id
				and nvl(mcch.disable_date,sysdate+1) &gt; sysdate
				and mcce.last_update_Date&gt;= to_date(to_char(to_timestamp('23-APR-20 03.47.50.000000 PM' ),'DD-MON-YY HH24.MI.SS'),'DD-MON-YY HH24.MI.SS')	UNION ALL
							select mcce.cycle_count_entry_id
							,mcch.cycle_count_header_id
							,mp.organization_id
							,mcce.inventory_item_id
							,mp.organization_code
							,mcch.cycle_count_header_name
							,mstl.description item_description
							,msib.concatenated_segments item
							,mcce.revision
							,mcce.subinventory
							,mil.concatenated_segments locator
							,mcce.lot_number lot
							,msib.primary_uom_code primary_uom
							,mcce.primary_uom_quantity_current primary_qty
							,mcce.count_quantity_current primary_count_qty
							,mcce.schedule_date
							,mcce.count_due_date
							,mcce.count_date_current count_date
							,mcce.primary_uom_quantity_current
							,mcce.count_type_code
							,mstl.LANGUAGE
							,mcce.counted_by_employee_id_current
							,mcce.approval_date
							,mcce.approver_employee_id
							,mcce.adjustment_quantity
							,mcce.COUNT_UOM_CURRENT
							,mcCE.SYSTEM_QUANTITY_CURRENT
							,mcCE.ITEM_UNIT_COST
							,mcce.count_date_current
							,macl.abc_class_name cc_class
							,mcce.entry_status_code
							,mcla.hit_miss_tolerance_positive hit_miss_tolerance_positive_la
							,mcch.hit_miss_tolerance_positive hit_miss_tolerance_positive_ch
							,mcla.hit_miss_tolerance_negative hit_miss_tolerance_negative_la
							,mcch.hit_miss_tolerance_negative hit_miss_tolerance_negative_ch
							,mcce.last_update_date
							,mcce.Item_Last_Schedule_Date
							,mcch.autoschedule_enabled_flag
							,mcch.CYCLE_COUNT_CALENDAR
							,mcch.CALENDAR_EXCEPTION_SET
							,mcla.num_counts_per_year
							,mcce.outermost_lpn_id
							,mcch.container_enabled_flag
							,mcce.cost_group_id
							,mcce.count_quantity_first
							,mcce.system_quantity_first
							,nvl(mp.cc_workflow_enabled_flag, 'N') cc_workflow_enabled_flag
                            ,decode (nvl(mp.cc_workflow_enabled_flag, 'N') ,'Y','view_ena','ecc_blank') cc_workflow_flag
							from
							(select mcce.cycle_count_entry_id,
									mcce.cycle_count_header_id,
									mcce.organization_id,
									mcce.inventory_item_id,
									mcce.revision,
									mcce.subinventory,
									mcce.locator_id,
									mcce.lot_number,
									mcce.primary_uom_quantity_current,
									mcce.count_quantity_current,
									mcsr.schedule_date,
									mcce.count_due_date,
									mcce.count_date_current,
									mcce.count_type_code,
									mcce.counted_by_employee_id_current,
									mcce.approval_date,
									mcce.approver_employee_id,
									mcce.adjustment_quantity,
									mcce.COUNT_UOM_CURRENT,
									mcce.SYSTEM_QUANTITY_CURRENT,
									mcce.ITEM_UNIT_COST,
									mcce.entry_status_code,
									mcce.last_update_date,
									mcsr.schedule_date Item_Last_Schedule_Date,
									mcce.outermost_lpn_id,
									mcce.cost_group_id,
									mcce.count_quantity_first,
									mcce.system_quantity_first,
									mcci.abc_class_id
							from    mtl_cycle_count_entries mcce,
									MTL_CC_SCHED_COUNT_XREFS mcsc,
									MTL_CC_SCHEDULE_REQUESTS mcsr,
									mtl_cycle_count_items mcci
							where   mcce.cycle_count_entry_id = mcsc.cycle_count_entry_id (+)
							AND     mcsc.cycle_count_schedule_id = mcsr.cycle_count_schedule_id (+)
							AND     mcci.cycle_count_header_id = mcce.cycle_count_header_id
							AND     mcci.inventory_item_id = mcce.inventory_item_id
							AND     mcce.entry_status_code IN (1,2,3,4,5)
							UNION ALL
							select  NULL cycle_count_entry_id,
									mcci.cycle_count_header_id,
									NULL organization_id,
									mcci.inventory_item_id,
									NULL revision,
									NULL subinventory,
									NULL locator_id,
									NULL lot_number,
									NULL primary_uom_quantity_current,
									NULL count_quantity_current,
									mcci.Item_Last_Schedule_Date schedule_date,
									NULL count_due_date,
									NULL count_date_current,
									NULL count_type_code,
									NULL counted_by_employee_id_current,
									NULL approval_date,
									NULL approver_employee_id,
									NULL adjustment_quantity,
									NULL COUNT_UOM_CURRENT,
									NULL SYSTEM_QUANTITY_CURRENT,
									NULL ITEM_UNIT_COST,
									NULL entry_status_code,
									mcci.last_update_date,
									mcci.Item_Last_Schedule_Date,
									NULL outermost_lpn_id,
									NULL cost_group_id,
									NULL count_quantity_first,
									NULL system_quantity_first,
									mcci.abc_class_id
							from    mtl_cycle_count_items mcci
							) mcce,
							mtl_cycle_count_headers mcch
							,mtl_system_items_b_kfv msib
							,MTL_SYSTEM_ITEMS_TL mstl
							,mtl_abc_classes macl
							,mtl_cycle_count_classes mcla
							,mtl_parameters mp
							,mtl_item_locations_kfv mil
							where mcch.cycle_count_header_id = mcce.cycle_count_header_id
							and mcch.organization_id = mp.organization_id
							and msib.organization_id = mcch.organization_id
							and msib.inventory_item_id = mcce.inventory_item_id
							AND msib.organization_id = mstl.organization_id
							AND msib.inventory_item_id = mstl.inventory_item_id
							AND mcce.organization_id = mil.organization_id (+)
							AND mcce.locator_id = mil.inventory_location_id (+)
							and mcch.organization_id = macl.organization_id
							and mcla.cycle_count_header_id = mcch.cycle_count_header_id
							and mcla.organization_id = mcch.organization_id
							AND mcla.abc_class_id = mcce.abc_class_id
							and mcce.abc_class_id = macl.abc_class_id
							and nvl(mcch.disable_date,sysdate+1) &gt; sysdate
							and macl.last_update_date&gt;= to_date(to_char(to_timestamp('23-APR-20 03.47.50.000000 PM' ),'DD-MON-YY HH24.MI.SS'),'DD-MON-YY HH24.MI.SS') UNION ALL
						select mcce.cycle_count_entry_id
						,mcch.cycle_count_header_id
						,mp.organization_id
						,mcce.inventory_item_id
						,mp.organization_code
						,mcch.cycle_count_header_name
						,mstl.description item_description
						,msib.concatenated_segments item
						,mcce.revision
						,mcce.subinventory
						,mil.concatenated_segments locator
						,mcce.lot_number lot
						,msib.primary_uom_code primary_uom
						,mcce.primary_uom_quantity_current primary_qty
						,mcce.count_quantity_current primary_count_qty
						,mcce.schedule_date
						,mcce.count_due_date
						,mcce.count_date_current count_date
						,mcce.primary_uom_quantity_current
						,mcce.count_type_code
						,mstl.LANGUAGE
						,mcce.counted_by_employee_id_current
						,mcce.approval_date
						,mcce.approver_employee_id
						,mcce.adjustment_quantity
						,mcce.COUNT_UOM_CURRENT
						,mcCE.SYSTEM_QUANTITY_CURRENT
						,mcCE.ITEM_UNIT_COST
						,mcce.count_date_current
						,macl.abc_class_name cc_class
						,mcce.entry_status_code
						,mcla.hit_miss_tolerance_positive hit_miss_tolerance_positive_la
						,mcch.hit_miss_tolerance_positive hit_miss_tolerance_positive_ch
						,mcla.hit_miss_tolerance_negative hit_miss_tolerance_negative_la
						,mcch.hit_miss_tolerance_negative hit_miss_tolerance_negative_ch
						,mcce.last_update_date
						,mcce.Item_Last_Schedule_Date
						,mcch.autoschedule_enabled_flag
						,mcch.CYCLE_COUNT_CALENDAR
						,mcch.CALENDAR_EXCEPTION_SET
						,mcla.num_counts_per_year
						,mcce.outermost_lpn_id
						,mcch.container_enabled_flag
						,mcce.cost_group_id
						,mcce.count_quantity_first
						,mcce.system_quantity_first
						,nvl(mp.cc_workflow_enabled_flag, 'N') cc_workflow_enabled_flag
                        ,decode (nvl(mp.cc_workflow_enabled_flag, 'N') ,'Y','view_ena','ecc_blank') cc_workflow_flag
						from
						(select mcce.cycle_count_entry_id,
								mcce.cycle_count_header_id,
								mcce.organization_id,
								mcce.inventory_item_id,
								mcce.revision,
								mcce.subinventory,
								mcce.locator_id,
								mcce.lot_number,
								mcce.primary_uom_quantity_current,
								mcce.count_quantity_current,
								mcsr.schedule_date,
								mcce.count_due_date,
								mcce.count_date_current,
								mcce.count_type_code,
								mcce.counted_by_employee_id_current,
								mcce.approval_date,
								mcce.approver_employee_id,
								mcce.adjustment_quantity,
								mcce.COUNT_UOM_CURRENT,
								mcce.SYSTEM_QUANTITY_CURRENT,
								mcce.ITEM_UNIT_COST,
								mcce.entry_status_code,
								mcce.last_update_date,
								mcsr.schedule_date Item_Last_Schedule_Date,
								mcce.outermost_lpn_id,
								mcce.cost_group_id,
								mcce.count_quantity_first,
								mcce.system_quantity_first,
								mcci.abc_class_id
						from    mtl_cycle_count_entries mcce,
								MTL_CC_SCHED_COUNT_XREFS mcsc,
								MTL_CC_SCHEDULE_REQUESTS mcsr,
								mtl_cycle_count_items mcci
						where   mcce.cycle_count_entry_id = mcsc.cycle_count_entry_id (+)
						AND     mcsc.cycle_count_schedule_id = mcsr.cycle_count_schedule_id (+)
						AND     mcci.cycle_count_header_id = mcce.cycle_count_header_id
						AND     mcci.inventory_item_id = mcce.inventory_item_id
						AND     mcce.entry_status_code IN (1,2,3,4,5)
						UNION ALL
						select  NULL cycle_count_entry_id,
								mcci.cycle_count_header_id,
								NULL organization_id,
								mcci.inventory_item_id,
								NULL revision,
								NULL subinventory,
								NULL locator_id,
								NULL lot_number,
								NULL primary_uom_quantity_current,
								NULL count_quantity_current,
								mcci.Item_Last_Schedule_Date schedule_date,
								NULL count_due_date,
								NULL count_date_current,
								NULL count_type_code,
								NULL counted_by_employee_id_current,
								NULL approval_date,
								NULL approver_employee_id,
								NULL adjustment_quantity,
								NULL COUNT_UOM_CURRENT,
								NULL SYSTEM_QUANTITY_CURRENT,
								NULL ITEM_UNIT_COST,
								NULL entry_status_code,
								mcci.last_update_date,
								mcci.Item_Last_Schedule_Date,
								NULL outermost_lpn_id,
								NULL cost_group_id,
								NULL count_quantity_first,
								NULL system_quantity_first,
								mcci.abc_class_id
						from    mtl_cycle_count_items mcci
						) mcce,
						mtl_cycle_count_headers mcch
						,mtl_system_items_b_kfv msib
						,MTL_SYSTEM_ITEMS_TL mstl
						,mtl_abc_classes macl
						,mtl_cycle_count_classes mcla
						,mtl_parameters mp
						,mtl_item_locations_kfv mil
						where mcch.cycle_count_header_id = mcce.cycle_count_header_id
						and mcch.organization_id = mp.organization_id
						and msib.organization_id = mcch.organization_id
						and msib.inventory_item_id = mcce.inventory_item_id
						AND msib.organization_id = mstl.organization_id
						AND msib.inventory_item_id = mstl.inventory_item_id
						AND mcce.organization_id = mil.organization_id (+)
						AND mcce.locator_id = mil.inventory_location_id (+)
						and mcch.organization_id = macl.organization_id
						and mcla.cycle_count_header_id = mcch.cycle_count_header_id
						and mcla.organization_id = mcch.organization_id
						AND mcla.abc_class_id = mcce.abc_class_id
						and mcce.abc_class_id = macl.abc_class_id
						and nvl(mcch.disable_date,sysdate+1) &gt; sysdate
					    and mcla.last_update_date&gt;= to_date(to_char(to_timestamp('23-APR-20 03.47.50.000000 PM' ),'DD-MON-YY HH24.MI.SS'),'DD-MON-YY HH24.MI.SS')) x
							where EXISTS
									(
									SELECT  1
									FROM    fnd_lookup_values
									WHERE   lookup_type = 'INV_ECC_ORG_CONTROL'
									AND     lookup_code IN ('ALL',(x.organization_code))
									AND     enabled_flag = 'Y'
									AND     language = x.LANGUAGE
									AND     view_application_id = 3
									AND     sysdate BETWEEN start_date_active
													AND     nvl (end_date_active
																,sysdate)
									)
							AND EXISTS
									(
									SELECT  1
									FROM    fnd_lookup_values
									WHERE   lookup_type = 'INV_ECC_SUB_CONTROL'
									AND     lookup_code IN ('ALL',(x.subinventory))
									AND     enabled_flag = 'Y'
									AND     language = x.LANGUAGE
									AND     view_application_id = 3
									AND     sysdate BETWEEN start_date_active
													AND     nvl (end_date_active
																,sysdate)
									)) SELECT
    ecc_spec_id,
    organization_id,
    organization_code,
    cycle_count_entry_id,
    cycle_count_header_name,
    item_description,
    item,
    revision,
    subinventory,
    locator,
    lot,
    primary_uom,
    primary_qty,
    primary_count_qty,
    schedule_date,
    count_due_date,
    count_date,
    count_type_code,
    count_qty_uom,
    count_type,
    counter,
    approval_date,
    approver,
    DECODE(cycle_count_entry_id, NULL, NULL, round(adjustment_quantity * conv_rate, 5)) adj_quantity,
    DECODE(cycle_count_entry_id, NULL, NULL, round(system_quantity_current * conv_rate * nvl(item_unit_cost , 0), 2)) value,
    DECODE(cycle_count_entry_id, NULL, NULL, round(adjustment_quantity * conv_rate* nvl(item_unit_cost, 0 ), 2)) value_change,
    value_change_date,
    cc_class,
    entry_status_code,
    status,
    hit_miss_tolerance_positive,
    hit_miss_tolerance_negative,
    last_update_date,
    inventory_item_id,
    item_last_schedule_date,
    unscheduled_item_date,
    outermost_lpn,
    cost_group,
    hit_miss,
    language,
    cc_workflow_enabled_flag,
	cc_workflow_flag
FROM cycleincrqry) where language in ('US'))  PIVOT (max(ITEM_DESCRIPTION) as ITEM_DESCRIPTION, max(COUNT_TYPE) as COUNT_TYPE, max(STATUS) as STATUS for LANGUAGE in ('US' "US"))</t>
  </si>
  <si>
    <t>select * from
(SELECT v.* ,dfv.* FROM
      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,ia_unit_actual_amt
       ,ia_unit_estimated_amt
       ,ia_act_estm_variance
       ,ia_unit_act_estm_variance
       ,ia_act_estm_variance_percent
       ,ia_matched_percent
       ,ia_unmatched_amt
       ,ia_unmatched_percent
       ,ia_charge_amt,ia_unit_charge_amt
       ,(ia_charge_amt - ia_charge_est_amt) CHARGE_VAR
       ,ia_tax_amt,ia_unit_tax_amt
       ,(ia_tax_amt - ia_tax_est_amt) TAX_VAR
       ,ia_item_amt,ia_unit_item_amt
       ,(ia_item_amt - ia_item_est_amt) ITEM_VAR
       ,ia_charge_est_amt
       ,ia_tax_est_amt
       ,ia_item_est_amt
       ,(ia_charge_amt + ia_tax_amt + ia_item_amt) i_total_amt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    from (SELECT  ecc_spec_id
       ,ecc_record_type
       ,ecc_last_update_date
       ,language
       ,ish_shipment_header_id
       ,ish_shipment_num
       ,ish_shipment_type_code
       ,ish_shipment_type
       ,ish_shipment_status_code
       ,ish_shipment_status
       ,ish_shipment_date
       ,ish_org_id
       ,ish_operating_unit
       ,ish_organization_id
       ,ish_organization_code
       ,ish_organization_name
       ,ish_location_code
       ,ish_country
       ,ish_shipment_year
       ,ish_shipment_year_week
       ,ish_shipment_year_month
       ,ish_shipment_year_quarter
       ,ish_pending_matching_flag
       ,ish_attribute_category
       ,ish_attribute1
       ,ish_attribute2
       ,ish_attribute3
       ,ish_attribute4
       ,ish_attribute5
       ,ish_attribute6
       ,ish_attribute7
       ,ish_attribute8
       ,ish_attribute9
       ,ish_attribute10
       ,ish_attribute11
       ,ish_attribute12
       ,ish_attribute13
       ,ish_attribute14
       ,ish_attribute15
       ,islg_shipment_line_group_id
       ,islg_line_group_num
       ,islg_line_group_reference
       ,islg_party_name
       ,islg_party_site_name
       ,islg_party_site_country
       ,isl_shipment_line_id
       ,isl_parent_shipment_line_id
       ,isl_shipment_line_num
       ,isl_item
       ,isl_item_description
       ,isl_item_category_code
       ,isl_item_ctg_desc
       ,isl_primary_qty
       ,isl_primary_uom_code
       ,isl_primary_unit_price
       ,isl_attribute_category
       ,isl_attribute1
       ,isl_attribute2
       ,isl_attribute3
       ,isl_attribute4
       ,isl_attribute5
       ,isl_attribute6
       ,isl_attribute7
       ,isl_attribute8
       ,isl_attribute9
       ,isl_attribute10
       ,isl_attribute11
       ,isl_attribute12
       ,isl_attribute13
       ,isl_attribute14
       ,isl_attribute15
       ,ia_currency_code
       ,ia_component_type_code
       ,ia_component_type
       ,ia_component_reference_id
       ,ia_component_reference
       ,ia_actual_amt
       ,ia_estimated_amt
       ,ia_matched_amt
       ,ia_actual_amt / isl_primary_qty ia_unit_actual_amt
       ,ia_estimated_amt / isl_primary_qty ia_unit_estimated_amt
       ,(ia_actual_amt - ia_estimated_amt) ia_act_estm_variance
       ,(ia_actual_amt / isl_primary_qty) - (ia_estimated_amt / isl_primary_qty) ia_unit_act_estm_variance
       ,to_number (decode (ia_estimated_amt
                                  ,0
                                  ,0
                                  ,round (((ia_actual_amt - ia_estimated_amt) * 100) / ia_estimated_amt
                                         ,2))) ia_act_estm_variance_percent
       ,decode (ia_estimated_amt
                       ,0
                       ,0
                       ,round (decode (sign (ia_matched_amt)
                                      ,- 1
                                      ,0
                                      ,(ia_matched_amt) * 100) / ia_estimated_amt
                              ,2)) ia_matched_percent
               ,decode (sign (ia_estimated_amt - ia_matched_amt)
                       ,- 1
                       ,0
                       ,(ia_estimated_amt - ia_matched_amt)) ia_unmatched_amt
               ,decode (ia_estimated_amt
                       ,0
                       ,0
                       ,round (decode (sign (ia_estimated_amt - ia_matched_amt)
                                      ,- 1
                                      ,0
                                      ,(ia_estimated_amt - ia_matched_amt) * 100) / ia_estimated_amt
                              ,2)) ia_unmatched_percent
               ,nvl (sum (CASE
                          WHEN    (
                                          ia_component_type_code = 'CHARGE'
                                  )
                                  THEN    ia_actual_amt END) OVER (PARTITION BY ecc_spec_id,language)
                    ,0) ia_charge_amt
               ,nvl (sum (CASE
                          WHEN    (
                                          ia_component_type_code = 'CHARGE'
                                  )
                                  THEN    ia_actual_amt/isl_primary_qty END) OVER (PARTITION BY ecc_spec_id,LANGUAGE)
                    ,0) ia_unit_charge_amt
               ,nvl (sum (CASE
                          WHEN    (
                                          ia_component_type_code = 'TAX'
                                  )
                                  THEN    ia_actual_amt END) OVER (PARTITION BY ecc_spec_id,language)
                    ,0) ia_tax_amt
               ,nvl (sum (CASE
                          WHEN    (
                                          ia_component_type_code = 'TAX'
                                  )
                                  THEN    ia_actual_amt/isl_primary_qty END) OVER (PARTITION BY ecc_spec_id,LANGUAGE)
                    ,0) ia_unit_tax_amt
               ,nvl (sum (CASE
                          WHEN    (
                                          ia_component_type_code = 'ITEM PRICE'
                                  )
                                  THEN    ia_actual_amt END) OVER (PARTITION BY ecc_spec_id,language)
                    ,0) ia_item_amt
               ,nvl (sum (CASE
                          WHEN    (
                                          ia_component_type_code = 'ITEM PRICE'
                                  )
                                  THEN    ia_actual_amt/isl_primary_qty END) OVER (PARTITION BY ecc_spec_id,LANGUAGE)
                    ,0) ia_unit_item_amt
               ,nvl (sum (CASE
                          WHEN    (
                                          ia_component_type_code = 'CHARGE'
                                  )
                                  THEN    ia_estimated_amt END) OVER (PARTITION BY ecc_spec_id,language)
                    ,0) ia_charge_est_amt
               ,nvl (sum (CASE
                          WHEN    (
                                          ia_component_type_code = 'TAX'
                                  )
                                  THEN    ia_estimated_amt END) OVER (PARTITION BY ecc_spec_id,language)
                    ,0) ia_tax_est_amt
               ,nvl (sum (CASE
                          WHEN    (
                                          ia_component_type_code = 'ITEM PRICE'
                                  )
                                  THEN    ia_estimated_amt END) OVER (PARTITION BY ecc_spec_id,language)
                    ,0) ia_item_est_amt
       ,ph_po_num
       ,ph_po_creation_date
       ,ph_po_type
       ,ph_po_agent_name
       ,pl_po_line_num
       ,pl_supplier_item
       ,pl_unit_price
       ,pl_line_closed_flag
       ,pll_po_shipment_num
       ,pll_need_by_date
       ,pll_promised_date
       ,pll_closed_for_receiving_flag
       ,pll_closed_for_invoicing_flag
       ,pll_amount
       ,rsh_receipt_num
       ,rsh_receipt_date
       ,rsh_ship_to_location_code
       ,rsh_bill_of_lading
       ,rsh_packing_slip
       ,rsh_shipped_date
       ,rsh_waybill_airbill_num
       ,rsl_deliver_to_location_code
       ,rsl_container_num
FROM    (SELECT  ish.ship_header_id
         || '-'
         || islg.ship_line_group_id
         || '-'
         || nvl (isl.parent_ship_line_id
                ,isl.ship_line_id)
         || '-'
         || aa.component_type_code
         || '-'
         || aa.component_reference ECC_spec_id
        ,'LC' ECC_record_type
        ,greatest (ish.last_update_date
                  ,islg.last_update_date
                  ,isl.last_update_date) ECC_last_update_date
        ,flv3.language
        ,ish.ship_header_id ish_shipment_header_id
        ,ish.ship_num ish_shipment_num
        ,stb.ship_type_code ish_shipment_type_code
        ,sttl.ship_type_name ish_shipment_type
        ,ish.ship_status_code ish_shipment_status_code
        ,flv2.description ish_shipment_status
        ,ish.ship_date ish_shipment_date
        ,ish.org_id ish_org_id
        ,ou.name ish_operating_unit
        ,ish.organization_id ish_organization_id
        ,mp.organization_code ish_organization_code
        ,hao.name ish_organization_name
        ,hrl1.location_code ish_location_code
        ,hrl1.country ish_country
        ,to_number (to_char (ish.ship_date
                            ,'YYYY')) ish_shipment_year
        ,to_char (ish.ship_date
                 ,'YYYY')
         || ' '
         || to_char (ish.ship_date
                    ,'WW') ish_shipment_year_week
        ,to_char (ish.ship_date
                 ,'YYYY')
         || ' '
         || to_char (ish.ship_date
                    ,'MM') ish_shipment_year_month
        ,to_char (ish.ship_date
                 ,'YYYY')
         || ' '
         || to_char (ish.ship_date
                    ,'Q') ish_shipment_year_quarter
        ,nvl (ish.pending_matching_flag
             ,'N') ish_pending_matching_flag
        ,ish.attribute_category ish_attribute_category
        ,ish.attribute1 ish_attribute1
        ,ish.attribute2 ish_attribute2
        ,ish.attribute3 ish_attribute3
        ,ish.attribute4 ish_attribute4
        ,ish.attribute5 ish_attribute5
        ,ish.attribute6 ish_attribute6
        ,ish.attribute7 ish_attribute7
        ,ish.attribute8 ish_attribute8
        ,ish.attribute9 ish_attribute9
        ,ish.attribute10 ish_attribute10
        ,ish.attribute11 ish_attribute11
        ,ish.attribute12 ish_attribute12
        ,ish.attribute13 ish_attribute13
        ,ish.attribute14 ish_attribute14
        ,ish.attribute15 ish_attribute15
        ,islg.ship_line_group_id islg_shipment_line_group_id
        ,islg.ship_line_group_num islg_line_group_num
        ,islg.ship_line_group_reference islg_line_group_reference
        ,hp1.party_name islg_party_name
        ,hps1.party_site_name islg_party_site_name
        ,hl.country islg_party_site_country
        ,isl.ship_line_id isl_shipment_line_id
        ,isl.parent_ship_line_id isl_parent_shipment_line_id
        ,isl.ship_line_num isl_shipment_line_num
        ,msic.concatenated_segments isl_item
        ,msitl.description isl_item_description
        ,mcc.concatenated_segments isl_item_category_code
        ,mc.description isl_item_ctg_desc
        ,isl.primary_qty isl_primary_qty
        ,isl.primary_uom_code isl_primary_uom_code
        ,isl.primary_unit_price isl_primary_unit_price
        ,isl.attribute_category isl_attribute_category
        ,isl.attribute1 isl_attribute1
        ,isl.attribute2 isl_attribute2
        ,isl.attribute3 isl_attribute3
        ,isl.attribute4 isl_attribute4
        ,isl.attribute5 isl_attribute5
        ,isl.attribute6 isl_attribute6
        ,isl.attribute7 isl_attribute7
        ,isl.attribute8 isl_attribute8
        ,isl.attribute9 isl_attribute9
        ,isl.attribute10 isl_attribute10
        ,isl.attribute11 isl_attribute11
        ,isl.attribute12 isl_attribute12
        ,isl.attribute13 isl_attribute13
        ,isl.attribute14 isl_attribute14
        ,isl.attribute15 isl_attribute15
        ,gll.currency_code ia_currency_code
        ,aa.component_type_code ia_component_type_code
        ,flv1.description ia_component_type
        ,aa.component_reference_id ia_component_reference_id
        ,CASE
        WHEN    aa.component_type_code = 'CHARGE'
                THEN
                        (
                        SELECT  pet1.name
                        FROM    pon_price_element_types_tl pet1
                        WHERE   pet1.price_element_type_id = aa.component_reference_id
                        AND     pet1.language = flv3.language
                        )
        WHEN    aa.component_type_code = 'ITEM PRICE'
                THEN
                        (
                        SELECT  islt.ship_line_type_name
                        FROM    inl_ship_line_types_tl islt
                        WHERE   islt.ship_line_type_id = aa.component_reference_id
                        AND     islt.language = flv3.language
                        )
        ELSE    aa.component_reference END ia_component_reference
        ,round (aa.allocation_amt
               ,2) ia_actual_amt
        ,round (aa.estimated_allocation_amt
               ,2) ia_estimated_amt
        ,decode (aa.from_parent_table_name
                ,'INL_SHIP_LINES'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,m.to_parent_table_id
                                     ,m.match_id
                                     ,m.parent_match_id
                                     ,m.matched_amt
                                     ,
                                      (
                                      SELECT  max (m2.match_id)
                                      FROM    inl_matches m2
                                      WHERE   m2.ship_header_id =
							m.ship_header_id
                                      AND     nvl (m2.parent_match_id
                                                  ,m2.match_id) = nvl
							(m.parent_match_id
							,m.match_id)
                                      ) last_match_id
                              FROM    inl_matches m
                              WHERE   m.match_type_code
                                      || '' = 'ITEM'
                              AND     m.to_parent_table_name =
					'INL_SHIP_LINES'
                              ) m1
                      WHERE   m1.ship_header_id = ish.ship_header_id
                      AND     m1.to_parent_table_id = nvl
							(isl.parent_ship_line_id
							,isl.ship_line_id)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							(isl.parent_ship_line_id
							,isl.ship_line_id)
                      CONNECT BY PRIOR m1.match_id = m1.parent_match_id
                      )
                     ,0)
                ,'INL_CHARGE_LINES'
                ,nvl (
                      (
                      SELECT  sum (nvl (m1.matched_amt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,m.charge_line_type_id
                                     ,
                                      (
                                      SELECT  max (m2.match_id)
                                      FROM    inl_matches m2
                                      WHERE   m2.ship_header_id =
						m.ship_header_id
                                      AND     nvl (m2.parent_match_id
                                                  ,m2.match_id) = nvl
								(m.parent_match_id
								,m.match_id)
                                      ) last_match_id
                              FROM    inl_matches m
                              WHERE   m.match_type_code
                                      || '' = 'CHARGE'
                              AND     m.to_parent_table_name =
						'INL_SHIP_LINES'
                              ) m1
                      WHERE   m1.ship_header_id = ish.ship_header_id
                      AND     m1.to_parent_table_id = nvl
(isl.parent_ship_line_id
,isl.ship_line_id)
                      AND     m1.charge_line_type_id =
aa.component_reference_id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m1.charge_line_type_id =
aa.component_reference_id
                      CONNECT BY PRIOR m1.match_id = m1.parent_match_id
                      )
                     ,0)
                ,'INL_TAX_LINES'
                ,nvl (
                      (
                      SELECT  sum (nvl (round (m1.matched_amt
                                              ,2)
                                       ,0))
                      FROM    (
                              SELECT  m.ship_header_id
                                     ,m.to_parent_table_name
                                     ,m.to_parent_table_id
                                     ,m.match_id
                                     ,m.parent_match_id
                                     ,m.matched_amt
                                     ,m.tax_code
                                     ,
                                      (
                                      SELECT  max (m2.match_id)
                                      FROM    inl_matches m2
                                      WHERE   m2.ship_header_id =
m.ship_header_id
                                      AND     nvl (m2.parent_match_id
                                                  ,m2.match_id) = nvl
(m.parent_match_id
,m.match_id)
                                      ) last_match_id
                              FROM    inl_matches m
                              WHERE   m.to_parent_table_name =
'INL_SHIP_LINES'
                              AND     m.match_type_code
                                      || '' = 'TAX'
                              ) m1
                      WHERE   m1.ship_header_id = ish.ship_header_id
                      AND     m1.to_parent_table_id = nvl
(isl.parent_ship_line_id
,isl.ship_line_id)
                      AND     m1.tax_code = aa.component_reference
                      AND     m1.match_id = m1.last_match_id
                      AND     connect_by_isleaf = 1
                      START WITH m1.parent_match_id IS NULL
                      AND     m1.ship_header_id = ish.ship_header_id
                      AND     m1.to_parent_table_id = nvl
(isl.parent_ship_line_id
,isl.ship_line_id)
                      AND     m1.tax_code = aa.component_reference
                      CONNECT BY PRIOR m1.match_id = m1.parent_match_id
                      )
                     ,0)
                ,NULL) ia_matched_amt
        ,ph.segment1 ph_po_num
        ,ph.creation_date ph_po_creation_date
        ,flv3.meaning ph_po_type
        ,pbv.full_name ph_po_agent_name
        ,pl.line_num pl_po_line_num
        ,pl.vendor_product_num pl_supplier_item
        ,pl.unit_price pl_unit_price
        ,nvl (pl.closed_flag
             ,'Y') pl_line_closed_flag
        ,pll.shipment_num pll_po_shipment_num
        ,pll.need_by_date pll_need_by_date
        ,pll.promised_date pll_promised_date
        ,decode (sign (nvl (pll.closed_for_receiving_date
                           ,sysdate + 1) - sysdate)
                ,1
                ,'N'
                ,0
                ,'Y'
                ,'Y') pll_closed_for_receiving_flag
        ,decode (sign (nvl (pll.closed_for_invoice_date
                           ,sysdate + 1) - sysdate)
                ,1
                ,'N'
                ,0
                ,'Y'
                ,'Y') pll_closed_for_invoicing_flag
        ,pll.quantity * pl.unit_price pll_amount
        ,rsh.receipt_num rsh_receipt_num
        ,rsh.creation_date rsh_receipt_date
        ,hrl3.location_code rsh_ship_to_location_code
        ,rsh.bill_of_lading rsh_bill_of_lading
        ,rsh.packing_slip rsh_packing_slip
        ,rsh.shipped_date rsh_shipped_date
        ,rsh.waybill_airbill_num rsh_waybill_airbill_num
        ,hrl2.location_code rsl_deliver_to_location_code
        ,rsl.container_num rsl_container_num
FROM    (
         SELECT  a.ship_header_id
                ,a.ship_line_id
                ,a.adjustment_num
                ,a.from_parent_table_name
                ,a.component_type_code
                ,a.component_reference
                ,a.component_reference_id
                ,sum (nvl (a.allocation_amt
                          ,0)) allocation_amt
                ,sum (nvl (a.estimated_allocation_amt
                          ,0)) estimated_allocation_amt
         FROM    (
                 SELECT
                         ia.ship_header_id
                        ,ship_line_id
                        ,ia.adjustment_num
                        ,from_parent_table_name
                        ,decode (from_parent_table_name
                                ,'INL_SHIP_LINES'
                                ,'ITEM PRICE'
                                ,'INL_CHARGE_LINES'
                                ,'CHARGE'
                                ,'INL_TAX_LINES'
                                ,'TAX'
                                ,NULL) component_type_code
                        ,decode (from_parent_table_name
                                ,'INL_SHIP_LINES'
                                ,
                                 (
                                 SELECT   DISTINCT TO_CHAR(ISLT.SHIP_LINE_TYPE_ID)
                                 FROM    inl_ship_line_types_tl islt
                                        ,inl_ship_lines_all isl
                                 WHERE   islt.ship_line_type_id =
isl.ship_line_type_id
                                 AND     isl.ship_line_id =
from_parent_table_id
                                 )
                                ,'INL_CHARGE_LINES'
                                ,
                                 (
                                 SELECT DISTINCT TO_CHAR(petl.PRICE_ELEMENT_TYPE_ID)
                                 FROM    pon_price_element_types_tl petl
                                        ,inl_charge_lines cl
                                 WHERE   petl.price_element_type_id =
cl.charge_line_type_id
                                 AND  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
                        ,decode (from_parent_table_name
                                ,'INL_SHIP_LINES'
                                ,
                                 (
                                 SELECT  to_char (isl.ship_line_type_id)
                                 FROM    inl_ship_lines_all isl
                                 WHERE   isl.ship_line_id =
from_parent_table_id
                                 )
                                ,'INL_CHARGE_LINES'
                                ,
                                 (
                                 SELECT  to_char (cl.charge_line_type_id)
                                 FROM    inl_charge_lines cl
                                 WHERE   cl.charge_line_id =
from_parent_table_id
                                 )
                                ,'INL_TAX_LINES'
                                ,
                                 (
                                 SELECT  tl.tax_code
                                 FROM    inl_tax_lines tl
                                 WHERE   tl.tax_line_id =
from_parent_table_id
                                 )
                                ,NULL) component_reference_id
                        ,allocation_amt
                        ,decode (parent_allocation_id
                                ,NULL
                                ,0
                                ,first_value (nvl (allocation_amt
                                                  ,0)) OVER (PARTITION
BY ia.ship_header_id
,parent_allocation_id
                                                             ORDER BY
ia.adjustment_num) ) estimated_allocation_amt
                 FROM    inl_allocations ia
                        ,inl_ship_headers_all ish
                 WHERE   ia.landed_cost_flag = 'Y'
                 AND     ish.last_update_date &gt; to_date(to_char(to_timestamp('23-APR-20'),'DD-MON-YY HH24.MI.SS'),'DD-MON-YY HH24.MI.SS')
                 AND     ish.ship_header_id = ia.ship_header_id
                 ) a
         GROUP BY a.ship_header_id
                 ,a.ship_line_id
                 ,a.adjustment_num
                 ,a.from_parent_table_name
                 ,a.component_type_code
                 ,a.component_reference
                 ,a.component_reference_id
         ) aa
        ,fnd_lookup_values flv3
        ,fnd_lookup_values flv2
        ,fnd_lookup_values flv1
        ,inl_ship_types_tl sttl
        ,inl_ship_types_b stb
        ,inl_ship_headers_all ish
        ,inl_ship_line_groups islg
        ,gl_ledgers gll
        ,rcv_shipment_headers rsh
        ,rcv_shipment_lines rsl
        ,mtl_system_items_tl msitl
        ,mtl_system_items_kfv msic
        ,inl_ship_lines_all isl
        ,mtl_parameters mp
        ,hr_all_organization_units hao
        ,hr_locations_all hrl3
        ,hr_locations_all hrl2
        ,hr_locations_all hrl1
        ,hz_parties hp1
        ,hz_party_sites hps1
        ,hz_locations hl
        ,po_line_locations_all pll
        ,po_lines_all pl
        ,po_headers_all ph
        ,per_all_people_f pbv
        ,mtl_categories_tl mc
        ,mtl_categories_kfv mcc
        ,hr_operating_units ou
WHERE   ou.organization_id = ish.org_id
AND     ou.set_of_books_id = gll.ledger_id
AND     flv3.lookup_code = ph.type_lookup_code
AND     flv3.lookup_type = 'PO TYPE'
AND     flv2.lookup_code = ish.ship_status_code
AND     flv2.lookup_type = 'INL_SHIP_STATUSES'
AND     flv2.language =  flv3.language
AND     decode (aa.from_parent_table_name
                ,'INL_SHIP_LINES'
                ,'SL'
                ,'INL_CHARGE_LINES'
                ,'CHL'
                ,'INL_TAX_LINES'
                ,'TXL'
                ,NULL) = flv1.lookup_code
AND     flv1.lookup_type = 'INL_COMPONENTS'
AND     flv1.language =  flv3.language
AND     hrl3.location_id (+) = rsh.ship_to_location_id
AND     hrl2.location_id (+) = rsl.deliver_to_location_id
AND     hrl1.location_id (+) = ish.location_id
AND     mc.category_id (+) = mcc.category_id
AND    ( mc.language IS NULL OR mc.language= flv3.language)
AND     mcc.category_id (+) = pl.category_id
AND     msitl.organization_id = msic.organization_id
AND     msitl.inventory_item_id = msic.inventory_item_id
AND     msitl.language =flv3.language
AND     msic.organization_id = ish.organization_id
AND     hao.organization_id = ish.organization_id
AND     msic.inventory_item_id = isl.inventory_item_id
AND     hl.location_id (+) = hps1.location_id
AND     hps1.party_site_id (+) = islg.party_site_id
AND     hp1.party_id (+) = islg.party_id
AND     pbv.person_id = ph.agent_id
AND     sysdate BETWEEN nvl (pbv.effective_start_date
                             ,sysdate - 1)
                 AND     nvl (pbv.effective_end_date
                             ,sysdate + 1)
AND     sttl.ship_type_id = stb.ship_type_id
AND     sttl.language =  flv3.language
AND     stb.ship_type_id = ish.ship_type_id
AND     mp.organization_id = ish.organization_id
AND     rsh.shipment_header_id (+) = rsl.shipment_header_id
AND     rsl.lcm_shipment_line_id (+) = nvl (isl.parent_ship_line_id
                                            ,isl.ship_line_id)
AND     NOT EXISTS
             (
             SELECT  'X'
             FROM    rcv_transactions a
                    ,rcv_shipment_headers b
             WHERE   a.lcm_shipment_line_id = isl.ship_line_id
             AND     a.po_line_location_id = pll.line_location_id
             AND     b.shipment_header_id = a.shipment_header_id
             AND     b.asn_type IS NOT NULL
             AND     b.asn_type &lt;&gt; 'LCM'
             )
AND     ph.po_header_id = pl.po_header_id
AND     pl.po_line_id = pll.po_line_id
AND     pll.line_location_id = isl.ship_line_source_id
AND     aa.ship_header_id = ish.ship_header_id
AND     aa.ship_line_id = isl.ship_line_id
AND     aa.adjustment_num =
                             (
                             SELECT  max (adjustment_num)
                             FROM    inl_allocations a
                             WHERE   a.ship_header_id = aa.ship_header_id
                             )
AND     isl.ship_header_id = islg.ship_header_id
AND     isl.ship_line_group_id = islg.ship_line_group_id
AND     islg.ship_header_id = ish.ship_header_id
AND     ish.simulation_id IS NULL)) UNION SELECT  ecc_spec_id
       ,ecc_record_type
       ,ecc_last_update_date
       ,language
       ,ish_shipment_header_id
       ,ish_shipment_num
       ,ish_shipment_type_code
       ,ish_shipment_ty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</si>
  <si>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TO_DATE('24-APR-20 01:56:08','DD-MON-RR HH24:MI:SS') + 7 ))  AND (wdj.last_update_date &gt;= TO_DATE('24-APR-20 01:56:08','DD-MON-RR HH24:MI:SS')
                                                        OR wo.last_update_date &gt;= TO_DATE('24-APR-20 01:56:08','DD-MON-RR HH24:MI:SS')
                                                        OR we.last_update_date &gt;= TO_DATE('24-APR-20 01:56:08','DD-MON-RR HH24:MI:SS')
                                                        OR wmt.last_update_date &gt;= TO_DATE('24-APR-20 01:56:08','DD-MON-RR HH24:MI:SS')
                                                        OR bd.last_update_date &gt;= TO_DATE('24-APR-20 01:56:08','DD-MON-RR HH24:MI:SS')
                                                        OR bso.last_update_date &gt;= TO_DATE('24-APR-20 01:56:08','DD-MON-RR HH24:MI:SS')
                                                        OR mtr.last_update_date &gt;= TO_DATE('24-APR-20 01:56:08','DD-MON-RR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</si>
  <si>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TO_DATE('24-APR-20 01:56:08','DD-MON-RR HH24:MI:SS') + 7 )) AND (wdj.last_update_date &gt;= TO_DATE('24-APR-20 01:56:08','DD-MON-RR HH24:MI:SS')
													     OR we.last_update_date &gt;= TO_DATE('24-APR-20 01:56:08','DD-MON-RR HH24:MI:SS')
                                                         OR msn.last_update_date &gt;= TO_DATE('24-APR-20 01:56:08','DD-MON-RR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TO_DATE('24-APR-20 01:56:08','DD-MON-RR HH24:MI:SS')
													     OR we.last_update_date &gt;= TO_DATE('24-APR-20 01:56:08','DD-MON-RR HH24:MI:SS')
                                                         OR msn.last_update_date &gt;= TO_DATE('24-APR-20 01:56:08','DD-MON-RR HH24:MI:SS')
                                                         OR mog.last_update_date &gt;= TO_DATE('24-APR-20 01:56:08','DD-MON-RR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</si>
  <si>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SELECT * FROM ( SELECT ecc_spec_id,
                                        job,
                                        job_name ,
										assembly ,
                                        assembly_description ,
                                        organization_id,
										organization_currency,
										language,
                                        department_description ,
                                        Department,
                                        standard_operation_code,
										standard_operation_code_tbl,
                                        operation_sequence_number ,
                                        planned_start_date ,
                                        Planned_completion_date ,
                                        Actual_start_date ,
                                        Actual_completion_date ,
                                        quantity_in_queue ,
                                        quantity_in_run ,
                                        Quantity_to_move ,
                                        op_Scrap_quantity ,
                                        op_Rejected_Quantity ,
                                        op_Completed_quantity ,
                                        Operation_Description ,
										osp_operation_flag,
										osp_operation,
                                        Operation_progress ,
                                        scrap_reason,
                                        Reject_Reason,
										Scrap_reason_tbl,
                                        Reject_Reason_tbl,
                                        Scrap_quantity,
                                        Reject_quantity,
                                        scrap_flag,
                                        reject_flag,
                                        transaction_id,
										item_cost,
										Scrap_quantity * item_cost scrap_value,
										Reject_quantity * item_cost reject_value
	                                   FROM (
									    SELECT TO_CHAR (wdj.wip_entity_id ||'-'||wdj.organization_id  ||'-'||wo.operation_seq_num||'-'||wmt.transaction_id||'-TXN') ecc_spec_id,
                                        wo.wip_entity_id job,
                                        we.wip_entity_name job_name ,
										WIP_ECC_UTIL_PVT.get_concatenated_segments(wdj.organization_id,wdj.primary_item_id) assembly ,
                                        WIP_ECC_UTIL_PVT.get_description(wdj.organization_id,wdj.primary_item_id) assembly_description ,
                                        wo.organization_id,
										WIP_ECC_UTIL_PVT.get_currency_code(wo.organization_id) organization_currency ,
										yeslk.language  language,
                                        bd.description department_description ,
                                        bd.department_code Department,
                                        NVL(bso.operation_code,nonelk.meaning) standard_operation_code,
										bso.operation_code standard_operation_code_tbl,
                                        wo.operation_seq_num operation_sequence_number ,
                                        wo.first_unit_start_date planned_start_date ,
                                        wo.last_unit_completion_date Planned_completion_date ,
                                        wo.actual_start_date Actual_start_date ,
                                        wo.actual_completion_date Actual_completion_date ,
                                        NVL(wo.quantity_in_queue,0) quantity_in_queue ,
                                        NVL(wo.quantity_running,0) quantity_in_run ,
                                        NVL(wo.quantity_waiting_to_move,0) Quantity_to_move ,
                                        to_number(NVL(wo.quantity_scrapped,0)) op_Scrap_quantity ,
                                        to_number(NVL(wo.quantity_rejected,0)) op_Rejected_Quantity ,
                                        NVL(wo.quantity_completed,0) op_Completed_quantity ,
                                        wo.description Operation_Description ,
										NVL((SELECT MAX(CASE
                                                          WHEN autocharge_type IN(3,4)
                                                          THEN yeslk.lookup_code
                                                          ELSE nolk.lookup_code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),nolk.lookup_code)  osp_operation_flag,
										NVL((SELECT MAX(CASE
                                                          WHEN autocharge_type IN(3,4)
                                                          THEN yeslk.meaning
                                                          ELSE nolk.meaning
                                                        END)
                                            FROM wip_operation_resources wor
                                            WHERE wo.wip_entity_id   = wor.wip_entity_id
                                            AND wo.operation_seq_num = wor.operation_seq_num
                                            AND wo.organization_id   = wor.organization_id
                                        ),nolk.meaning)  osp_operation,
                                        wo.progress_percentage Operation_progress ,
                                        TO_CHAR(
                                        CASE
                                        WHEN wmt.to_intraoperation_step_type = 5 or wmt.fm_intraoperation_step_type = 5
                                        THEN NVL(mtr.description,nonelk.meaning)
                                        ELSE NULL
                                        END) Scrap_reason,
                                        TO_CHAR(
                                        CASE
                                        WHEN wmt.to_intraoperation_step_type = 4 or wmt.fm_intraoperation_step_type = 4
                                        THEN NVL(mtr.description,nonelk.meaning)
                                        ELSE NULL
                                        END) Reject_Reason,
										TO_CHAR(
                                        CASE
                                        WHEN wmt.to_intraoperation_step_type = 5 or wmt.fm_intraoperation_step_type = 5
                                        THEN mtr.description
                                        ELSE NULL
                                        END) Scrap_reason_tbl,
                                        TO_CHAR(
                                        CASE
                                        WHEN wmt.to_intraoperation_step_type = 4 or wmt.fm_intraoperation_step_type = 4
                                        THEN mtr.description
                                        ELSE NULL
                                        END) Reject_Reason_tbl,
                                        wmt.to_intraoperation_step_type to_intraoperation_step_type,
                                        CASE
                                        WHEN wmt.to_operation_seq_num = wo.operation_seq_num and wmt.to_intraoperation_step_type =5
                                        THEN wmt.primary_quantity
                                        WHEN wmt.fm_operation_seq_num = wo.operation_seq_num and wmt.fm_intraoperation_step_type = 5
                                        THEN -1*wmt.primary_quantity
                                        ELSE 0
                                        END Scrap_quantity,
                                        CASE
                                        WHEN wmt.to_operation_seq_num = wo.operation_seq_num and wmt.to_intraoperation_step_type =4
                                        THEN wmt.primary_quantity
                                        WHEN wmt.fm_operation_seq_num = wo.operation_seq_num and wmt.fm_intraoperation_step_type =4
                                        THEN -1*wmt.primary_quantity
                                        ELSE 0
                                        END Reject_quantity,
                                        CASE
                                        WHEN wmt.to_operation_seq_num = wo.operation_seq_num and wmt.to_intraoperation_step_type = 5
                                        THEN 1
                                        WHEN wmt.to_operation_seq_num = wo.operation_seq_num and wmt.to_intraoperation_step_type &lt;&gt; 5
                                        THEN 2
                                        END scrap_flag,
                                        CASE
                                        WHEN wmt.to_operation_seq_num = wo.operation_seq_num and wmt.to_intraoperation_step_type = 4
                                        THEN 1
                                        WHEN wmt.to_operation_seq_num = wo.operation_seq_num and wmt.to_intraoperation_step_type &lt;&gt; 4
                                        THEN 2
                                        END reject_flag,
                                        wmt.transaction_id transaction_id,
										 WIP_ECC_UTIL_PVT.get_item_cost(wdj.primary_item_id,wdj.organization_id) item_cost
                                        FROM wip_discrete_jobs wdj,
                                        wip_entities we,
                                        bom_departments bd,
                                        bom_standard_operations bso,
                                        (SELECT
                                             /*+ RESULT_CACHE */
                                             nonelk.meaning,
                                             nonelk.lookup_code,
                                             nonelk.language
                                           FROM fnd_lookup_values nonelk
                                           WHERE nonelk.lookup_type       = 'WIP_PURGE_REPORT_TYPE'
                                           AND nonelk.view_application_id = 700
                                           AND nonelk.lookup_code         = '4'
                                           AND nonelk.security_group_id   = 0
                                           ) nonelk,
                                           (SELECT
                                             /*+ RESULT_CACHE */
                                             nolk.meaning,
                                             nolk.lookup_code,
                                             nolk.language
                                           FROM fnd_lookup_values nolk
                                           WHERE nolk.lookup_type       = 'SYS_YES_NO'
                                           AND nolk.view_application_id = 700
                                           AND nolk.lookup_code         = '2'
                                           AND nolk.security_group_id   = 0
                                           ) nolk,
                                           (SELECT
                                             /*+ RESULT_CACHE */
                                             yeslk.meaning,
                                             yeslk.lookup_code,
                                             yeslk.language
                                           FROM fnd_lookup_values yeslk
                                           WHERE yeslk.lookup_type       = 'SYS_YES_NO'
                                           AND yeslk.view_application_id = 700
                                           AND yeslk.lookup_code         = '1'
                                           AND yeslk.security_group_id   = 0
                                           ) yeslk,
                                        wip_operations wo,
                                        wip_move_transactions wmt,
                                        mtl_transaction_reasons mtr
                                        WHERE we.wip_entity_id         = wdj.wip_entity_id
                                        AND wo.wip_entity_id          = wdj.wip_entity_id
                                        AND bd.department_id          = wo.department_id
                                        AND wo.standard_operation_id  = bso.standard_operation_id(+)
                                        AND NVL(bso.operation_type,1) = 1
                                        AND bso.line_id              IS NULL
                                        AND wdj.status_type          IN (1,3,4,5,6,7,12,14,15)
                                        AND we.entity_type          IN (1,3)
                                        AND wo.organization_id        = wmt.organization_id
                                        AND wo.wip_entity_id          = wmt.wip_entity_id
										AND nonelk.language           = yeslk.language
                                        AND nonelk.language           = nolk.language
                                        AND (wmt.to_intraoperation_step_type  in (4,5) OR wmt.fm_intraoperation_step_type  in (4,5))
                                        AND ((wo.operation_seq_num BETWEEN wmt.fm_operation_seq_num AND wmt.to_operation_seq_num)
                                        OR (wo.operation_seq_num BETWEEN wmt.to_operation_seq_num AND wmt.fm_operation_seq_num))
                                        AND wmt.reason_id = mtr.reason_id(+) AND (wdj.status_type  IN (3,4,5,6,7,12,14,15)
                                          OR (wdj.status_type  = 1
                                          AND wdj.scheduled_start_date  &lt;= TO_DATE('23-APR-20 13:59:54','DD-MON-RR HH24:MI:SS') + 7 ))  AND (wdj.last_update_date &gt;= TO_DATE('23-APR-20 13:59:54','DD-MON-RR HH24:MI:SS')
                                                        OR wo.last_update_date &gt;= TO_DATE('23-APR-20 13:59:54','DD-MON-RR HH24:MI:SS')
                                                        OR we.last_update_date &gt;= TO_DATE('23-APR-20 13:59:54','DD-MON-RR HH24:MI:SS')
                                                        OR wmt.last_update_date &gt;= TO_DATE('23-APR-20 13:59:54','DD-MON-RR HH24:MI:SS')
                                                        OR bd.last_update_date &gt;= TO_DATE('23-APR-20 13:59:54','DD-MON-RR HH24:MI:SS')
                                                        OR bso.last_update_date &gt;= TO_DATE('23-APR-20 13:59:54','DD-MON-RR HH24:MI:SS')
                                                        OR mtr.last_update_date &gt;= TO_DATE('23-APR-20 13:59:54','DD-MON-RR HH24:MI:SS')
                                                        )  )  WHERE LANGUAGE IN ('US')) PIVOT ( MAX(STANDARD_OPERATION_CODE) AS STANDARD_OPERATION_CODE , 
		MAX(SCRAP_REASON) AS SCRAP_REASON ,MAX(OSP_OPERATION) AS OSP_OPERATION ,MAX(REJECT_REASON) AS REJECT_REASON  FOR LANGUAGE IN ('US' "US"))</t>
  </si>
  <si>
    <t>SELECT * FROM (  WITH lookup_details as (SELECT /*+ materialize */ meaning,
                                            lookup_code,
                                            language,
                                            lookup_type,
                                            security_group_id,
                                            view_application_id
                                          FROM fnd_lookup_values
                                          WHERE lookup_type      IN ('WIP_JOB_STATUS','WIP_SERIAL_STATUS','WIP_INTRAOPERATION_STEP','SERIAL_NUM_STATUS','WIP_SERIAL_YIELD')
                                          AND view_application_id = 700
                                          AND security_group_id   = 0
                                          ) 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status_lkp.meaning job_status,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                                        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msn.wip_entity_id wip_entity_id ,
                                        NULL 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wip_serial_status_code.meaning wip_serial_status,
                                        wip_serial_status_code.lookup_code wip_serial_status_flag,
                                        assembly_serial_op_step.meaning assembly_serial_op_step,
                                        inv_serial_status_code.meaning inventory_serial_status,
                                        inv_serial_status_code.lookup_code inv_serial_status_code,
                                        inv_serial_status_code.language,
                                        CASE
                                            WHEN intraoperation_step_type IN (5)
                                            THEN 'Scrap'
                                            WHEN intraoperation_step_type IN (4)
                                            THEN 'Reject'
                                            ELSE 'In progress'
                                          END serial_type,
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CASE
                                            WHEN intraoperation_step_type IN (5)
                                            THEN scrap_lkp.meaning
                                            WHEN intraoperation_step_type IN (4)
                                            THEN reject_lkp.meaning
                                            ELSE NULL
                                          END yield
                                        FROM mtl_serial_numbers msn,
                                        wip_entities we,
                                        wip_discrete_jobs wdj,
                                        (SELECT
                                        ml2.meaning,
                                        ml2.language,
                                        to_number(ml2.lookup_code) LOOKUP_CODE
                                        FROM lookup_details ml2
                                        WHERE ml2.lookup_type       = 'WIP_SERIAL_STATUS'
                                        AND ml2.view_application_id = 700
                                        AND ml2.security_group_id   = 0
                                        ) wip_serial_status_code ,
										(
                                         SELECT
                                           ml1.meaning,
                                           ml1.lookup_code,
                                           ml1.language
                                         FROM lookup_details ml1
                                         WHERE ml1.lookup_type       = 'WIP_JOB_STATUS'
                                         AND ml1.view_application_id = 700
                                         AND ml1.security_group_id   = 0
                                         ) status_lkp,
                                        (SELECT
                                        ml3.meaning,
                                        ml3.language,
                                        ml3.lookup_code
                                        FROM lookup_details ml3
                                        WHERE ml3.lookup_type       = 'WIP_INTRAOPERATION_STEP'
                                        AND ml3.view_application_id = 700
                                        AND ml3.security_group_id   = 0
                                        ) assembly_serial_op_step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inv_serial_status_code  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=1
                                        ) scrap_lkp,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=2
                                        ) reject_lkp
                                        WHERE msn.wip_entity_id                                                    = we.wip_entity_id
                                        AND inv_serial_status_code.lookup_code(+)                                  = msn.current_status
                                        AND assembly_serial_op_step.lookup_code(+)                                 = msn.intraoperation_step_type
                                        AND wip_serial_status_code.lookup_code(+)                                  = DECODE(msn.operation_seq_num, NULL, 1, 2)
                                        AND wdj.status_type                                                        = status_lkp.lookup_code(+)
                                        AND status_lkp.language = nvl(inv_serial_status_code.language,status_lkp.language)
                                        AND status_lkp.language = NVL(assembly_serial_op_step.language,status_lkp.language)
                                        AND status_lkp.language = NVL(wip_serial_status_code.language, status_lkp.language)
                                        AND status_lkp.language = NVL(scrap_lkp.language, status_lkp.language)
                                        AND status_lkp.language = NVL(reject_lkp.language, status_lkp.language)
                                        AND wdj.wip_entity_id                                                      = we.wip_entity_id
                                        AND we.primary_item_id                                                     = msn.inventory_item_id
                                        AND we.entity_type                                                        IN (1,3)
                                        AND wdj.status_type                                                       IN (1,3,4,5,6,7,12,14,15)   AND (wdj.status_type  IN (3,4,5,6,7,12,14,15)
                                          OR (wdj.status_type  = 1
                                          AND wdj.scheduled_start_date  &lt;= TO_DATE('23-APR-20 13:59:54','DD-MON-RR HH24:MI:SS') + 7 )) AND (wdj.last_update_date &gt;= TO_DATE('23-APR-20 13:59:54','DD-MON-RR HH24:MI:SS')
													     OR we.last_update_date &gt;= TO_DATE('23-APR-20 13:59:54','DD-MON-RR HH24:MI:SS')
                                                         OR msn.last_update_date &gt;= TO_DATE('23-APR-20 13:59:54','DD-MON-RR HH24:MI:SS')
                                                         )
														 UNION ALL  SELECT ecc_spec_id,
                                        job,
                                        job_name,
										job_status,
										organization_id,
										osp_operation_flag,
										assembly ,
                                        assembly_uom ,
                                        assembly_description ,
									    assembly_catalog_grp,
										assembly_base_model,
                                        serial_number ,
                                        wip_entity_id ,
                                        parent_object_id,
                                        operation_seq_num operation_seq_num ,
                                        intraoperation_step_type intraoperation_step_type ,
                                        cycles_since_mark ,
                                        cycles_since_new ,
                                        cycles_since_overhaul ,
                                        cycles_since_repair ,
                                        cycles_since_visit ,
                                        number_of_repairs ,
                                        territory_code ,
                                        time_since_mark ,
                                        time_since_new ,
                                        time_since_overhaul ,
                                        time_since_repair ,
                                        time_since_visit ,
                                        wip_serial_status ,
                                        wip_serial_status_flag ,
                                        assembly_serial_op_step ,
                                        inventory_serial_status ,
                                        inv_serial_status_code,
                                        language,
                                        serial_type,
                                        rework_quantity,
	                                    CASE WHEN rework_quantity &gt; 0 THEN rework_flag ELSE accepted_flag END yield
                                     	FROM (SELECT
                                        /*+ leading(we) */
                                        TO_CHAR (wdj.wip_entity_id ||'-'||wdj.organization_id  ||'-'||msn.serial_number||'-SER') ecc_spec_id,
                                        wdj.wip_entity_id job,
                                        we.wip_entity_name job_name,
										wdj.organization_id  organization_id,
										CASE WHEN (SELECT SUM(CASE
                                                          WHEN autocharge_type IN(3,4)
                                                          THEN 1
                                                          ELSE 0
                                                        END)
                                                     FROM wip_operation_resources wor
                                                     WHERE wdj.wip_entity_id   = wor.wip_entity_id
                                                     AND wdj.organization_id   = wor.organization_id
                                        ) &gt; 0 THEN 1 ELSE 2 END  osp_operation_flag,
										WIP_ECC_UTIL_PVT.get_concatenated_segments(wdj.organization_id,wdj.primary_item_id) assembly ,
                                        WIP_ECC_UTIL_PVT.get_primary_uom_code(wdj.organization_id,wdj.primary_item_id) assembly_uom ,
                                        WIP_ECC_UTIL_PVT.get_description(wdj.organization_id,wdj.primary_item_id) assembly_description ,
									    (SELECT acat.concatenated_segments
                                        FROM mtl_item_catalog_groups_b_kfv acat
                                        WHERE acat.item_catalog_group_id = WIP_ECC_UTIL_PVT.get_item_catalog_group_id(wdj.organization_id,wdj.primary_item_id)
                                        ) assembly_catalog_grp,
										(SELECT msi6.concatenated_segments
                                        FROM mtl_system_items_vl msi6
                                        WHERE msi6.inventory_item_id = WIP_ECC_UTIL_PVT.get_base_item_id(wdj.organization_id,wdj.primary_item_id)
                                        AND msi6.organization_id     = wdj.organization_id
                                        ) assembly_base_model,
                                        msn.serial_number ,
                                        we.wip_entity_id ,
                                        mog.parent_object_id,
                                        msn.operation_seq_num operation_seq_num ,
                                        msn.intraoperation_step_type intraoperation_step_type ,
                                        msn.cycles_since_mark ,
                                        msn.cycles_since_new ,
                                        msn.cycles_since_overhaul ,
                                        msn.cycles_since_repair ,
                                        msn.cycles_since_visit ,
                                        msn.number_of_repairs ,
                                        msn.territory_code ,
                                        msn.time_since_mark ,
                                        msn.time_since_new ,
                                        msn.time_since_overhaul ,
                                        msn.time_since_repair ,
                                        msn.time_since_visit ,
                                        wip_serial_status.meaning wip_serial_status ,
                                        3 wip_serial_status_flag ,
                                        wip_intraoperation_step.meaning assembly_serial_op_step ,
                                        inv_serial_status.meaning inventory_serial_status ,
                                        inv_serial_status.lookup_code inv_serial_status_code,
                                        inv_serial_status.language,
                                        'Completed' serial_type,
                                            (SELECT SUM(
                                            CASE
                                              WHEN fm_operation_seq_num        &gt; to_operation_seq_num
                                              OR (fm_operation_seq_num         = to_operation_seq_num
                                              AND to_intraoperation_Step_type IN (1,2)
                                              AND fm_intraoperation_Step_type IN (3,4,5))
                                              THEN 1
                                              ELSE 0
                                            END )
                                          FROM wip_move_transactions wmt,
                                            wip_serial_move_transactions wsmt
                                          WHERE wmt.organization_id            = we.organization_id
                                          AND wmt.to_operation_seq_num         = msn.operation_seq_num
                                          AND wmt.to_intraoperation_Step_type  = msn.intraoperation_step_type
                                          AND wmt.to_intraoperation_Step_type IN (4,5)
                                          AND wsmt.transaction_id              = wmt.transaction_id
                                          AND wsmt.assembly_serial_number      = msn.serial_number
                                          AND wmt.wip_entity_id                = msn.wip_entity_id
                                          ) rework_quantity,
                                          rework_lkp.meaning rework_flag,
                                          accepted_lkp.meaning accepted_flag,
										  status_lkp.meaning job_status
                                        FROM mtl_serial_numbers msn,
                                        wip_entities we,
                                        mtl_system_items_vl msi8,
                                        mtl_object_genealogy mog,
                                        wip_discrete_jobs wdj,
										(
                                        SELECT
                                          ml1.meaning,
                                          ml1.lookup_code,
                                          ml1.language
                                        FROM lookup_details ml1
                                        WHERE ml1.lookup_type       = 'WIP_JOB_STATUS'
                                        AND ml1.view_application_id = 700
                                        AND ml1.security_group_id   = 0
                                        ) status_lkp,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=4
                                        ) accepted_lkp,
                                        (SELECT
                                        ml4.lookup_code,
                                        ML4.MEANING,
                                        ml4. language
                                        FROM lookup_details ml4
                                        WHERE ml4.lookup_type       = 'WIP_SERIAL_YIELD'
                                        AND ml4.view_application_id = 700
                                        AND ml4.security_group_id   = 0
                                        AND ml4.lookup_code =3
                                        ) rework_lkp ,
                                        (SELECT
                                        ml4.lookup_code,
                                        ML4.LANGUAGE,
                                        ml4.meaning
                                        FROM lookup_details ml4
                                        WHERE ml4.lookup_type       = 'SERIAL_NUM_STATUS'
                                        AND ml4.view_application_id = 700
                                        AND ml4.security_group_id   = 0
                                        ) inv_serial_status,
                                        (SELECT
                                        ml8.meaning,
                                        ml8.lookup_code,
                                        ML8.LANGUAGE
                                        FROM lookup_details ml8
                                        WHERE ml8.lookup_type       = 'WIP_INTRAOPERATION_STEP'
                                        AND ml8.view_application_id = 700
                                        AND ml8.security_group_id   = 0
                                        ) wip_intraoperation_step,
                                        (SELECT
                                        ml6.meaning,
                                        ml6.lookup_code,
                                        ML6.LANGUAGE
                                        FROM lookup_details ml6
                                        WHERE ml6.lookup_type       = 'WIP_SERIAL_STATUS'
                                        AND ml6.view_application_id = 700
                                        AND ml6.lookup_code         = '3'
                                        AND ml6.security_group_id   = 0
                                        ) wip_serial_status
                                        WHERE msn.gen_object_id                                               = mog.parent_object_id
                                        AND we.gen_object_id                                                  = mog.object_id
                                        AND mog.object_type                                                   = 5
                                        AND mog.parent_object_type                                            = 2
                                        AND mog.end_date_active                                              IS NULL
                                        AND we.entity_type                                                   IN (1,3)
                                        AND wip_intraoperation_step.lookup_code(+)                            = msn.intraoperation_step_type
                                        AND inv_serial_status.lookup_code(+)                                  = msn.current_status
                                        AND status_lkp.language = nvl(inv_serial_status.language,status_lkp.language)
                                        AND status_lkp.language = NVL(wip_intraoperation_step.language,status_lkp.language)
                                        AND status_lkp.language = NVL(wip_serial_status.language, status_lkp.language)
                                        AND status_lkp.language = NVL(accepted_lkp.language, status_lkp.language)
                                        AND status_lkp.language = NVL(rework_lkp.language, status_lkp.language)
                                        AND we.primary_item_id                                                = msn.inventory_item_id
										AND wdj.status_type                                                   = status_lkp.lookup_code(+)
                                        AND wdj.wip_entity_id                                                 = we.wip_entity_id
										AND wdj.organization_id                                               = msi8.organization_id(+)
                                        AND wdj.primary_item_id                                               = msi8.inventory_item_id(+)
                                        AND wdj.organization_id                                               = we.organization_id
                                        AND wdj.status_type                                                  IN (1,3,4,5,6,7,12,14,15)
                                        AND wdj.serialization_start_op                                       IS NOT NULL AND (wdj.last_update_date &gt;= TO_DATE('23-APR-20 13:59:54','DD-MON-RR HH24:MI:SS')
													     OR we.last_update_date &gt;= TO_DATE('23-APR-20 13:59:54','DD-MON-RR HH24:MI:SS')
                                                         OR msn.last_update_date &gt;= TO_DATE('23-APR-20 13:59:54','DD-MON-RR HH24:MI:SS')
                                                         OR mog.last_update_date &gt;= TO_DATE('23-APR-20 13:59:54','DD-MON-RR HH24:MI:SS')
                                                         )  )  WHERE LANGUAGE IN ('US') ) PIVOT ( MAX(WIP_SERIAL_STATUS) AS WIP_SERIAL_STATUS , 
		MAX(INVENTORY_SERIAL_STATUS) AS INVENTORY_SERIAL_STATUS , max(ASSEMBLY_SERIAL_OP_STEP) as ASSEMBLY_SERIAL_OP_STEP, MAX(YIELD) AS YIELD ,MAX(JOB_STATUS) AS JOB_STATUS  FOR LANGUAGE IN ('US' "US"))</t>
  </si>
  <si>
    <t>WITH eccinst AS ( select * FROM  ((SELECT /*+ leading ( cei.cii ) cardinality ( cei.cii 10 )  */ cii.rowid instance_rowid, cei.*,
hl.address1 || ',' || hl.city || ',' || hl.county || ',' || hl.state || ',' || hl.postal_code || ',' || hl.country  address ,
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
 org_organization_definitions ood1 , hz_party_sites hps, hz_locations hl, csi_item_instances cii , fnd_lookup_values flvl,fnd_lookup_values flva, fnd_lookup_values flvi, fnd_lookup_values flvo,
  hr_all_organization_units_tl hou_org,
  hr_all_organization_units_tl hou_ou  where cii.instance_id = cei.instance_id  AND cei.language in ( 'US' )  AND hps.party_site_id = cei.location_id   AND hps.location_id = hl.location_id 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= 'HZ_PARTY_SITES') UNION (SELECT /*+ leading ( cei.cii ) cardinality ( cei.cii 10 )  */ cii.rowid instance_rowid, cei.*,
hl.address1 || ',' || hl.city || ',' || hl.county || ',' || hl.state || ',' || hl.postal_code || ',' || hl.country  address ,  hl.address1, hl.country, hl.city, hl.postal_code, hl.state, hl.county, hl.province,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hz_locations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'HZ_LOCATIONS') UNION (SELECT /*+ leading ( cei.cii ) cardinality ( cei.cii 10 )  */ cii.rowid instance_rowid, cei.*,
 hl.address_line_1 || ',' || hl.town_or_city || ',' || hl.region_2 || ',' || hl.postal_code || ',' || hl.country  address ,  hl.address_line_1, hl.country, hl.town_or_city, hl.postal_code, hl.region_2, null, null,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 org_organization_definitions ood1 , hr_locations hl,  csi_item_instances cii,  fnd_lookup_values flvl,fnd_lookup_values flva, fnd_lookup_values flvi, fnd_lookup_values flvo,
  hr_all_organization_units_tl hou_org,
  hr_all_organization_units_tl hou_ou  where cii.instance_id = cei.instance_id  AND cei.language in ( 'US' ) AND cei.location_id  = hl.location_id 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 AND cei.location_type_code = 'INTERNAL_SITE')  UNION (SELECT /*+ leading ( cei.cii ) cardinality ( cei.cii 10 )  */ cii.rowid instance_rowid, cei.*, null,  null, null, null, null, null, null, null ,  CSE_ECC_UTIL_PVT.issue_to_field_eligible(cii.instance_id) issue_field_eligible,  CSE_ECC_UTIL_PVT.issue_to_proj_eligible(cii.instance_id) issue_proj_eligible,  NVL(( select 'Yes' from csi_item_instances cii1 where cii1.instance_id = cei.instance_id AND cii1.operational_status_code IN ('INSTALLED', 'OUT_OF_SERVICE')), 'No') put_in_service_eligible,  flvl.meaning location_type,
flva.meaning accounting_class,
flvi.meaning instance_usage,
flvo.meaning operational_status,
ood1.organization_code org_code,
ood1.chart_of_accounts_id chart_of_accounts_id,
hou_org.name ORGANIZATION_NAME,
hou_ou.name OPERATING_UNIT  , cii.active_end_date active_end_date, cii.instance_status_id instance_status_id  from cse_ecc_instances_v cei,  csi_item_instances cii,     org_organization_definitions ood1 ,  fnd_lookup_values flvl,fnd_lookup_values flva, fnd_lookup_values flvi, fnd_lookup_values flvo,
  hr_all_organization_units_tl hou_org,
  hr_all_organization_units_tl hou_ou  where cii.instance_id = cei.instance_id  AND cei.language in ( 'US' )  AND flvl.lookup_code = cii.location_type_code and flvl.lookup_type = 'CSI_INST_LOCATION_SOURCE_CODE' AND flva.lookup_code = cii.accounting_class_code and flva.lookup_type = 'CSI_ACCOUNTING_CLASS_CODE' AND flvi.lookup_code = cii.instance_usage_code and flvi.lookup_type = 'CSI_INSTANCE_USAGE_CODE' AND flvo.lookup_code = cii.operational_status_code and flvo.lookup_type = 'CSI_OPERATIONAL_STATUS_CODE' and flvl.language = flvi.language
and flvo.language = flvi.language
and flvo.language = flva.language
and cei.language = flva.language
AND hou_org.organization_id = cii.last_vld_organization_id
AND hou_ou.organization_id = ood1.operating_unit
and ood1.organization_id = cii.last_vld_organization_id
AND hou_org.language = hou_ou.language
and hou_org.language = flva.language  AND cei.location_type_code IN ( 'INVENTORY','IN_TRANSIT','PO','WIP','VENDOR_SITE','PROJECT')))   pivot ( max(location_type) as location_type ,
                      max(accounting_class) as accounting_class,
					  max(item_description) as item_description,
					  max(OPERATING_UNIT) as OPERATING_UNIT,
					  max(ORGANIZATION_NAME) as ORGANIZATION_NAME,
					  max(instance_usage) as instance_usage,
					  max(operational_status) as operational_status   for LANGUAGE in ('US' "US")))  ,   dfv AS (select 'INSTANCE_ROW_ID','INSTANCE_CONTEXT_VALUE','INSTANCE_LAST_MAINTENANCE_DONE_BY_NAME_','INSTANCE_CONCATENATED_SEGMENTS' from dual where 1=2  union select ROWIDTOCHAR(ROW_ID),CONTEXT_VALUE,LAST_MAINTENANCE_DONE_BY_NAME_,CONCATENATED_SEGMENTS from CSI_ITEM_INSTANCES_DFV)   SELECT e.*,
	d.* ,
    coa.operating_unit_id sold_from_org_id  FROM  eccinst e,
    dfv d,
    CSI_I_ORG_ASSIGNMENTS coa    WHERE e.instance_rowid = d."'INSTANCE_ROW_ID'"(+)  and coa.instance_id(+) = e.instance_id  and coa.relationship_type_code(+) = 'SOLD_FROM' and  ( (e.instance_id IN (select cia.instance_id FROM csi_i_assets cia WHERE ( to_date(to_char(cia.last_update_date , 'DD-MON-YY HH24.MI.SS') , 'DD-MON-YY HH24.MI.SS' ) &gt;=  to_date(to_char(to_timestamp('23-APR-20 01.52.30.000000 PM'),'DD-MON-YY HH24.MI.SS'),'DD-MON-YY HH24.MI.SS'))) OR  ( to_date(to_char(e.inst_last_upd_date , 'DD-MON-YY HH24.MI.SS') , 'DD-MON-YY HH24.MI.SS' ) &gt;=  to_date(to_char(to_timestamp('23-APR-20 01.52.30.000000 PM'),'DD-MON-YY HH24.MI.SS'),'DD-MON-YY HH24.MI.SS'))  OR  ( to_date(to_char(coa.last_update_date , 'DD-MON-YY HH24.MI.SS') , 'DD-MON-YY HH24.MI.SS' ) &gt;=  to_date(to_char(to_timestamp('23-APR-20 01.52.30.000000 PM'),'DD-MON-YY HH24.MI.SS'),'DD-MON-YY HH24.MI.SS'))  OR EXISTS (select 1 from fa_mass_additions fma where NVL(fma.serial_number, '$*X123' ) = NVL(e.serial_number, '$*X123' )  AND (fma.description like  '%' || e.item_name || '%' OR fma.description =  e.US_item_description)
	   AND ( to_date(to_char(fma.last_update_date , 'DD-MON-YY HH24.MI.SS') , 'DD-MON-YY HH24.MI.SS' ) &gt;=  to_date(to_char(to_timestamp('23-APR-20 01.52.30.000000 PM'),'DD-MON-YY HH24.MI.SS'),'DD-MON-YY HH24.MI.SS')))))</t>
  </si>
  <si>
    <t>SELECT * FROM (SELECT * FROM CN_ECC_QUOTA_V
				WHERE ECC_LAST_UPDATE_DATE &gt;= to_date(to_char(to_timestamp('23-APR-20 01.38.22.000000 PM'),'DD-MON-YY HH24.MI.SS'),'DD-MON-YY HH24.MI.SS') AND LANGUAGE IN ('US')) PIVOT
                                        (max(OPERATING_UNIT) as OPERATING_UNIT,
										 max(ROLE) as ROLE,
										 max(SALESREP)       as SALESREP,
										 max(interval_type) as interval_type
										 for LANGUAGE in ('US' "US"))</t>
  </si>
  <si>
    <t>SELECT * FROM (SELECT
				ECC_SPEC_ID,
				OPERATING_UNIT,
				START_PERIOD_ID,
				END_PERIOD_ID,
				ECC_LAST_UPDATE_DATE,
				JOB_NAME,
				PROGRAM_NAME,
				JOB_STATUS,
				START_DATE,
				END_DATE,
				REQUEST_ID,
				REQUEST_DATE,
				LAST_HOUR,
				LAST_8_HOUR,
				LAST_24_HOUR,
				LAST_48_HOUR,
				LAST_72_HOUR,
				LAST_WEEK,
				ACTUAL_START_DATE,
				ACTUAL_COMPLETION_DATE,
				DURATION,
				ARGUMENT1,
				ARGUMENT2,
				ARGUMENT3,
				ARGUMENT4,
				ARGUMENT5,
				PARAMETERS,
				OUTCOME,
				JOB_TYPE,
				SUBMITTED_BY,
				VOLUME,
				STAGE,
				ORG_ID,
				START_PERIOD_NAME,
				END_PERIOD_NAME,
				LANGUAGE
				FROM CN_ECC_CR_V
				WHERE ECC_LAST_UPDATE_DATE &gt;= to_date(to_char(to_timestamp('23-APR-20 01.38.22.000000 PM'),'DD-MON-YY HH24.MI.SS'),'DD-MON-YY HH24.MI.SS') -7 AND LANGUAGE IN ('US')) PIVOT
                                        (max(OPERATING_UNIT) as OPERATING_UNIT,
										 max(JOB_NAME) as JOB_NAME,
										 max(PROGRAM_NAME) as PROGRAM_NAME,
										 max(JOB_STATUS) as JOB_STATUS
										 for LANGUAGE in ('US' "US"))</t>
  </si>
  <si>
    <t xml:space="preserve">SELECT * from (SELECT  ECC_SPEC_ID, ECC_LAST_UPDATE_DATE, WIP_ENTITY_ID, WIP_ENTITY_NAME, ORGANIZATION_ID,
				   WO_ORGANIZATION_CODE, WO_DESCRIPTION, LANGUAGE, WO_SYSTEM_STATUS_ID, WO_STATUS, ACTIVITY, ACTIVITY_ID, WORK_ORDER_TYPE_DISP,
				   WORK_ORDER_PRIORITY, ASSET_NUMBER, ASSET_ID, ASSET_DESCRIPTION, ASSET_GROUP, ASSET_GROUP_ID, ASSET_GROUP_DESCRIPTION,
				   WO_SCHEDULED_START_DATE, WO_SCHEDULED_COMPLETION_DATE, WO_DEPARTMENT, WO_SORT_ORDER, OPERATION_SEQ_NUM ,MATERIAL_NAME,
				   INVENTORY_ITEM_ID,UOM_CODE, MATERIAL_DESCRIPTION ,SUBINVENTORY_CODE ,REQUIRED_QUANTITY, ISSUED_QUANTITY,
				   ALLOCATED_QUANTITY,AVAILABLE_QUANTITY,OPEN_QUANTITY, MAT_SHORTAGE_QTY, MAT_ALLOCATED_QTY, MAT_UNPLANNED_QTY,
				   MATERIAL_SHORTAGE, MATERIAL_AVAILABILITY, UNPLANNED_MATERIAL, MATERIAL_ALLOCATED ,alert_type,alert_flag, alert_count,
				   ALERT_NAME, MATERIAL_SHORTAGE_FLAG, UNPLANNED_MATERIAL_USAGE_FLAG ,MATERIAL_ALLOCATED_FLAG,UPDATE_ASSET_LINK,
				   DEL_MAT_ALLOCAT_LINK,LOCATOR ,LOT_NUMBER, ITEM_CATEGORY,ASSET_BOM, UPDATE_LINK, COPY_ASSET_LINK, ALERT_DETAILS ,
				   MATERIALS_ISSUED,DELETE_FLAG, MATERIAL_OPEN  FROM eam_ecc_stores_wo_tracker
                                        WHERE delete_flag is null and ecc_last_update_date &gt;= to_date(to_char(to_timestamp('24-APR-20 01.23.58.000000 AM'),'DD-MON-YY HH24.MI.SS'),'DD-MON-YY HH24.MI.SS')) PIVOT (max(MATERIAL_DESCRIPTION) as MATERIAL_DESCRIPTION ,
                                        max(WO_STATUS) as WO_STATUS,
				        max(WORK_ORDER_TYPE_DISP) as WORK_ORDER_TYPE_DISP,
                                        max(WORK_ORDER_PRIORITY) as WORK_ORDER_PRIORITY,
				        max(ALERT_TYPE) as ALERT_TYPE,
				        max(ALERT_NAME) as ALERT_NAME,
                                        max(ASSET_GROUP_DESCRIPTION) as ASSET_GROUP_DESCRIPTION
                                        for LANGUAGE in ('US' "US")) </t>
  </si>
  <si>
    <t>SELECT * FROM eam_ecc_stores_wo_tracker where wip_entity_id in(select wip_entity_id from
				   EAM_ECC_STORES_WO_TEMP where language in ('US')) and ecc_last_update_date &gt;= to_date(to_char(to_timestamp('24-APR-20 01.23.58.000000 AM'),'DD-MON-YY HH24.MI.SS'),'DD-MON-YY HH24.MI.SS')</t>
  </si>
  <si>
    <t xml:space="preserve">SELECT * FROM EAM_ECC_WO_PO_PR_CONCAT  PIVOT (max(PO_ITEM_DESCRIPTION) as PO_ITEM_DESCRIPTION
			for LANGUAGE in ('US' "US")) where ecc_last_update_date &gt;=  to_date(to_char(to_timestamp('23-APR-20 01.23.09.000000 PM'),'DD-MON-YY HH24.MI.SS'),'DD-MON-YY HH24.MI.SS')
			and status_type IN (1,3, 6,17) </t>
  </si>
  <si>
    <t>SELECT * FROM ( select
ECC_SPEC_ID, RECORD_TYPE, RECORD_IDENTIFIER, v.ORGANIZATION_ID, ORGCODE, ORGNAME, v.BATCH_ID, BATCH_NO, BATCH_STATUS,
BATCH_STATUS_DESCRIPTION,BATCH_TYPE, BATCH_TYPE_DESCRIPTION, BATCH_DELAYED, BATCH_DELAY_TIME, BATCH_DELAY_STRING, BATCH_TERMINATED_IND, RECIPE_VALIDITY_RULE_ID,
ROUTINGID, PLANNEDSTARTDATE,PLANNEDCOMPDATE, ACTUALSTARTDATE, ACTUALCOMPDATE, CLOSEDATE, DUEDATE, FORMULA_ID, FORMULA_NO,
FORMULA_VERS, FORMULADESC, RECIPE_ID, RECIPE_NO, RECIPE_STATUS, RECIPE_STATUS_DESC,RECIPE_VERSION,
RECIPE_DESCRIPTION, ROUTING_NO, ROUTING_VERSION, ROUTING_DESCRIPTION, ROUTING_CLASS, ROUTING_STATUS, ROUTING_STATUS_DESC, FPO_ID, BATCH_HOLD_IND, HOLD_REASON, HOLD_START_DATE,
HOLD_COMMENTS, HOLD_REQUESTOR, BATCH_HOLD_TYPE, MATERIAL_DETAIL_ID, LINE_TYPE, LINE_DESCRIPTION, INVENTORY_ITEM_ID, ITEM_DESCRIPTION, ITEM, INVENTORY_PLANNING_CODE, PLANNER_CODE,
LINE_NO, PLANQTY,ACTUALQTY, WIPPLANQTY, DTL_UM, PLAN_MATERIAL_YIELD, WIP_PLAN_MATERIAL_YIELD, DTL_UNALLOC, STEPID, BATCHSTEP_NO, STEP_OPRN_NAME, STEP_OPRN_DESC, STEP_STATUS, STEPPLANNEDSTARTDATE,
STEPPLANNEDCOMPDATE, STEPACTUALSTARTDATE, STEPACTUALCOMPDATE, STEPCLOSEDATE, STEPPLANNEDQTY, STEPACTUALQTY, ROUTINGSTEPID, STEP_DELAYED,
STEP_DELAY_TIME, STEP_DELAY_STRING, ACTIVITY, BATCHSTEP_ACTVITY_ID, ACTPLANSTARTDATE, ACTPLANCOMPDATE, ACTACTUALSTARTDATE, ACTACTUALCOMPDATE, OPRN_LINE_ID, RES, RESOURCE_DESC,
RESPRIM_RSRC_IND, RESCAPACITY_UM, RESPLANLUSG, RESACTUALUSG, RESPLANQTY, RESACTUALQTY, RESPLANSTARTDATE, RESACTUALSTARTDATE, RESPLANCOMPDATE, RESACTUALCOMPDATE, RESUSAGE_UM,
RESRESOURCE_QTY_UM, RESPLAN_RSRC_COUNT,RESACTUAL_RSRC_COUNT, PP_PROCESS_PARAM_ID, PP_PARAMETER_NAME, PP_PARAMETER_DESCRIPTION, PP_PARAMETER_ID, PP_ACTUAL_VALUE, PP_TARGET_VALUE, PP_MINIMUM_VALUE, PP_MAXIMUM_VALUE,
PP_PARAMETER_UOM, SAMPLE_ID, EVENT_SPEC_DISP_ID, RESULT_ID, SAMPLE_NUMBER, LAB_NAME, DISPOSITION, DISPOSITION_CODE, SAMPLESTEP_NO, SEQUENCE,
TEST, TEST_EVALUATION, RESULT, TARGET, UNIT, MIN_VALUE, MAX_VALUE, RESULT_DATE, TESTER, NONCONFORM_SEVERITY, NONCONFORMANCE_TYPE, NONCONFORMANCE_STATUS, NCM_DATE_OPENED,
NCM_PLAN_ID, NCM_COLLECTION_ID, NCM_OCCURRENCE, NCM_LAST_UPDATE_DATE, NONCONFORMANCE_NUMBER, NONCONFORMANCE_OWNER, NONCONFORMANCE_DESC, EID_LAST_UPDATE_DATE,
LANGUAGE, COMPLETED_TODAY, COMPLETED_LAST_WEEK, HAS_ACCEPTED_SAMPLES, HAS_REJECTED_SAMPLES, HAS_VARIANCE_SAMPLES,
TOTAL_NON_CONFORMANCES,NONCONFORMANCES 
from
OPM_ECC_QUALITY_V v
where
LAST_UPDATE_DATE &gt;= TO_DATE('23-APR-20','DD-MON-RR HH24:MI:SS')
and language in ('US')  )
PIVOT (max(BATCH_HOLD_IND) AS BATCH_HOLD_IND  ,max(ORGNAME) AS ORGNAME,max(BATCH_STATUS_DESCRIPTION) AS BATCH_STATUS_DESCRIPTION,max(STEP_STATUS) AS STEP_STATUS,
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
max(STEP_OPRN_DESC) as STEP_OPRN_DESC for LANGUAGE in ('US' "US"))</t>
  </si>
  <si>
    <t>SELECT * FROM (
select
ECC_SPEC_ID, RECORD_TYPE, RECORD_IDENTIFIER, v.ORGANIZATION_ID, ORGCODE, ORGNAME, v.BATCH_ID, BATCH_NO, BATCH_STATUS,
BATCH_STATUS_DESCRIPTION, BATCH_TYPE, BATCH_TYPE_DESCRIPTION, BATCH_DELAYED,
BATCH_DELAY_TIME, BATCH_DELAY_STRING, BATCH_TERMINATED_IND, RECIPE_VALIDITY_RULE_ID, ROUTINGID,
PLANNEDSTARTDATE, PLANNEDCOMPDATE, ACTUALSTARTDATE, ACTUALCOMPDATE, CLOSEDATE, DUEDATE, FORMULA_ID, FORMULA_NO, FORMULA_VERS,
FORMULADESC, RECIPE_ID, RECIPE_NO, RECIPE_STATUS, RECIPE_STATUS_DESC, RECIPE_VERSION, RECIPE_DESCRIPTION, ROUTING_NO,
ROUTING_VERSION, ROUTING_DESCRIPTION, ROUTING_CLASS, ROUTING_STATUS, ROUTING_STATUS_DESC, FPO_ID, BATCH_HOLD_IND,
HOLD_REASON, HOLD_START_DATE, HOLD_COMMENTS, HOLD_REQUESTOR, BATCH_HOLD_TYPE, MATERIAL_DETAIL_ID, LINE_TYPE, LINE_DESCRIPTION,
INVENTORY_ITEM_ID, ITEM_DESCRIPTION, ITEM, INVENTORY_PLANNING_CODE, PLANNER_CODE, LINE_NO, PLANQTY, ACTUALQTY,
WIPPLANQTY, DTL_UM, PLAN_MATERIAL_YIELD, WIP_PLAN_MATERIAL_YIELD, DTL_UNALLOC, STEPID, BATCHSTEP_NO, STEP_OPRN_NAME
, STEP_OPRN_DESC, STEP_STATUS, STEPPLANNEDSTARTDATE, STEPPLANNEDCOMPDATE, STEPACTUALSTARTDATE, STEPACTUALCOMPDATE, STEPCLOSEDATE, STEPPLANNEDQTY, STEPACTUALQTY, ROUTINGSTEPID, STEP_DELAYED, STEP_DELAY_TIME, STEP_DELAY_STRING, ACTIVITY,
BATCHSTEP_ACTVITY_ID, ACTPLANSTARTDATE, ACTPLANCOMPDATE, ACTACTUALSTARTDATE, ACTACTUALCOMPDATE, OPRN_LINE_ID, RES, RESOURCE_DESC, RESPRIM_RSRC_IND,
RESCAPACITY_UM, RESPLANLUSG,RESACTUALUSG, RESPLANQTY, RESACTUALQTY, RESPLANSTARTDATE, RESACTUALSTARTDATE,
RESPLANCOMPDATE, RESACTUALCOMPDATE, RESUSAGE_UM, RESRESOURCE_QTY_UM, RESPLAN_RSRC_COUNT, RESACTUAL_RSRC_COUNT,
PP_PROCESS_PARAM_ID, PP_PARAMETER_NAME, PP_PARAMETER_DESCRIPTION, PP_PARAMETER_ID, PP_ACTUAL_VALUE, PP_TARGET_VALUE, PP_MINIMUM_VALUE, PP_MAXIMUM_VALUE, PP_PARAMETER_UOM,
CUSTOMER_NAME, ORDER_NUMBER, RESERVATION_ID, SALES_ORDER_ID, ORD_LINE_ID, ORDERED_ITEM,
REQUEST_DATE, PROMISE_DATE, ORDER_QUANTITY_UOM, ORDERED_QUANTITY, TRANSACTION_TYPE_ID, TRANSACTION_TYPE_NAME, REAS_TRANSACTION_DATE,
REAS_TRANS_ID, LOT_NUMBER, SUBINVENTORY, LOCATOR_ID, TRANSACTION_QUANTITY, PRIMARY_QUANTITY, SECONDARY_TRANSACTION_QUANTITY, PRIMARY_UOM_CODE, SECONDARY_UOM_CODE, LPN_ID, REASON_ID, REASON_NAME, DESCRIPTION, EXP_LOT_NUMBER, EXP_PARENT_LOT_NUMBER,
EXP_SUPPLIER_LOT_NUMBER, EXP_LOT_GRADE_CODE, EXPIRATION_DATE, EXPIRATION_PERIOD, EXP_SUBINVENTORY, EXP_LOCATOR_ID, OH_EXP_TRANSACTION_QUANTITY, OH_EXP_PRIMARY_QUANTITY, SAMPLE_ID, EVENT_SPEC_DISP_ID, RESULT_ID, SAMPLE_NUMBER, LAB_NAME, DISPOSITION,
DISPOSITION_CODE, SAMPLESTEP_NO, SEQUENCE, TEST, TEST_EVALUATION, RESULT, TARGET, UNIT, MIN_VALUE, MAX_VALUE,
RESULT_DATE, TESTER, NONCONFORM_SEVERITY, NONCONFORMANCE_TYPE, NONCONFORMANCE_STATUS, NCM_DATE_OPENED, NCM_PLAN_ID, NCM_COLLECTION_ID, NCM_OCCURRENCE, NCM_LAST_UPDATE_DATE, NONCONFORMANCE_NUMBER, NONCONFORMANCE_OWNER,
NONCONFORMANCE_DESC, EID_LAST_UPDATE_DATE,
LANGUAGE, STARTING_TODAY, COMPLETING_TODAY, STARTED_TODAY, COMPLETED_TODAY, COMPLETED_YESTERDAY,
STARTING_TOMORROW, COMPLETING_TOMORROW, UPCOMING, FINISH_DELAYED, STARTED_LATE, UNALLOC_PRDT, ON_TRACK, DELAYED,ON_HOLD,UNALLOCATED,LAST_UPDATE_DATE 
from OPM_ECC_V v
where
LAST_UPDATE_DATE &gt;= TO_DATE('23-APR-20','DD-MON-RR HH24:MI:SS')
and language in ('US')  )
PIVOT (max(BATCH_HOLD_IND) AS BATCH_HOLD_IND ,max(ORGNAME) AS ORGNAME,max(BATCH_STATUS_DESCRIPTION) AS BATCH_STATUS_DESCRIPTION,max(STEP_STATUS) AS STEP_STATUS,max(LINE_DESCRIPTION) AS LINE_DESCRIPTION,max(DISPOSITION) AS DISPOSITION,
max(RECIPE_STATUS_DESC) as RECIPE_STATUS_DESC ,max(ITEM_DESCRIPTION) as ITEM_DESCRIPTION, max(PLANNER_CODE) as PLANNER_CODE,max(RECIPE_DESCRIPTION) as RECIPE_DESCRIPTION,
max(FORMULADESC) as FORMULADESC,max(ROUTING_DESCRIPTION) as ROUTING_DESCRIPTION,
max(ROUTING_STATUS_DESC) as ROUTING_STATUS_DESC,max(PP_PARAMETER_DESCRIPTION) as PP_PARAMETER_DESCRIPTION,max(RESOURCE_DESC) as RESOURCE_DESC,max(STEP_OPRN_DESC) as STEP_OPRN_DESC for LANGUAGE in ('US' "US"))</t>
  </si>
  <si>
    <t>SELECT * FROM ( SELECT x1.*,wdd_dfv.*,wnd_dfv.*, requested_quantity_value DELIVERY_VALUE FROM (
SELECT   ecc_spec_id
               ,line_number
               ,schedule_ship_date
               ,subinventory
               ,locator
               ,revision
               ,lot_number
               ,request_date
               ,order_number
               ,ordered_date
               ,delivery_detail_id
               ,delivery_id
               ,delivery_name
               ,delivery_name_disp
               ,released_status
               ,released_status_bucket
               ,exceptionid_detail detail_exception_id
               ,nvl(exceptionid_detail,exceptionid_delivery) delivery_exception_id
               ,decode(nvl(exceptionid_detail,exceptionid_delivery),null,'No','Yes') delivery_exception_flag
               ,nvl(nvl(exceptionid_detail,exceptionid_delivery),exceptionid_trip) trip_exception_id
               ,msiv1.concatenated_segments item
               ,msiv1.inventory_item_id
               ,a.organization_id
               ,organization_code
               ,quantity
               ,quantity2
               ,ship_from_country
               ,ship_to_country
               ,ship_from_location
               ,ship_to_location
               ,hp.party_name customer
               ,conv_gross_weight gross_weight
               ,volume detail_volume
               ,a.weight_uom_code
               ,a.volume_uom_code
               ,requested_quantity_value
               ,trip_name
               ,trip_name_disp
               ,flv2.meaning planned_flag
               ,initial_pickup_date
               ,ultimate_dropoff_date
               ,flv3.meaning fob_code
			   ,waybill
			   ,delivery_gross_weight
			   ,delivery_gross_weight_uom
			   ,delivery_net_weight
			   ,delivery_net_weight_uom
			   ,delivery_volume
			   ,delivery_volume_uom
			   ,confirm_date
			   ,flv4.meaning trip_status
			   ,vehicle_number
			   ,order_type
			   ,flv5.meaning delivery_status
			   ,released_status_flag
            ,decode(released_status_flag,'C','Complete','D','Canceled','Not Complete and Not Cancelled') fulfill_status
            ,flv6.meaning ship_method
            ,flv7.meaning service_level
            ,flv8.meaning mode_of_transport
            ,flv9.meaning freight_terms_code
            ,nvl(hp1.party_name, 'Unassigned') Carrier
            ,hp1.party_name Carrier_disp
            ,trip_id
         ,CASE
                WHEN ( nvl(hp1.party_name, 'Unassigned') = 'Unassigned' )
                   OR (            delivery_name = 'Unassigned'      )
                   OR (             trip_name = 'Unassigned'           )
                   OR (             exceptionid_detail IS NOT NULL )
                    OR (            hold_flag IS NOT NULL          )
                THEN 'ecc_warning'
                ELSE 'ecc_blank'
            END
        detail_alert_flag
            ,CASE
                WHEN (nvl(hp1.party_name, 'Unassigned') = 'Unassigned'               )
                    OR (       trip_name = 'Unassigned'                )
                    OR (       nvl(exceptionid_detail,exceptionid_delivery) IS NOT NULL       )
                    OR (       hold_flag IS NOT NULL              )
              THEN 'ecc_warning'
                ELSE 'ecc_blank'
            END
        delivery_alert_flag
            ,CASE
                WHEN ( nvl(hp1.party_name, 'Unassigned') = 'Unassigned'  )
                   OR (    exceptionid_trip IS NOT NULL           )
                   OR (    hold_flag IS NOT NULL   )
               THEN 'ecc_warning'
                ELSE 'ecc_blank'
            END
        trip_alert_flag
        ,inv_ecc_outbound_util_pvt.get_lookup_meaning(DECODE(
                exceptionid_detail,
                NULL,
                DECODE(
                    exceptionid_delivery,
                    NULL,
                    DECODE(
                        exceptionid_trip,
                        NULL,
                        'N',
                        'Y'
                    ),
                    'Y'
                ),
                'Y'
            ), 'YES_NO',0 , a.language)  exception_flag
        , decode ( hold_flag ,'Y','delete_16_full','ecc_blank') hold_flag
        , flv10.meaning otm_planning_status
         ,flv11.meaning shipment_priority_name
         ,shipping_instructions
         ,stop_sequence_number
         ,trim(wave_name) wave_name
       ,a.language
FROM    (
       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  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wl1.location_source_code(+) = 'HR'
        AND     wl2.wsh_location_id(+) = wdd.ship_to_location_id
        AND     wl2.location_source_code(+) = 'HZ'
        AND     wl3.wsh_location_id(+) = wdd.ship_from_location_id
        AND     wl4.wsh_location_id(+) = wdd.ship_to_location_id
        AND     (
                        wdl.delivery_id IS NULL
                OR      wnd.ultimate_dropoff_location_id = wts1.stop_location_id
                )
        AND     oola.last_update_date &gt;  to_date(to_char(to_timestamp('23-APR-20 01.00.47.000000 PM'),'DD-MON-YY HH24.MI.SS'),'DD-MON-YY HH24.MI.SS') UNION SELECT  wdd.delivery_detail_id ecc_spec_id
               ,wdd.source_header_number order_number
               ,ooha.ordered_date ordered_date
               ,wdd.source_line_number line_number
               ,nvl (wnd.initial_pickup_date
                    ,wdd.date_scheduled) schedule_ship_date
               ,wdd.subinventory
               ,mil.concatenated_segments locator
               ,wdd.revision
               ,wdd.lot_number
               ,wdd.date_requested request_date
               ,wdd.delivery_detail_id
               ,wnd.delivery_id delivery_id
               ,nvl (wnd.name ,'Unassigned')  delivery_name
               ,wnd.name delivery_name_disp
               ,flv1.meaning released_status
               ,(CASE
                WHEN    wdd.replenishment_status in ('R', 'C') OR wdd.released_status = 'S'
                        THEN    5
                WHEN    wdd.released_status IN ('R','B')
                        THEN    3
                WHEN    wdd.released_status = 'Y'
                        THEN    7
                WHEN    wdd.released_status = 'C'
                        THEN    9
               END) released_status_bucket
               ,(select min(we.exception_id) from wsh_exceptions_v we where we.delivery_detail_id = wdd.delivery_detail_id and we.severity = 'ERROR' and we.status = 'OPEN') exceptionid_detail
               ,(select min(we.exception_id) from wsh_exceptions_v we where we.assigned_delivery_id = wnd.delivery_id and we.severity = 'ERROR' and we.status = 'OPEN') exceptionid_delivery
               ,(select min(we.exception_id) from wsh_exceptions_v we where we.trip_id = wt.trip_id and we.severity = 'ERROR' and we.status = 'OPEN') exceptionid_trip
               ,wdd.organization_id
               ,mp.organization_code organization_code
               ,CASE
                WHEN wdd.requested_quantity &lt; 1 AND wdd.requested_quantity &gt; 0
                 THEN '0'||wdd.requested_quantity||' '|| wdd.requested_quantity_uom
                ELSE
                  wdd.requested_quantity||' '|| wdd.requested_quantity_uom
                END quantity
               ,CASE
                WHEN wdd.requested_quantity2 &lt; 1 AND wdd.requested_quantity2 &gt; 0
                 THEN '0'||wdd.requested_quantity2||' '|| wdd.requested_quantity_uom2
                ELSE
                  wdd.requested_quantity2||' '|| wdd.requested_quantity_uom2
                END quantity2
               ,wl1.country ship_from_country
               ,wl2.country ship_to_country
               ,wl3.ui_location_code ship_from_location
               ,wl4.ui_location_code ship_to_location
			   ,wdd.inventory_item_id
               ,wdd.customer_id
               ,CASE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conv_gross_weight
               ,CASE WHEN wdd.gross_weight &gt; 0  THEN CASE
                WHEN    wdd.weight_uom_code = muom1.uom_code
                        THEN    wdd.gross_weight
                ELSE    wsh_wv_utils.convert_uom
                                                  (from_uom =&gt; wdd.weight_uom_code
                                                  ,to_uom   =&gt; muom1.uom_code
                                                  ,quantity =&gt; wdd.gross_weight
                                                  ,item_id  =&gt; wdd.inventory_item_id
                                                  ,org_id   =&gt; wdd.organization_id ) END || ' ' || muom1.uom_code END  weight_uom_code
               ,CASE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Volume
               ,CASE WHEN WDD.VOLUME &gt;0 THEN CASE
                WHEN    wdd.volume_uom_code = muom2.uom_code
                        THEN    wdd.volume
                ELSE    wsh_wv_utils.convert_uom
                                                  (from_uom =&gt; wdd.volume_uom_code
                                                  ,to_uom   =&gt; muom2.uom_code
                                                  ,quantity =&gt; wdd.volume
                                                  ,item_id  =&gt; wdd.inventory_item_id
                                                  ,org_id   =&gt; wdd.organization_id ) END || ' ' || muom2.uom_code END volume_uom_code
               ,inv_ecc_outbound_util_pvt.get_converted_amount (wdd.org_id
                                                      ,wdd.currency_code
                                                      ,wdd.date_requested
                                                      ,NULL
                                                      ,NULL
                                                      ,decode (wdd.requested_quantity_uom
                                                              ,wdd.src_requested_quantity_uom
                                                              ,wdd.requested_quantity
                                                              ,inv_convert.inv_um_convert (wdd.inventory_item_id
                                                                                          ,5
                                                                                          ,wdd.requested_quantity
                                                                                          ,wdd.requested_quantity_uom
                                                                                          ,wdd.src_requested_quantity_uom
                                                                                          ,NULL
                                                                                          ,NULL)) * oola.unit_selling_price) requested_quantity_value
               ,nvl(wt.name ,'Unassigned') trip_name
               ,wt.name trip_name_disp
               ,wnd.planned_flag
               ,wnd.initial_pickup_date
               ,wnd.ultimate_dropoff_date
               ,wnd.fob_code
               ,wnd.waybill
               ,wnd.gross_weight delivery_gross_weight
			   ,case when wnd.gross_weight &gt;0  then wnd.gross_weight ||' '||wnd.weight_uom_code END delivery_gross_weight_uom
               ,wnd.net_weight delivery_net_weight
			   ,case when wnd.net_weight &gt;0  then wnd.net_weight ||' '||wnd.weight_uom_code END delivery_net_weight_uom
               ,wnd.volume delivery_volume
			   ,case when wnd.volume &gt;0  then wnd.volume ||' '||wnd.volume_uom_code END delivery_volume_uom
               ,wnd.confirm_date
               ,wt.status_code trip_status
               ,wt.vehicle_number
               ,wdd.source_header_type_name order_type
               ,wnd.status_code delivery_status
               ,wdd.released_status released_status_flag
               ,CASE
                WHEN    wt.trip_id is not null
                        THEN    wt.ship_method_code
                WHEN    wt.trip_id is null and wnd.delivery_id is not null
                        THEN    wnd.ship_method_code
                WHEN    wt.trip_id is null and wnd.delivery_id is null and wdd.delivery_detail_id is not null
                        THEN    wdd.ship_method_code
                ELSE NULL END ship_method_code
			   ,CASE
                WHEN    wt.trip_id is not null
                        THEN    wt.service_level
                WHEN    wt.trip_id is null and wnd.delivery_id is not null
                        THEN    wnd.service_level
                WHEN    wt.trip_id is null and wnd.delivery_id is null and wdd.delivery_detail_id is not null
                        THEN    wdd.service_level
                ELSE NULL END service_level
			   ,CASE
                WHEN    wt.trip_id is not null
                        THEN    wt.mode_of_transport
                WHEN    wt.trip_id is null and wnd.delivery_id is not null
                        THEN    wnd.mode_of_transport
                WHEN    wt.trip_id is null and wnd.delivery_id is null and wdd.delivery_detail_id is not null
                        THEN    wdd.mode_of_transport
                ELSE NULL END mode_of_transport
			   ,CASE
                WHEN    wt.trip_id is not null
                        THEN    wt.freight_terms_code
                WHEN    wt.trip_id is null and wnd.delivery_id is not null
                        THEN    wnd.freight_terms_code
                WHEN    wt.trip_id is null and wnd.delivery_id is null and wdd.delivery_detail_id is not null
                        THEN    wdd.freight_terms_code
                ELSE NULL END freight_terms_code
			   ,CASE
                WHEN    wt.trip_id is not null
                        THEN    wt.carrier_id
                WHEN    wt.trip_id is null and wnd.delivery_id is not null
                        THEN    wnd.carrier_id
                WHEN    wt.trip_id is null and wnd.delivery_id is null and wdd.delivery_detail_id is not null
                        THEN    wdd.carrier_id
                ELSE NULL END carrier_id
			   ,wt.trip_id
         ,inv_ecc_outbound_util_pvt.GET_hold_flag(oh1.header_id,oh2.line_id) hold_flag,
                DECODE(
                    wsp.otm_enabled,
                    'Y',
                    DECODE(
                        wdd.ignore_for_planning,
                        'N',
                        DECODE(
                            wt.trip_id,
                            NULL,
                            'N',
                            'Y'
                        ),
                        'X'
                    ),
                    'X'
                ) otm_planned_flag,
               wdd.shipment_priority_code,
               wdd.shipping_instructions,
               wts1.stop_sequence_number,
               whtl.wave_name,
	             flv1.language
        FROM    oe_order_headers_all ooha
               ,oe_order_lines_all oola
               ,wsh_delivery_details wdd
               ,wsh_shipping_parameters wsp
               ,mtl_units_of_measure_tl muom1
               ,mtl_units_of_measure_tl muom2
               ,wsh_delivery_assignments wda
               ,mtl_item_locations_kfv mil
               ,wsh_new_deliveries wnd
               ,wsh_delivery_legs wdl
               ,wsh_trip_stops wts
               ,wsh_trip_stops wts1
               ,wsh_trips wt
               ,fnd_lookup_values flv1
               ,oe_order_holds_all oh1
               ,oe_order_holds_all oh2
               ,wms_wp_wave_headers_tl whtl
               ,wms_wp_wave_lines wl
               ,mtl_parameters mp
               ,wsh_locations wl1
               ,wsh_locations wl2
               ,wsh_locations wl3
               ,wsh_locations wl4
        WHERE   ooha.header_id = oola.header_id
        AND     wdd.source_header_id = ooha.header_id (+)
        AND     wdd.source_line_id = oola.line_id
        AND     wdd.released_status IN ('B','S','Y','R','C','D')
        AND     wdd.organization_id = mil.organization_id (+)
        AND     wdd.locator_id = mil.inventory_location_id (+)
        AND     wdd.organization_id = wsp.organization_id
        AND     wsp.weight_uom_class = muom1.uom_class
        AND     muom1.base_uom_flag = 'Y'
        AND     muom1.language = flv1.language
        AND     wsp.volume_uom_class = muom2.uom_class
        AND     muom2.base_uom_flag = 'Y'
        AND     muom2.language = flv1.language
        AND     wdd.delivery_detail_id = wda.delivery_detail_id (+)
        AND     wda.delivery_id = wnd.delivery_id (+)
        AND     wnd.delivery_id = wdl.delivery_id (+)
        AND     wdl.pick_up_stop_id = wts.stop_id (+)
        AND     (
                        wdl.delivery_id IS NULL
                OR      wnd.initial_pickup_location_id = wts.stop_location_id
                )
        AND     wts.trip_id = wt.trip_id (+)
               AND     decode (wdd.released_status
                       ,'N'
                       ,'N'
                       ,decode (wdd.replenishment_status
                               ,'R'
                               ,'E'
                               ,'C'
                               ,'F'
                               ,wdd.released_status)) = flv1.lookup_code
        AND     flv1.lookup_type = 'PICK_STATUS'
        AND     ooha.header_id = oh1.header_id (+)
        AND     oh1.line_id (+) IS NULL
        AND     oola.line_id = oh2.line_id (+)
        AND     oh2.line_id (+) IS NOT NULL
        AND     wdd.delivery_detail_id = wl.delivery_detail_id (+)
        AND     wl.wave_header_id = whtl.wave_header_id (+)
        AND     nvl(whtl.language, flv1.language) = flv1.language
        AND     wdl.drop_off_stop_id = wts1.stop_id (+)
        AND     mp.organization_id(+) = wdd.organization_id
        AND     wl1.wsh_location_id(+) = wdd.ship_from_location_id
        AND     wl1.l</t>
  </si>
  <si>
    <t>select * from (SELECT ECC_SPEC_ID
    ,PERSON_ID
               ,COMPETENCY_NAME
               ,COM_EFFECTIVE_DATE_FROM
               ,COM_EFFECTIVE_DATE_TO
    ,LOGGED_USER_ID
    ,SECURITY_PROFILE_ID
               ,COM_LAST_UPDATE_DATE
,LANGUAGE
FROM PER_ECC_COMPETENCY_V where language in ('US') and COM_LAST_UPDATE_DATE &gt;=  to_date(to_char(to_timestamp('23-APR-20' ),'DD-MON-YY HH24.MI.SS'),'DD-MON-YY HH24.MI.SS')) PIVOT (max(COMPETENCY_NAME) as COMPETENCY_NAME for LANGUAGE in ('US' "US"))</t>
  </si>
  <si>
    <t>select * from (SELECT ECC_SPEC_ID
    ,PERSON_ID
               ,QUALIFICATION
    ,LOGGED_USER_ID
    ,SECURITY_PROFILE_ID
               ,QUA_LAST_UPDATE_DATE
,LANGUAGE
FROM PER_ECC_QUALIFICATION_V where language in ('US') and QUA_LAST_UPDATE_DATE &gt;=  to_date(to_char(to_timestamp('23-APR-20' ),'DD-MON-YY HH24.MI.SS'),'DD-MON-YY HH24.MI.SS')) PIVOT (max(QUALIFICATION) as QUALIFICATION for LANGUAGE in ('US' "US"))</t>
  </si>
  <si>
    <t>select * from (SELECT ECC_SPEC_ID
    ,PERSON_ID
               ,PERFORMANCE_RATING
               ,REVIEW_DATE
    ,LOGGED_USER_ID
    ,SECURITY_PROFILE_ID
               ,PER_LAST_UPDATE_DATE
,LANGUAGE
FROM PER_ECC_PERFORMANCE_V where language in ('US') and PER_LAST_UPDATE_DATE &gt;=  to_date(to_char(to_timestamp('23-APR-20' ),'DD-MON-YY HH24.MI.SS'),'DD-MON-YY HH24.MI.SS')) PIVOT (max(PERFORMANCE_RATING) as PERFORMANCE_RATING for LANGUAGE in ('US' "US"))</t>
  </si>
  <si>
    <t>select * from (SELECT ECC_SPEC_ID
    ,PERSON_ID
               ,TAG
    ,LOGGED_USER_ID
    ,SECURITY_PROFILE_ID
               ,TAG_LAST_UPDATE_DATE
,LANGUAGE
FROM PER_ECC_TAG_V where language in ('US') and TAG_LAST_UPDATE_DATE &gt;=  to_date(to_char(to_timestamp('23-APR-20' ),'DD-MON-YY HH24.MI.SS'),'DD-MON-YY HH24.MI.SS')) PIVOT (max(TAG) as TAG for LANGUAGE in ('US' "US"))</t>
  </si>
  <si>
    <t>select * from (SELECT ECC_SPEC_ID
    ,PERSON_ID
               ,PHONE_NUMBER
    ,LOGGED_USER_ID
    ,SECURITY_PROFILE_ID
               ,PHN_LAST_UPDATE_DATE
,LANGUAGE
FROM PER_ECC_PHONE_V where language in ('US') and PHN_LAST_UPDATE_DATE &gt;=  to_date(to_char(to_timestamp('23-APR-20' ),'DD-MON-YY HH24.MI.SS'),'DD-MON-YY HH24.MI.SS')) PIVOT (max(PHONE_NUMBER) as PHONE_NUMBER for LANGUAGE in ('US' "US"))</t>
  </si>
  <si>
    <t>select * from (SELECT ECC_SPEC_ID
    ,PERSON_ID
               ,ADDRESS_STYLE
               ,ADDRESS_TYPE
               ,ADDRESS
               ,ADDRESS_DATE_FROM
               ,ADDRESS_DATE_TO
    ,LOGGED_USER_ID
    ,SECURITY_PROFILE_ID
               ,ADD_LAST_UPDATE_DATE
,LANGUAGE
FROM PER_ECC_ADDRESS_V where language in ('US') and ADD_LAST_UPDATE_DATE &gt;=  to_date(to_char(to_timestamp('23-APR-20' ),'DD-MON-YY HH24.MI.SS'),'DD-MON-YY HH24.MI.SS')) PIVOT (max(ADDRESS_TYPE) as ADDRESS_TYPE for LANGUAGE in ('US' "US"))</t>
  </si>
  <si>
    <t>select * from (SELECT ECC_SPEC_ID
                ,PERSON_ID
                ,USER_ID
               ,ASG_EFFECTIVE_START_DATE
               ,ASG_EFFECTIVE_END_DATE
               ,ASSIGNMENT_ID
               ,ASG_PRIMARY_FLAG
               ,EMPLOYEE_CATEGORY
               ,EMPLOYMENT_CATEGORY
               ,ASSIGNMENT_CATEGORY
               ,ASSIGNMENT_STATUS
               ,ASSIGNMENT_TYPE
               ,REMOTE_WORKER
               ,PROBATION_PERIOD
               ,BARGAINING_UNIT
               ,ORGANIZATION
               ,PEOPLE_GROUP
               ,JOB
               ,POSITION
               ,GRADE
               ,PAYROLL
               ,LOCATION
               ,GRADE_CHANGE
               ,JOB_CHANGE
               ,POSITION_CHANGE
               ,LOCATION_CHANGE
               ,ORGANIZATION_CHANGE
    ,SALARY_CHANGE
    ,COUNTRY
               ,SUPERVISOR
               ,SUPERVISOR_ID
               ,SUPERVISOR_USER_ID
               ,SALARY_BASIS
               ,REGULATORY_REGION
               ,DERIVED_LOCATION
               ,COORDINATES
    ,LOGGED_USER_ID
    ,SECURITY_PROFILE_ID
               ,ASG_LAST_UPDATE_DATE
               ,IS_MANAGER
,LANGUAGE
FROM PER_ECC_ASSIGNMENT_V where language in ('US') and ASG_LAST_UPDATE_DATE &gt;=  to_date(to_char(to_timestamp('23-APR-20' ),'DD-MON-YY HH24.MI.SS'),'DD-MON-YY HH24.MI.SS')) PIVOT (max(EMPLOYEE_CATEGORY) as EMPLOYEE_CATEGORY, max(EMPLOYMENT_CATEGORY) as EMPLOYMENT_CATEGORY,
  max(BARGAINING_UNIT) as BARGAINING_UNIT, max(COUNTRY) as COUNTRY, max(PROBATION_PERIOD) as PROBATION_PERIOD
                                                  , max(ORGANIZATION) as ORGANIZATION
                                                  , max(JOB) as JOB
                                                  , max(POSITION) as POSITION
                                                  , max(LOCATION) as LOCATION
                                                  , max(GRADE) as GRADE for LANGUAGE in ('US' "US"))</t>
  </si>
  <si>
    <t>select * from (SELECT ECC_SPEC_ID
        ,PERSON_ID
               ,PERSON
               ,IMAGE
               ,BUSINESS_GROUP_ID
               ,PEOPLE_EFFECTIVE_START_DATE
               ,PEOPLE_EFFECTIVE_END_DATE
               ,FIRST_NAME
               ,LAST_NAME
               ,MIDDLE_NAME
               ,KNOWN_AS
               ,FULL_NAME
               ,EMAIL_ADDRESS
               ,MARITAL_STATUS
               ,NATIONALITY
               ,PERSON_TYPE
               ,CURRENTLY_EMPLOYEE
               ,CURRENTLY_APPLICANT
               ,CURRENTLY_CONTINGENT_WORKER
               ,DATE_OF_BIRTH
               ,AGE
               ,BIRTH_ANNIVERSARY
               ,GENDER
               ,WORK_EXPERIENCE
               ,BLOOD_GROUP
               ,JOINING_DATE
               ,RELIEVING_DATE
               ,TENURE
               ,WORK_ANNIVERSARY
    ,LOGGED_USER_ID
    ,SECURITY_PROFILE_ID
               ,PEO_LAST_UPDATE_DATE
,LANGUAGE
FROM PER_ECC_PEOPLE_V where language in ('US') and PEO_LAST_UPDATE_DATE &gt;=  to_date(to_char(to_timestamp('23-APR-20' ),'DD-MON-YY HH24.MI.SS'),'DD-MON-YY HH24.MI.SS')) PIVOT (max(MARITAL_STATUS) as MARITAL_STATUS, max(NATIONALITY) as NATIONALITY, max(GENDER) as GENDER, max(PERSON_TYPE) as PERSON_TYPE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</si>
  <si>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QA_ECC_RESULTS_NC_V WHERE ECC_LAST_UPDATE_DATE &gt;= to_date('23-APR-20','DD-MON-YYYY HH24:MI:SS') AND LANGUAGE IN ('US'))
                                PIVOT ( MAX(ITEM_DESCRIPTION) AS ITEM_DESCRIPTION FOR LANGUAGE IN ('US' "US"))</t>
  </si>
  <si>
    <t>SELECT * FROM ( SELECT TXN_NUMEBR,TX_DESC,DATE_BUCKET,ECC_SPEC_ID,PLAN_NAME,PLAN_DESCRIPTION,PLAN_TYPE,PLAN_ID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 FROM QA_ECC_RESULTS_V WHERE ECC_LAST_UPDATE_DATE &gt;= to_date('23-APR-20','DD-MON-RR HH24:MI:SS') AND LANGUAGE IN ('US'))
                                  PIVOT ( MAX(ITEM_DESCRIPTION) AS ITEM_DESCRIPTION FOR LANGUAGE IN ('US' "US"))</t>
  </si>
  <si>
    <t>SELECT * FROM ( SELECT TX_DESC,DATE_BUCKET,TEMPLATE_PLAN_ID,COLLECTION_ID,OCCURRENCE,PARENT_PLAN_ID,PARENT_COLLECTION_ID,PARENT_OCCURRENCE,TAXONOMY_KEY,PARENT_PLAN_NAME,ROOT_PLAN_NAME,ROOT_OCCURRENCE,ORGANIZATION_ID,ORG_ID,ORGANIZATION_NAME,ORGANIZATION_CODE,ECC_CREATION_DATE,ECC_LAST_UPDATE_DATE,QA_CREATION_DATE,ITEM_DESCRIPTION,LANGUAGE,CREATED_BY,LAST_UPDATED_BY,TXN_GROUP,TXN_NUMEBR,ECC_SPEC_ID,PLAN_NAME,PLAN_DESCRIPTION,PLAN_TYPE,PLAN_ID FROM QA_ECC_RESULTS_CA_V WHERE ECC_LAST_UPDATE_DATE &gt;= to_date('23-APR-20','DD-MON-RR HH24:MI:SS') AND LANGUAGE IN ('US'))
                                PIVOT ( MAX(ITEM_DESCRIPTION) AS ITEM_DESCRIPTION FOR LANGUAGE IN ('US' "US"))</t>
  </si>
  <si>
    <t>58s</t>
  </si>
  <si>
    <t>select * from (  select * from ICX_CAT_ECC_100793_VL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</si>
  <si>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ICX_CAT_ECC_100772_VL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</si>
  <si>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ICX_CAT_ECC_100303_VL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</si>
  <si>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</si>
  <si>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</si>
  <si>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</si>
  <si>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</si>
  <si>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</si>
  <si>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</si>
  <si>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</si>
  <si>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</si>
  <si>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</si>
  <si>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</si>
  <si>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</si>
  <si>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ICX_CAT_ECC_100808_VL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</si>
  <si>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</si>
  <si>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</si>
  <si>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</si>
  <si>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</si>
  <si>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ICX_CAT_ECC_100748_VL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</si>
  <si>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ICX_CAT_ECC_100309_VL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</si>
  <si>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ICX_CAT_ECC_100304_VL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</si>
  <si>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ICX_CAT_ECC_100281_VL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</si>
  <si>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ICX_CAT_ECC_100121_VL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</si>
  <si>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</si>
  <si>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</si>
  <si>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</si>
  <si>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</si>
  <si>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</si>
  <si>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</si>
  <si>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</si>
  <si>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</si>
  <si>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</si>
  <si>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</si>
  <si>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</si>
  <si>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</si>
  <si>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</si>
  <si>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</si>
  <si>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</si>
  <si>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</si>
  <si>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</si>
  <si>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</si>
  <si>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ICX_CAT_ECC_100829_VL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</si>
  <si>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ICX_CAT_ECC_100774_VL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</si>
  <si>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ICX_CAT_ECC_100771_VL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</si>
  <si>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</si>
  <si>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</si>
  <si>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</si>
  <si>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</si>
  <si>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</si>
  <si>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</si>
  <si>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</si>
  <si>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</si>
  <si>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</si>
  <si>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</si>
  <si>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</si>
  <si>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</si>
  <si>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</si>
  <si>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</si>
  <si>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ICX_CAT_ECC_100770_VL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</si>
  <si>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</si>
  <si>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ICX_CAT_ECC_100306_VL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</si>
  <si>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</si>
  <si>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</si>
  <si>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</si>
  <si>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</si>
  <si>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</si>
  <si>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</si>
  <si>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</si>
  <si>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</si>
  <si>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</si>
  <si>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</si>
  <si>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</si>
  <si>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</si>
  <si>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</si>
  <si>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</si>
  <si>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</si>
  <si>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</si>
  <si>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ICX_CAT_ECC_100749_VL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</si>
  <si>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ICX_CAT_ECC_100417_VL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</si>
  <si>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ICX_CAT_ECC_100300_VL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</si>
  <si>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ICX_CAT_ECC_100283_VL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</si>
  <si>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ICX_CAT_ECC_100274_VL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</si>
  <si>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ICX_CAT_ECC_100271_VL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</si>
  <si>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</si>
  <si>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</si>
  <si>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</si>
  <si>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</si>
  <si>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</si>
  <si>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</si>
  <si>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</si>
  <si>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</si>
  <si>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</si>
  <si>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</si>
  <si>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</si>
  <si>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ICX_CAT_ECC_100848_VL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</si>
  <si>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</si>
  <si>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</si>
  <si>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ICX_CAT_ECC_100765_VL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</si>
  <si>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ICX_CAT_ECC_100123_VL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</si>
  <si>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</si>
  <si>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</si>
  <si>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</si>
  <si>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</si>
  <si>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</si>
  <si>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</si>
  <si>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ICX_CAT_ECC_100064_VL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</si>
  <si>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</si>
  <si>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</si>
  <si>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</si>
  <si>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</si>
  <si>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</si>
  <si>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</si>
  <si>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</si>
  <si>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ICX_CAT_ECC_100288_VL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</si>
  <si>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ICX_CAT_ECC_100286_VL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</si>
  <si>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ICX_CAT_ECC_100122_VL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</si>
  <si>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ICX_CAT_ECC_100120_VL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</si>
  <si>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</si>
  <si>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</si>
  <si>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</si>
  <si>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</si>
  <si>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</si>
  <si>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</si>
  <si>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ICX_CAT_ECC_100037_VL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</si>
  <si>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</si>
  <si>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</si>
  <si>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ICX_CAT_ECC_100022_VL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</si>
  <si>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ICX_CAT_ECC_0_VL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</si>
  <si>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ICX_CAT_ECC_100773_VL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</si>
  <si>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</si>
  <si>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ICX_CAT_ECC_100751_VL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</si>
  <si>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ICX_CAT_ECC_100506_VL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</si>
  <si>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ICX_CAT_ECC_100302_VL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</si>
  <si>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ICX_CAT_ECC_100285_VL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</si>
  <si>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ICX_CAT_ECC_100269_VL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</si>
  <si>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ICX_CAT_ECC_100116_VL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</si>
  <si>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ICX_CAT_ECC_100101_VL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</si>
  <si>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ICX_CAT_ECC_100092_VL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</si>
  <si>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ICX_CAT_ECC_100084_VL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</si>
  <si>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ICX_CAT_ECC_100078_VL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</si>
  <si>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ICX_CAT_ECC_100056_VL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</si>
  <si>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ICX_CAT_ECC_100041_VL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</si>
  <si>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ICX_CAT_ECC_100039_VL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</si>
  <si>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ICX_CAT_ECC_100035_VL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</si>
  <si>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>select * from (  select * from ICX_CAT_ECC_100033_VL WHERE LANGUAGE in ( 'US')  AND ECC_LAST_UPDATE_DATE &gt;=  to_date(to_char(to_timestamp('23-APR-20 12.06.23.000000 PM'),'DD-MON-YY HH24.MI.SS'),'DD-MON-YY HH24.MI.SS') )
              PIVOT ( count(1) as IS_TRANSLATION_AVAILABLE    FOR LANGUAGE IN ('US' "US"))</t>
  </si>
  <si>
    <t xml:space="preserve">select ecc_spec_id, cum_weightage from icx_cat_ecc_weightages_v  WHERE ECC_LAST_UPDATE_DATE &gt;=  to_date(to_char(to_timestamp('23-APR-20 12.06.23.000000 PM'),'DD-MON-YY HH24.MI.SS'),'DD-MON-YY HH24.MI.SS') </t>
  </si>
  <si>
    <t xml:space="preserve">SELECT
              ecc_spec_id,
              zonesi
              from icx_cat_ecc_zones_i WHERE ECC_LAST_UPDATE_DATE &gt;=  to_date(to_char(to_timestamp('23-APR-20 12.06.23.000000 PM'),'DD-MON-YY HH24.MI.SS'),'DD-MON-YY HH24.MI.SS') </t>
  </si>
  <si>
    <t xml:space="preserve">SELECT
              ecc_spec_id,
              zonesp
              from icx_cat_ecc_zones_p WHERE ECC_LAST_UPDATE_DATE &gt;=  to_date(to_char(to_timestamp('23-APR-20 12.06.23.000000 PM'),'DD-MON-YY HH24.MI.SS'),'DD-MON-YY HH24.MI.SS') </t>
  </si>
  <si>
    <t xml:space="preserve">SELECT
              ecc_spec_id,
              zonesb
              from icx_cat_ecc_zones_b WHERE ECC_LAST_UPDATE_DATE &gt;=  to_date(to_char(to_timestamp('23-APR-20 12.06.23.000000 PM'),'DD-MON-YY HH24.MI.SS'),'DD-MON-YY HH24.MI.SS') </t>
  </si>
  <si>
    <t>SELECT * FROM(
              SELECT
              ecc_spec_id,
              shopping_category,
              CASE
              WHEN shopping_category_5 IS NOT NULL THEN shopping_category_5
              WHEN shopping_category_4 IS NOT NULL THEN shopping_category_4
              WHEN shopping_category_3 IS NOT NULL THEN shopping_category_3
              WHEN shopping_category_2 IS NOT NULL THEN shopping_category_2
              ELSE 'Others' END AS shopping_category_1 ,
              CASE
              WHEN shopping_category_5 IS NOT NULL AND shopping_category_4 IS NOT NULL  THEN shopping_category_4
              WHEN shopping_category_4 IS NOT NULL AND shopping_category_3 IS NOT NULL  THEN shopping_category_3
              WHEN shopping_category_3 IS NOT NULL AND shopping_category_2 IS NOT NULL  THEN shopping_category_2
              WHEN  shopping_category_2 IS NOT NULL AND shopping_category_1 IS NOT NULL  THEN shopping_category_1
              ELSE shopping_category_1
              END AS shopping_category_2,
              CASE
              WHEN shopping_category_5 IS NOT NULL AND shopping_category_4 IS NOT NULL  AND shopping_category_3 IS NOT NULL  THEN shopping_category_3
              WHEN shopping_category_4 IS NOT NULL AND shopping_category_3 IS NOT NULL  AND shopping_category_2 IS NOT NULL  THEN shopping_category_2
              WHEN shopping_category_3 IS NOT NULL AND shopping_category_2 IS NOT NULL  AND shopping_category_1 IS NOT NULL  THEN shopping_category_1
              ELSE null
              END AS shopping_category_3,
              CASE
	      WHEN shopping_category_5 IS NOT NULL AND shopping_category_4 IS NOT NULL  AND shopping_category_3 IS NOT NULL AND shopping_category_2 IS NOT NULL  THEN shopping_category_2
	      WHEN shopping_category_4 IS NOT NULL AND shopping_category_3 IS NOT NULL  AND shopping_category_2 IS NOT NULL AND shopping_category_1 IS NOT NULL  THEN shopping_category_1
	      ELSE null
              END AS shopping_category_4,
              CASE
	      WHEN shopping_category_5 IS NOT NULL AND shopping_category_4 IS NOT NULL  AND shopping_category_3 IS NOT NULL AND shopping_category_2 IS NOT NULL AND shopping_category_1 IS NOT NULL  THEN shopping_category_1
	      ELSE null
              END AS shopping_category_5,
              LANGUAGE
              FROM  icx_ecc_category_hierarchy WHERE LANGUAGE in ( 'US')  AND ECC_LAST_UPDATE_DATE &gt;=  to_date(to_char(to_timestamp('23-APR-20 12.06.23.000000 PM'),'DD-MON-YY HH24.MI.SS'),'DD-MON-YY HH24.MI.SS')  ) PIVOT(
                MAX(SHOPPING_CATEGORY) AS SHOPPING_CATEGORY,
                MAX(SHOPPING_CATEGORY_1) AS SHOPPING_CATEGORY_1,
                MAX(SHOPPING_CATEGORY_2) AS SHOPPING_CATEGORY_2,
                MAX(SHOPPING_CATEGORY_3) AS SHOPPING_CATEGORY_3,
                MAX(SHOPPING_CATEGORY_4) AS SHOPPING_CATEGORY_4,
                MAX(SHOPPING_CATEGORY_5) AS SHOPPING_CATEGORY_5
                FOR LANGUAGE IN ('US' "US"))</t>
  </si>
  <si>
    <t>SELECT * FROM  ( SELECT   ECC_SPEC_ID,
              THUMBNAIL_IMAGE          ,
              SHOPPING_CATEGORY        ,
              SUPPLIER                 ,
              SUPPLIER_SITE            ,
              SUPPLIER_PART_NUM        ,
              SUPPLIER_PART_AUXID      ,
              INTERNAL_ITEM_NUM        ,
              SOURCE                   ,
              MANUFACTURER             ,
              MANUFACTURER_PART_NUM    ,
              PURCHASING_CATEGORY      ,
              DESCRIPTION              ,
              ITEM_REVISION            ,
              UNIT_OF_MEASURE          ,
              PRICE                    ,
              CURRENCY                 ,
              FUNCTIONAL_PRICE         ,
              FUNCTIONAL_CURRENCY      ,
              AVAILABILITY             ,
              LEAD_TIME                ,
              UNSPSC                   ,
              ALIAS                    ,
              COMMENTS                 ,
              LONG_DESCRIPTION         ,
              ATTACHMENT_URL           ,
              SUPPLIER_URL             ,
              MANUFACTURER_URL         ,
              ORG_ID                   ,
              LANGUAGE                 ,
              ITEM_SOURCE_TEXT         ,
              CONTENT_TYPE_FILTER      ,
              RTrim(SubStrB(dbms_lob.substr(ATTACHMENT, 4000, 1),1,4000)) ATTACHMENT  ,
              ZONE_ID                  ,
              DISPLAY_PRICE            ,
              CONTENT_ID               ,
              CONTENT_URL              ,
              KEYWORDS                 ,
              CONTENT_TYPE             ,
              HIDE_SMARTFORM_ATTRS     ,
              HIDE_INFOCONTENT_ATTRS   ,
              PRICE_BREAK              ,
              HIDE_PRICE_BREAK         ,
              ITEM_RATING_FILTER       ,
              SUPPLIER_RATING_FILTER   ,
              HIDE_ADDTOCART           ,
              PUNCHOUT_MORE_DETAILS    ,
              OPEN_DESCRIPTION_IN_NEW_TAB ,
              ITEM_RATING              ,
              SUPPLIER_RATING          ,
              HIDE_CONTENT_TYPE        ,
              CONTENT_TYPE_RESULTS     ,
              SHOPPING_CATEGORY_1,
              SHOPPING_CATEGORY_2,
              SHOPPING_CATEGORY_3,
              ZONESB,
              ZONESP,
              ZONESI,
              PREFERRED_SUPPLIER_ICON,
              ECO_FRIENDLY_SUPPLIER_ICON,
              GREEN_SUPPLIER_ICON,
              OFF_CONTRACT_ITEM_ICON,
              OVER_PRICED_ICON
              FROM ICX_CAT_ECC_ITEMS_V WHERE LANGUAGE in ( 'US')  AND ECC_LAST_UPDATE_DATE &gt;=  to_date(to_char(to_timestamp('23-APR-20 12.06.23.000000 PM'),'DD-MON-YY HH24.MI.SS'),'DD-MON-YY HH24.MI.SS')  )
              PIVOT (
                MAX(SHOPPING_CATEGORY) AS SHOPPING_CATEGORY,
                MAX(DESCRIPTION) AS DESCRIPTION,
                MAX(UNIT_OF_MEASURE) AS UNIT_OF_MEASURE,
                MAX(COMMENTS) AS COMMENTS,
                MAX(LONG_DESCRIPTION) AS LONG_DESCRIPTION,
                MAX(ITEM_SOURCE_TEXT) AS ITEM_SOURCE_TEXT,
                MAX(CONTENT_TYPE_FILTER) AS CONTENT_TYPE_FILTER,
                MAX(DISPLAY_PRICE) AS DISPLAY_PRICE,
                MAX(PRICE_BREAK) AS PRICE_BREAK,
                MAX(ITEM_RATING_FILTER) AS ITEM_RATING_FILTER,
                MAX(SUPPLIER_RATING_FILTER) AS SUPPLIER_RATING_FILTER,
                MAX(PUNCHOUT_MORE_DETAILS) AS PUNCHOUT_MORE_DETAILS,
                MAX(CONTENT_TYPE_RESULTS) AS CONTENT_TYPE_RESULTS,
                MAX(SHOPPING_CATEGORY_1) AS SHOPPING_CATEGORY_1,
                MAX(SHOPPING_CATEGORY_2) AS SHOPPING_CATEGORY_2,
                MAX(SHOPPING_CATEGORY_3) AS SHOPPING_CATEGORY_3,
                MAX(KEYWORDS) AS KEYWORDS,
                MAX(SOURCE) AS SOURCE,
                COUNT(1) AS IS_TRANSLATION_AVAILABLE
                FOR LANGUAGE IN ('US' "US"))</t>
  </si>
  <si>
    <t>Blitz Report™</t>
  </si>
  <si>
    <t>ECC Admin - Data Load Tracking</t>
  </si>
  <si>
    <t>Database Name</t>
  </si>
  <si>
    <t>EBSDB</t>
  </si>
  <si>
    <t>Run Date</t>
  </si>
  <si>
    <t>Request Id</t>
  </si>
  <si>
    <t>Sql</t>
  </si>
  <si>
    <t>select
ear.audit_request_id run_id,
xxen_util.meaning(ear.param_run_load_type,'ECC_LOAD_TYPE_LKUP',0) load_type,
ear.status run_status,
(select eat.application_name from ecc.ecc_application_tl eat where ear.param_application_id=eat.application_id and eat.language='en') application,
nvl((select edb.dataset_key from ecc.ecc_dataset_b edb where ear.param_dataset_id=edb.dataset_id),'All') data_set_key_parameter,
ear.param_languages language_parameter,
ear.start_time,
ear.end_time,
xxen_util.time((nvl(ear.end_time,sysdate)-ear.start_time)*86400) time,
(nvl(ear.end_time,sysdate)-ear.start_time)*86400 seconds,
ear.status_message run_status_message,
xxen_util.meaning(decode(ear.sql_trace_flag,'Y','Y'),'YES_NO',0) sql_trace,
ead.audit_dataset_id audit_data_set_id,
edb.dataset_key data_set_key,
edt.display_name data_set,
ead.status ds_status,
xxen_util.time(ead.seconds) ds_time,
ead.seconds ds_seconds,
case when ead.status_message like '% Check the log at %' then substr(ead.status_message,1,instr(ead.status_message,' Check the log at ')) else ead.status_message end ds_status_message,
case when ead.status_message like '% Check the log at %' then '=HYPERLINK("'||substr(ead.status_message,instr(ead.status_message,' Check the log at ')+18)||'","'||substr(ead.status_message,instr(ead.status_message,' Check the log at ')+18)||'")' end log_file_url,
ealr.audit_load_rule_id data_load_rule_id,
ealr.status rule_status,
xxen_util.time(ealr.seconds) rule_time,
ealr.seconds rule_seconds,
ealr.procedure_sql_time,
ealr.status_message rule_status_message,
eald.audit_load_detail_id audit_rule_details_id,
eald.sql_query,
eald.operation,
eald.status detail_status,
eald.status_message detail_status_message,
xxen_util.time(eald.seconds) detail_time,
eald.seconds detail_seconds,
eald.total_sql_time,
eald.rows_processed,
eald.rows_failed,
eald.rows_succeed
from
ecc.ecc_audit_request ear,
(select ead.*, (nvl(ead.end_time,sysdate)-ead.start_time)*86400 seconds from ecc.ecc_audit_dataset ead) ead,
ecc.ecc_dataset_b edb,
ecc.ecc_dataset_tl edt,
(select ealr.*, (nvl(ealr.end_time,sysdate)-ealr.start_time)*86400 seconds from ecc.ecc_audit_load_rule ealr where 'Y'='Y') ealr,
(select eald.*, (nvl(eald.end_time,sysdate)-eald.start_time)*86400 seconds from ecc.ecc_audit_load_details eald where 'Y'='Y') eald
where
ear.start_time&gt;=:start_date_from and
ear.start_time&lt;:start_date_to+1 and
1=1 and
ear.audit_request_id=ead.audit_request_id(+) and
ead.dataset_id=edb.dataset_id(+) and
edb.dataset_id=edt.dataset_id(+) and
edt.language(+)='en' and
ead.audit_dataset_id=ealr.audit_dataset_id(+) and
ealr.audit_load_rule_id=eald.audit_load_rule_id(+)
order by
ear.audit_request_id desc,
ead.audit_dataset_id desc,
ealr.audit_load_rule_id desc,
eald.audit_load_detail_id desc,
eald.audit_load_detail_id desc
</t>
  </si>
  <si>
    <t>Start Date From</t>
  </si>
  <si>
    <t>24-APR-2020 00:00:00</t>
  </si>
  <si>
    <t>Start Date To</t>
  </si>
  <si>
    <t>27-APR-2020 00:00:00</t>
  </si>
  <si>
    <t>Show Load Rules</t>
  </si>
  <si>
    <t>Yes</t>
  </si>
  <si>
    <t>Show SQLs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</si>
</sst>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\-mmm\-yy\ hh:mm:ss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6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 <Relationship Id="rId4" Type="http://schemas.openxmlformats.org/officeDocument/2006/relationships/styles" Target="styles.xml"/> <Relationship Id="rId5" Type="http://schemas.openxmlformats.org/officeDocument/2006/relationships/sharedStrings" Target="sharedStrings.xml"/> 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34"/>
  <sheetViews>
    <sheetView tabSelected="1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7.9704762" bestFit="1" customWidth="1"/>
    <col min="2" max="2" width="18.0171429" bestFit="1" customWidth="1"/>
    <col min="3" max="3" width="11.3780952" bestFit="1" customWidth="1"/>
    <col min="4" max="4" width="27.5809524" bestFit="1" customWidth="1"/>
    <col min="5" max="5" width="23.3542857" bestFit="1" customWidth="1"/>
    <col min="6" max="6" width="19.1857143" bestFit="1" customWidth="1"/>
    <col min="7" max="8" width="16.6514286" bestFit="1" customWidth="1"/>
    <col min="9" max="9" width="6.8161905" bestFit="1" customWidth="1"/>
    <col min="10" max="10" width="9.3761905" bestFit="1" customWidth="1"/>
    <col min="11" max="11" width="18.747619" bestFit="1" customWidth="1"/>
    <col min="12" max="12" width="10.0295238" bestFit="1" customWidth="1"/>
    <col min="13" max="13" width="16.292381" bestFit="1" customWidth="1"/>
    <col min="14" max="14" width="26.7085714" bestFit="1" customWidth="1"/>
    <col min="15" max="15" width="42.9466667" bestFit="1" customWidth="1"/>
    <col min="16" max="16" width="10.2238095" bestFit="1" customWidth="1"/>
    <col min="17" max="17" width="9.2047619" bestFit="1" customWidth="1"/>
    <col min="18" max="18" width="11.7647619" bestFit="1" customWidth="1"/>
    <col min="19" max="19" width="60.7148438" bestFit="1" customWidth="1"/>
    <col min="20" max="20" width="60.7148438" bestFit="1" customWidth="1"/>
    <col min="21" max="21" width="16.7590476" bestFit="1" customWidth="1"/>
    <col min="22" max="22" width="11.7819048" bestFit="1" customWidth="1"/>
    <col min="23" max="23" width="10.7628571" bestFit="1" customWidth="1"/>
    <col min="24" max="24" width="13.3228571" bestFit="1" customWidth="1"/>
    <col min="25" max="25" width="18.2066667" bestFit="1" customWidth="1"/>
    <col min="26" max="26" width="60.7148438" bestFit="1" customWidth="1"/>
    <col min="27" max="27" width="19.0028571" bestFit="1" customWidth="1"/>
    <col min="28" max="28" width="10.58" bestFit="1" customWidth="1"/>
    <col min="29" max="29" width="15.9371429" bestFit="1" customWidth="1"/>
    <col min="30" max="30" width="12.9552381" bestFit="1" customWidth="1"/>
    <col min="31" max="31" width="60.7148438" bestFit="1" customWidth="1"/>
    <col min="32" max="32" width="11.9361905" bestFit="1" customWidth="1"/>
    <col min="33" max="33" width="14.4961905" bestFit="1" customWidth="1"/>
    <col min="34" max="34" width="14.0942857" bestFit="1" customWidth="1"/>
    <col min="35" max="35" width="15.5628571" bestFit="1" customWidth="1"/>
    <col min="36" max="36" width="12.3247619" bestFit="1" customWidth="1"/>
    <col min="37" max="37" width="14.0504762" bestFit="1" customWidth="1"/>
  </cols>
  <sheetData>
    <row r="1" spans="1:37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">
      <c r="A2">
        <v>64609</v>
      </c>
      <c r="B2" t="s">
        <v>37</v>
      </c>
      <c r="C2" t="s">
        <v>38</v>
      </c>
      <c r="D2" t="s">
        <v>39</v>
      </c>
      <c r="E2" t="s">
        <v>40</v>
      </c>
      <c r="G2" s="4">
        <v>43948.988368055556</v>
      </c>
      <c r="H2" s="4">
        <v>43949.005798611111</v>
      </c>
      <c r="I2" t="s">
        <v>41</v>
      </c>
      <c r="J2" s="5">
        <v>1506.000000000000000000000000000000000004</v>
      </c>
      <c r="K2" t="s">
        <v>38</v>
      </c>
      <c r="M2">
        <v>64624</v>
      </c>
      <c r="N2" t="s">
        <v>42</v>
      </c>
      <c r="O2" t="s">
        <v>43</v>
      </c>
      <c r="P2" t="s">
        <v>38</v>
      </c>
      <c r="Q2" t="s">
        <v>44</v>
      </c>
      <c r="R2">
        <v>4</v>
      </c>
      <c r="S2" t="s">
        <v>45</v>
      </c>
      <c r="T2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2">
        <v>64625</v>
      </c>
      <c r="V2" t="s">
        <v>38</v>
      </c>
      <c r="W2" t="s">
        <v>44</v>
      </c>
      <c r="X2">
        <v>4</v>
      </c>
      <c r="Y2">
        <v>0</v>
      </c>
      <c r="Z2" t="s">
        <v>46</v>
      </c>
      <c r="AA2">
        <v>64633</v>
      </c>
      <c r="AB2" t="s">
        <v>47</v>
      </c>
      <c r="AC2" t="s">
        <v>48</v>
      </c>
      <c r="AD2" t="s">
        <v>38</v>
      </c>
      <c r="AE2" t="s">
        <v>49</v>
      </c>
      <c r="AF2" t="s">
        <v>50</v>
      </c>
      <c r="AG2">
        <v>0</v>
      </c>
      <c r="AH2">
        <v>0</v>
      </c>
      <c r="AI2" t="s">
        <v>51</v>
      </c>
      <c r="AJ2" t="s">
        <v>51</v>
      </c>
      <c r="AK2" t="s">
        <v>51</v>
      </c>
    </row>
    <row r="3" spans="1:37" x14ac:dyDescent="0.2">
      <c r="A3">
        <v>64609</v>
      </c>
      <c r="B3" t="s">
        <v>37</v>
      </c>
      <c r="C3" t="s">
        <v>38</v>
      </c>
      <c r="D3" t="s">
        <v>39</v>
      </c>
      <c r="E3" t="s">
        <v>40</v>
      </c>
      <c r="G3" s="4">
        <v>43948.988368055556</v>
      </c>
      <c r="H3" s="4">
        <v>43949.005798611111</v>
      </c>
      <c r="I3" t="s">
        <v>41</v>
      </c>
      <c r="J3" s="5">
        <v>1506.000000000000000000000000000000000004</v>
      </c>
      <c r="K3" t="s">
        <v>38</v>
      </c>
      <c r="M3">
        <v>64624</v>
      </c>
      <c r="N3" t="s">
        <v>42</v>
      </c>
      <c r="O3" t="s">
        <v>43</v>
      </c>
      <c r="P3" t="s">
        <v>38</v>
      </c>
      <c r="Q3" t="s">
        <v>44</v>
      </c>
      <c r="R3">
        <v>4</v>
      </c>
      <c r="S3" t="s">
        <v>45</v>
      </c>
      <c r="T3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3">
        <v>64625</v>
      </c>
      <c r="V3" t="s">
        <v>38</v>
      </c>
      <c r="W3" t="s">
        <v>44</v>
      </c>
      <c r="X3">
        <v>4</v>
      </c>
      <c r="Y3">
        <v>0</v>
      </c>
      <c r="Z3" t="s">
        <v>46</v>
      </c>
      <c r="AA3">
        <v>64632</v>
      </c>
      <c r="AB3" t="s">
        <v>52</v>
      </c>
      <c r="AC3" t="s">
        <v>48</v>
      </c>
      <c r="AD3" t="s">
        <v>38</v>
      </c>
      <c r="AE3" t="s">
        <v>49</v>
      </c>
      <c r="AF3" t="s">
        <v>50</v>
      </c>
      <c r="AG3">
        <v>.9999999999999999999999999999999999999996</v>
      </c>
      <c r="AH3">
        <v>0</v>
      </c>
      <c r="AI3" t="s">
        <v>51</v>
      </c>
      <c r="AJ3" t="s">
        <v>51</v>
      </c>
      <c r="AK3" t="s">
        <v>51</v>
      </c>
    </row>
    <row r="4" spans="1:37" x14ac:dyDescent="0.2">
      <c r="A4">
        <v>64609</v>
      </c>
      <c r="B4" t="s">
        <v>37</v>
      </c>
      <c r="C4" t="s">
        <v>38</v>
      </c>
      <c r="D4" t="s">
        <v>39</v>
      </c>
      <c r="E4" t="s">
        <v>40</v>
      </c>
      <c r="G4" s="4">
        <v>43948.988368055556</v>
      </c>
      <c r="H4" s="4">
        <v>43949.005798611111</v>
      </c>
      <c r="I4" t="s">
        <v>41</v>
      </c>
      <c r="J4" s="5">
        <v>1506.000000000000000000000000000000000004</v>
      </c>
      <c r="K4" t="s">
        <v>38</v>
      </c>
      <c r="M4">
        <v>64624</v>
      </c>
      <c r="N4" t="s">
        <v>42</v>
      </c>
      <c r="O4" t="s">
        <v>43</v>
      </c>
      <c r="P4" t="s">
        <v>38</v>
      </c>
      <c r="Q4" t="s">
        <v>44</v>
      </c>
      <c r="R4">
        <v>4</v>
      </c>
      <c r="S4" t="s">
        <v>45</v>
      </c>
      <c r="T4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4">
        <v>64625</v>
      </c>
      <c r="V4" t="s">
        <v>38</v>
      </c>
      <c r="W4" t="s">
        <v>44</v>
      </c>
      <c r="X4">
        <v>4</v>
      </c>
      <c r="Y4">
        <v>0</v>
      </c>
      <c r="Z4" t="s">
        <v>46</v>
      </c>
      <c r="AA4">
        <v>64631</v>
      </c>
      <c r="AB4" t="s">
        <v>53</v>
      </c>
      <c r="AC4" t="s">
        <v>48</v>
      </c>
      <c r="AD4" t="s">
        <v>38</v>
      </c>
      <c r="AE4" t="s">
        <v>49</v>
      </c>
      <c r="AF4" t="s">
        <v>50</v>
      </c>
      <c r="AG4">
        <v>0</v>
      </c>
      <c r="AH4">
        <v>0</v>
      </c>
      <c r="AI4" t="s">
        <v>51</v>
      </c>
      <c r="AJ4" t="s">
        <v>51</v>
      </c>
      <c r="AK4" t="s">
        <v>51</v>
      </c>
    </row>
    <row r="5" spans="1:37" x14ac:dyDescent="0.2">
      <c r="A5">
        <v>64609</v>
      </c>
      <c r="B5" t="s">
        <v>37</v>
      </c>
      <c r="C5" t="s">
        <v>38</v>
      </c>
      <c r="D5" t="s">
        <v>39</v>
      </c>
      <c r="E5" t="s">
        <v>40</v>
      </c>
      <c r="G5" s="4">
        <v>43948.988368055556</v>
      </c>
      <c r="H5" s="4">
        <v>43949.005798611111</v>
      </c>
      <c r="I5" t="s">
        <v>41</v>
      </c>
      <c r="J5" s="5">
        <v>1506.000000000000000000000000000000000004</v>
      </c>
      <c r="K5" t="s">
        <v>38</v>
      </c>
      <c r="M5">
        <v>64624</v>
      </c>
      <c r="N5" t="s">
        <v>42</v>
      </c>
      <c r="O5" t="s">
        <v>43</v>
      </c>
      <c r="P5" t="s">
        <v>38</v>
      </c>
      <c r="Q5" t="s">
        <v>44</v>
      </c>
      <c r="R5">
        <v>4</v>
      </c>
      <c r="S5" t="s">
        <v>45</v>
      </c>
      <c r="T5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5">
        <v>64625</v>
      </c>
      <c r="V5" t="s">
        <v>38</v>
      </c>
      <c r="W5" t="s">
        <v>44</v>
      </c>
      <c r="X5">
        <v>4</v>
      </c>
      <c r="Y5">
        <v>0</v>
      </c>
      <c r="Z5" t="s">
        <v>46</v>
      </c>
      <c r="AA5">
        <v>64630</v>
      </c>
      <c r="AB5" t="s">
        <v>54</v>
      </c>
      <c r="AC5" t="s">
        <v>48</v>
      </c>
      <c r="AD5" t="s">
        <v>38</v>
      </c>
      <c r="AE5" t="s">
        <v>49</v>
      </c>
      <c r="AF5" t="s">
        <v>50</v>
      </c>
      <c r="AG5">
        <v>.9999999999999999999999999999999999999996</v>
      </c>
      <c r="AH5">
        <v>0</v>
      </c>
      <c r="AI5" t="s">
        <v>51</v>
      </c>
      <c r="AJ5" t="s">
        <v>51</v>
      </c>
      <c r="AK5" t="s">
        <v>51</v>
      </c>
    </row>
    <row r="6" spans="1:37" x14ac:dyDescent="0.2">
      <c r="A6">
        <v>64609</v>
      </c>
      <c r="B6" t="s">
        <v>37</v>
      </c>
      <c r="C6" t="s">
        <v>38</v>
      </c>
      <c r="D6" t="s">
        <v>39</v>
      </c>
      <c r="E6" t="s">
        <v>40</v>
      </c>
      <c r="G6" s="4">
        <v>43948.988368055556</v>
      </c>
      <c r="H6" s="4">
        <v>43949.005798611111</v>
      </c>
      <c r="I6" t="s">
        <v>41</v>
      </c>
      <c r="J6" s="5">
        <v>1506.000000000000000000000000000000000004</v>
      </c>
      <c r="K6" t="s">
        <v>38</v>
      </c>
      <c r="M6">
        <v>64624</v>
      </c>
      <c r="N6" t="s">
        <v>42</v>
      </c>
      <c r="O6" t="s">
        <v>43</v>
      </c>
      <c r="P6" t="s">
        <v>38</v>
      </c>
      <c r="Q6" t="s">
        <v>44</v>
      </c>
      <c r="R6">
        <v>4</v>
      </c>
      <c r="S6" t="s">
        <v>45</v>
      </c>
      <c r="T6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6">
        <v>64625</v>
      </c>
      <c r="V6" t="s">
        <v>38</v>
      </c>
      <c r="W6" t="s">
        <v>44</v>
      </c>
      <c r="X6">
        <v>4</v>
      </c>
      <c r="Y6">
        <v>0</v>
      </c>
      <c r="Z6" t="s">
        <v>46</v>
      </c>
      <c r="AA6">
        <v>64629</v>
      </c>
      <c r="AB6" t="s">
        <v>55</v>
      </c>
      <c r="AC6" t="s">
        <v>56</v>
      </c>
      <c r="AD6" t="s">
        <v>38</v>
      </c>
      <c r="AE6" t="s">
        <v>49</v>
      </c>
      <c r="AF6" t="s">
        <v>50</v>
      </c>
      <c r="AG6">
        <v>0</v>
      </c>
      <c r="AH6">
        <v>0</v>
      </c>
      <c r="AI6" t="s">
        <v>51</v>
      </c>
      <c r="AJ6" t="s">
        <v>51</v>
      </c>
      <c r="AK6" t="s">
        <v>51</v>
      </c>
    </row>
    <row r="7" spans="1:37" x14ac:dyDescent="0.2">
      <c r="A7">
        <v>64609</v>
      </c>
      <c r="B7" t="s">
        <v>37</v>
      </c>
      <c r="C7" t="s">
        <v>38</v>
      </c>
      <c r="D7" t="s">
        <v>39</v>
      </c>
      <c r="E7" t="s">
        <v>40</v>
      </c>
      <c r="G7" s="4">
        <v>43948.988368055556</v>
      </c>
      <c r="H7" s="4">
        <v>43949.005798611111</v>
      </c>
      <c r="I7" t="s">
        <v>41</v>
      </c>
      <c r="J7" s="5">
        <v>1506.000000000000000000000000000000000004</v>
      </c>
      <c r="K7" t="s">
        <v>38</v>
      </c>
      <c r="M7">
        <v>64624</v>
      </c>
      <c r="N7" t="s">
        <v>42</v>
      </c>
      <c r="O7" t="s">
        <v>43</v>
      </c>
      <c r="P7" t="s">
        <v>38</v>
      </c>
      <c r="Q7" t="s">
        <v>44</v>
      </c>
      <c r="R7">
        <v>4</v>
      </c>
      <c r="S7" t="s">
        <v>45</v>
      </c>
      <c r="T7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7">
        <v>64625</v>
      </c>
      <c r="V7" t="s">
        <v>38</v>
      </c>
      <c r="W7" t="s">
        <v>44</v>
      </c>
      <c r="X7">
        <v>4</v>
      </c>
      <c r="Y7">
        <v>0</v>
      </c>
      <c r="Z7" t="s">
        <v>46</v>
      </c>
      <c r="AA7">
        <v>64628</v>
      </c>
      <c r="AB7" t="s">
        <v>57</v>
      </c>
      <c r="AC7" t="s">
        <v>56</v>
      </c>
      <c r="AD7" t="s">
        <v>38</v>
      </c>
      <c r="AE7" t="s">
        <v>49</v>
      </c>
      <c r="AF7" t="s">
        <v>50</v>
      </c>
      <c r="AG7">
        <v>0</v>
      </c>
      <c r="AH7">
        <v>0</v>
      </c>
      <c r="AI7" t="s">
        <v>51</v>
      </c>
      <c r="AJ7" t="s">
        <v>51</v>
      </c>
      <c r="AK7" t="s">
        <v>51</v>
      </c>
    </row>
    <row r="8" spans="1:37" x14ac:dyDescent="0.2">
      <c r="A8">
        <v>64609</v>
      </c>
      <c r="B8" t="s">
        <v>37</v>
      </c>
      <c r="C8" t="s">
        <v>38</v>
      </c>
      <c r="D8" t="s">
        <v>39</v>
      </c>
      <c r="E8" t="s">
        <v>40</v>
      </c>
      <c r="G8" s="4">
        <v>43948.988368055556</v>
      </c>
      <c r="H8" s="4">
        <v>43949.005798611111</v>
      </c>
      <c r="I8" t="s">
        <v>41</v>
      </c>
      <c r="J8" s="5">
        <v>1506.000000000000000000000000000000000004</v>
      </c>
      <c r="K8" t="s">
        <v>38</v>
      </c>
      <c r="M8">
        <v>64624</v>
      </c>
      <c r="N8" t="s">
        <v>42</v>
      </c>
      <c r="O8" t="s">
        <v>43</v>
      </c>
      <c r="P8" t="s">
        <v>38</v>
      </c>
      <c r="Q8" t="s">
        <v>44</v>
      </c>
      <c r="R8">
        <v>4</v>
      </c>
      <c r="S8" t="s">
        <v>45</v>
      </c>
      <c r="T8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8">
        <v>64625</v>
      </c>
      <c r="V8" t="s">
        <v>38</v>
      </c>
      <c r="W8" t="s">
        <v>44</v>
      </c>
      <c r="X8">
        <v>4</v>
      </c>
      <c r="Y8">
        <v>0</v>
      </c>
      <c r="Z8" t="s">
        <v>46</v>
      </c>
      <c r="AA8">
        <v>64627</v>
      </c>
      <c r="AB8" t="s">
        <v>58</v>
      </c>
      <c r="AC8" t="s">
        <v>56</v>
      </c>
      <c r="AD8" t="s">
        <v>38</v>
      </c>
      <c r="AE8" t="s">
        <v>49</v>
      </c>
      <c r="AF8" t="s">
        <v>50</v>
      </c>
      <c r="AG8">
        <v>.9999999999999999999999999999999999999996</v>
      </c>
      <c r="AH8">
        <v>0</v>
      </c>
      <c r="AI8" t="s">
        <v>51</v>
      </c>
      <c r="AJ8" t="s">
        <v>51</v>
      </c>
      <c r="AK8" t="s">
        <v>51</v>
      </c>
    </row>
    <row r="9" spans="1:37" x14ac:dyDescent="0.2">
      <c r="A9">
        <v>64609</v>
      </c>
      <c r="B9" t="s">
        <v>37</v>
      </c>
      <c r="C9" t="s">
        <v>38</v>
      </c>
      <c r="D9" t="s">
        <v>39</v>
      </c>
      <c r="E9" t="s">
        <v>40</v>
      </c>
      <c r="G9" s="4">
        <v>43948.988368055556</v>
      </c>
      <c r="H9" s="4">
        <v>43949.005798611111</v>
      </c>
      <c r="I9" t="s">
        <v>41</v>
      </c>
      <c r="J9" s="5">
        <v>1506.000000000000000000000000000000000004</v>
      </c>
      <c r="K9" t="s">
        <v>38</v>
      </c>
      <c r="M9">
        <v>64624</v>
      </c>
      <c r="N9" t="s">
        <v>42</v>
      </c>
      <c r="O9" t="s">
        <v>43</v>
      </c>
      <c r="P9" t="s">
        <v>38</v>
      </c>
      <c r="Q9" t="s">
        <v>44</v>
      </c>
      <c r="R9">
        <v>4</v>
      </c>
      <c r="S9" t="s">
        <v>45</v>
      </c>
      <c r="T9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9">
        <v>64625</v>
      </c>
      <c r="V9" t="s">
        <v>38</v>
      </c>
      <c r="W9" t="s">
        <v>44</v>
      </c>
      <c r="X9">
        <v>4</v>
      </c>
      <c r="Y9">
        <v>0</v>
      </c>
      <c r="Z9" t="s">
        <v>46</v>
      </c>
      <c r="AA9">
        <v>64626</v>
      </c>
      <c r="AB9" t="s">
        <v>59</v>
      </c>
      <c r="AC9" t="s">
        <v>60</v>
      </c>
      <c r="AD9" t="s">
        <v>38</v>
      </c>
      <c r="AE9" t="s">
        <v>49</v>
      </c>
      <c r="AF9" t="s">
        <v>50</v>
      </c>
      <c r="AG9">
        <v>.9999999999999999999999999999999999999996</v>
      </c>
      <c r="AH9">
        <v>0</v>
      </c>
      <c r="AI9" t="s">
        <v>51</v>
      </c>
      <c r="AJ9" t="s">
        <v>51</v>
      </c>
      <c r="AK9" t="s">
        <v>51</v>
      </c>
    </row>
    <row r="10" spans="1:37" x14ac:dyDescent="0.2">
      <c r="A10">
        <v>64609</v>
      </c>
      <c r="B10" t="s">
        <v>37</v>
      </c>
      <c r="C10" t="s">
        <v>38</v>
      </c>
      <c r="D10" t="s">
        <v>39</v>
      </c>
      <c r="E10" t="s">
        <v>40</v>
      </c>
      <c r="G10" s="4">
        <v>43948.988368055556</v>
      </c>
      <c r="H10" s="4">
        <v>43949.005798611111</v>
      </c>
      <c r="I10" t="s">
        <v>41</v>
      </c>
      <c r="J10" s="5">
        <v>1506.000000000000000000000000000000000004</v>
      </c>
      <c r="K10" t="s">
        <v>38</v>
      </c>
      <c r="M10">
        <v>64620</v>
      </c>
      <c r="N10" t="s">
        <v>61</v>
      </c>
      <c r="O10" t="s">
        <v>62</v>
      </c>
      <c r="P10" t="s">
        <v>38</v>
      </c>
      <c r="Q10" t="s">
        <v>63</v>
      </c>
      <c r="R10">
        <v>1495.999999999999999999999999999999999999</v>
      </c>
      <c r="S10" t="s">
        <v>45</v>
      </c>
      <c r="T10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0">
        <v>64621</v>
      </c>
      <c r="V10" t="s">
        <v>38</v>
      </c>
      <c r="W10" t="s">
        <v>63</v>
      </c>
      <c r="X10">
        <v>1495.999999999999999999999999999999999999</v>
      </c>
      <c r="Y10">
        <v>0</v>
      </c>
      <c r="Z10" t="s">
        <v>46</v>
      </c>
      <c r="AA10">
        <v>64623</v>
      </c>
      <c r="AB10" t="s">
        <v>64</v>
      </c>
      <c r="AC10" t="s">
        <v>56</v>
      </c>
      <c r="AD10" t="s">
        <v>38</v>
      </c>
      <c r="AE10" t="s">
        <v>65</v>
      </c>
      <c r="AF10" t="s">
        <v>63</v>
      </c>
      <c r="AG10">
        <v>1495.999999999999999999999999999999999999</v>
      </c>
      <c r="AH10">
        <v>4</v>
      </c>
      <c r="AI10" t="s">
        <v>66</v>
      </c>
      <c r="AJ10" t="s">
        <v>51</v>
      </c>
      <c r="AK10" t="s">
        <v>66</v>
      </c>
    </row>
    <row r="11" spans="1:37" x14ac:dyDescent="0.2">
      <c r="A11">
        <v>64609</v>
      </c>
      <c r="B11" t="s">
        <v>37</v>
      </c>
      <c r="C11" t="s">
        <v>38</v>
      </c>
      <c r="D11" t="s">
        <v>39</v>
      </c>
      <c r="E11" t="s">
        <v>40</v>
      </c>
      <c r="G11" s="4">
        <v>43948.988368055556</v>
      </c>
      <c r="H11" s="4">
        <v>43949.005798611111</v>
      </c>
      <c r="I11" t="s">
        <v>41</v>
      </c>
      <c r="J11" s="5">
        <v>1506.000000000000000000000000000000000004</v>
      </c>
      <c r="K11" t="s">
        <v>38</v>
      </c>
      <c r="M11">
        <v>64620</v>
      </c>
      <c r="N11" t="s">
        <v>61</v>
      </c>
      <c r="O11" t="s">
        <v>62</v>
      </c>
      <c r="P11" t="s">
        <v>38</v>
      </c>
      <c r="Q11" t="s">
        <v>63</v>
      </c>
      <c r="R11">
        <v>1495.999999999999999999999999999999999999</v>
      </c>
      <c r="S11" t="s">
        <v>45</v>
      </c>
      <c r="T11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1">
        <v>64621</v>
      </c>
      <c r="V11" t="s">
        <v>38</v>
      </c>
      <c r="W11" t="s">
        <v>63</v>
      </c>
      <c r="X11">
        <v>1495.999999999999999999999999999999999999</v>
      </c>
      <c r="Y11">
        <v>0</v>
      </c>
      <c r="Z11" t="s">
        <v>46</v>
      </c>
      <c r="AA11">
        <v>64622</v>
      </c>
      <c r="AB11" t="s">
        <v>67</v>
      </c>
      <c r="AC11" t="s">
        <v>68</v>
      </c>
      <c r="AD11" t="s">
        <v>38</v>
      </c>
      <c r="AE11" t="s">
        <v>49</v>
      </c>
      <c r="AF11" t="s">
        <v>50</v>
      </c>
      <c r="AG11">
        <v>0</v>
      </c>
      <c r="AH11">
        <v>0</v>
      </c>
      <c r="AI11" t="s">
        <v>51</v>
      </c>
      <c r="AJ11" t="s">
        <v>51</v>
      </c>
      <c r="AK11" t="s">
        <v>51</v>
      </c>
    </row>
    <row r="12" spans="1:37" x14ac:dyDescent="0.2">
      <c r="A12">
        <v>64609</v>
      </c>
      <c r="B12" t="s">
        <v>37</v>
      </c>
      <c r="C12" t="s">
        <v>38</v>
      </c>
      <c r="D12" t="s">
        <v>39</v>
      </c>
      <c r="E12" t="s">
        <v>40</v>
      </c>
      <c r="G12" s="4">
        <v>43948.988368055556</v>
      </c>
      <c r="H12" s="4">
        <v>43949.005798611111</v>
      </c>
      <c r="I12" t="s">
        <v>41</v>
      </c>
      <c r="J12" s="5">
        <v>1506.000000000000000000000000000000000004</v>
      </c>
      <c r="K12" t="s">
        <v>38</v>
      </c>
      <c r="M12">
        <v>64616</v>
      </c>
      <c r="N12" t="s">
        <v>69</v>
      </c>
      <c r="O12" t="s">
        <v>70</v>
      </c>
      <c r="P12" t="s">
        <v>38</v>
      </c>
      <c r="Q12" t="s">
        <v>50</v>
      </c>
      <c r="R12">
        <v>0</v>
      </c>
      <c r="S12" t="s">
        <v>45</v>
      </c>
      <c r="T12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2">
        <v>64617</v>
      </c>
      <c r="V12" t="s">
        <v>38</v>
      </c>
      <c r="W12" t="s">
        <v>50</v>
      </c>
      <c r="X12">
        <v>0</v>
      </c>
      <c r="Y12">
        <v>0</v>
      </c>
      <c r="Z12" t="s">
        <v>46</v>
      </c>
      <c r="AA12">
        <v>64619</v>
      </c>
      <c r="AB12" t="s">
        <v>71</v>
      </c>
      <c r="AC12" t="s">
        <v>56</v>
      </c>
      <c r="AD12" t="s">
        <v>38</v>
      </c>
      <c r="AE12" t="s">
        <v>49</v>
      </c>
      <c r="AF12" t="s">
        <v>50</v>
      </c>
      <c r="AG12">
        <v>0</v>
      </c>
      <c r="AH12">
        <v>0</v>
      </c>
      <c r="AI12" t="s">
        <v>51</v>
      </c>
      <c r="AJ12" t="s">
        <v>51</v>
      </c>
      <c r="AK12" t="s">
        <v>51</v>
      </c>
    </row>
    <row r="13" spans="1:37" x14ac:dyDescent="0.2">
      <c r="A13">
        <v>64609</v>
      </c>
      <c r="B13" t="s">
        <v>37</v>
      </c>
      <c r="C13" t="s">
        <v>38</v>
      </c>
      <c r="D13" t="s">
        <v>39</v>
      </c>
      <c r="E13" t="s">
        <v>40</v>
      </c>
      <c r="G13" s="4">
        <v>43948.988368055556</v>
      </c>
      <c r="H13" s="4">
        <v>43949.005798611111</v>
      </c>
      <c r="I13" t="s">
        <v>41</v>
      </c>
      <c r="J13" s="5">
        <v>1506.000000000000000000000000000000000004</v>
      </c>
      <c r="K13" t="s">
        <v>38</v>
      </c>
      <c r="M13">
        <v>64616</v>
      </c>
      <c r="N13" t="s">
        <v>69</v>
      </c>
      <c r="O13" t="s">
        <v>70</v>
      </c>
      <c r="P13" t="s">
        <v>38</v>
      </c>
      <c r="Q13" t="s">
        <v>50</v>
      </c>
      <c r="R13">
        <v>0</v>
      </c>
      <c r="S13" t="s">
        <v>45</v>
      </c>
      <c r="T13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3">
        <v>64617</v>
      </c>
      <c r="V13" t="s">
        <v>38</v>
      </c>
      <c r="W13" t="s">
        <v>50</v>
      </c>
      <c r="X13">
        <v>0</v>
      </c>
      <c r="Y13">
        <v>0</v>
      </c>
      <c r="Z13" t="s">
        <v>46</v>
      </c>
      <c r="AA13">
        <v>64618</v>
      </c>
      <c r="AB13" t="s">
        <v>72</v>
      </c>
      <c r="AC13" t="s">
        <v>68</v>
      </c>
      <c r="AD13" t="s">
        <v>38</v>
      </c>
      <c r="AE13" t="s">
        <v>49</v>
      </c>
      <c r="AF13" t="s">
        <v>50</v>
      </c>
      <c r="AG13">
        <v>0</v>
      </c>
      <c r="AH13">
        <v>0</v>
      </c>
      <c r="AI13" t="s">
        <v>51</v>
      </c>
      <c r="AJ13" t="s">
        <v>51</v>
      </c>
      <c r="AK13" t="s">
        <v>51</v>
      </c>
    </row>
    <row r="14" spans="1:37" x14ac:dyDescent="0.2">
      <c r="A14">
        <v>64609</v>
      </c>
      <c r="B14" t="s">
        <v>37</v>
      </c>
      <c r="C14" t="s">
        <v>38</v>
      </c>
      <c r="D14" t="s">
        <v>39</v>
      </c>
      <c r="E14" t="s">
        <v>40</v>
      </c>
      <c r="G14" s="4">
        <v>43948.988368055556</v>
      </c>
      <c r="H14" s="4">
        <v>43949.005798611111</v>
      </c>
      <c r="I14" t="s">
        <v>41</v>
      </c>
      <c r="J14" s="5">
        <v>1506.000000000000000000000000000000000004</v>
      </c>
      <c r="K14" t="s">
        <v>38</v>
      </c>
      <c r="M14">
        <v>64610</v>
      </c>
      <c r="N14" t="s">
        <v>73</v>
      </c>
      <c r="O14" t="s">
        <v>74</v>
      </c>
      <c r="P14" t="s">
        <v>38</v>
      </c>
      <c r="Q14" t="s">
        <v>75</v>
      </c>
      <c r="R14">
        <v>6</v>
      </c>
      <c r="S14" t="s">
        <v>45</v>
      </c>
      <c r="T14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4">
        <v>64611</v>
      </c>
      <c r="V14" t="s">
        <v>38</v>
      </c>
      <c r="W14" t="s">
        <v>75</v>
      </c>
      <c r="X14">
        <v>6</v>
      </c>
      <c r="Y14">
        <v>0</v>
      </c>
      <c r="Z14" t="s">
        <v>46</v>
      </c>
      <c r="AA14">
        <v>64615</v>
      </c>
      <c r="AB14" t="s">
        <v>76</v>
      </c>
      <c r="AC14" t="s">
        <v>56</v>
      </c>
      <c r="AD14" t="s">
        <v>38</v>
      </c>
      <c r="AE14" t="s">
        <v>77</v>
      </c>
      <c r="AF14" t="s">
        <v>78</v>
      </c>
      <c r="AG14">
        <v>5</v>
      </c>
      <c r="AH14">
        <v>0</v>
      </c>
      <c r="AI14" t="s">
        <v>79</v>
      </c>
      <c r="AJ14" t="s">
        <v>51</v>
      </c>
      <c r="AK14" t="s">
        <v>79</v>
      </c>
    </row>
    <row r="15" spans="1:37" x14ac:dyDescent="0.2">
      <c r="A15">
        <v>64609</v>
      </c>
      <c r="B15" t="s">
        <v>37</v>
      </c>
      <c r="C15" t="s">
        <v>38</v>
      </c>
      <c r="D15" t="s">
        <v>39</v>
      </c>
      <c r="E15" t="s">
        <v>40</v>
      </c>
      <c r="G15" s="4">
        <v>43948.988368055556</v>
      </c>
      <c r="H15" s="4">
        <v>43949.005798611111</v>
      </c>
      <c r="I15" t="s">
        <v>41</v>
      </c>
      <c r="J15" s="5">
        <v>1506.000000000000000000000000000000000004</v>
      </c>
      <c r="K15" t="s">
        <v>38</v>
      </c>
      <c r="M15">
        <v>64610</v>
      </c>
      <c r="N15" t="s">
        <v>73</v>
      </c>
      <c r="O15" t="s">
        <v>74</v>
      </c>
      <c r="P15" t="s">
        <v>38</v>
      </c>
      <c r="Q15" t="s">
        <v>75</v>
      </c>
      <c r="R15">
        <v>6</v>
      </c>
      <c r="S15" t="s">
        <v>45</v>
      </c>
      <c r="T15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5">
        <v>64611</v>
      </c>
      <c r="V15" t="s">
        <v>38</v>
      </c>
      <c r="W15" t="s">
        <v>75</v>
      </c>
      <c r="X15">
        <v>6</v>
      </c>
      <c r="Y15">
        <v>0</v>
      </c>
      <c r="Z15" t="s">
        <v>46</v>
      </c>
      <c r="AA15">
        <v>64614</v>
      </c>
      <c r="AB15" t="s">
        <v>80</v>
      </c>
      <c r="AC15" t="s">
        <v>56</v>
      </c>
      <c r="AD15" t="s">
        <v>38</v>
      </c>
      <c r="AE15" t="s">
        <v>49</v>
      </c>
      <c r="AF15" t="s">
        <v>50</v>
      </c>
      <c r="AG15">
        <v>0</v>
      </c>
      <c r="AH15">
        <v>0</v>
      </c>
      <c r="AI15" t="s">
        <v>51</v>
      </c>
      <c r="AJ15" t="s">
        <v>51</v>
      </c>
      <c r="AK15" t="s">
        <v>51</v>
      </c>
    </row>
    <row r="16" spans="1:37" x14ac:dyDescent="0.2">
      <c r="A16">
        <v>64609</v>
      </c>
      <c r="B16" t="s">
        <v>37</v>
      </c>
      <c r="C16" t="s">
        <v>38</v>
      </c>
      <c r="D16" t="s">
        <v>39</v>
      </c>
      <c r="E16" t="s">
        <v>40</v>
      </c>
      <c r="G16" s="4">
        <v>43948.988368055556</v>
      </c>
      <c r="H16" s="4">
        <v>43949.005798611111</v>
      </c>
      <c r="I16" t="s">
        <v>41</v>
      </c>
      <c r="J16" s="5">
        <v>1506.000000000000000000000000000000000004</v>
      </c>
      <c r="K16" t="s">
        <v>38</v>
      </c>
      <c r="M16">
        <v>64610</v>
      </c>
      <c r="N16" t="s">
        <v>73</v>
      </c>
      <c r="O16" t="s">
        <v>74</v>
      </c>
      <c r="P16" t="s">
        <v>38</v>
      </c>
      <c r="Q16" t="s">
        <v>75</v>
      </c>
      <c r="R16">
        <v>6</v>
      </c>
      <c r="S16" t="s">
        <v>45</v>
      </c>
      <c r="T16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6">
        <v>64611</v>
      </c>
      <c r="V16" t="s">
        <v>38</v>
      </c>
      <c r="W16" t="s">
        <v>75</v>
      </c>
      <c r="X16">
        <v>6</v>
      </c>
      <c r="Y16">
        <v>0</v>
      </c>
      <c r="Z16" t="s">
        <v>46</v>
      </c>
      <c r="AA16">
        <v>64613</v>
      </c>
      <c r="AB16" t="s">
        <v>81</v>
      </c>
      <c r="AC16" t="s">
        <v>68</v>
      </c>
      <c r="AD16" t="s">
        <v>38</v>
      </c>
      <c r="AE16" t="s">
        <v>49</v>
      </c>
      <c r="AF16" t="s">
        <v>50</v>
      </c>
      <c r="AG16">
        <v>0</v>
      </c>
      <c r="AH16">
        <v>0</v>
      </c>
      <c r="AI16" t="s">
        <v>51</v>
      </c>
      <c r="AJ16" t="s">
        <v>51</v>
      </c>
      <c r="AK16" t="s">
        <v>51</v>
      </c>
    </row>
    <row r="17" spans="1:37" x14ac:dyDescent="0.2">
      <c r="A17">
        <v>64609</v>
      </c>
      <c r="B17" t="s">
        <v>37</v>
      </c>
      <c r="C17" t="s">
        <v>38</v>
      </c>
      <c r="D17" t="s">
        <v>39</v>
      </c>
      <c r="E17" t="s">
        <v>40</v>
      </c>
      <c r="G17" s="4">
        <v>43948.988368055556</v>
      </c>
      <c r="H17" s="4">
        <v>43949.005798611111</v>
      </c>
      <c r="I17" t="s">
        <v>41</v>
      </c>
      <c r="J17" s="5">
        <v>1506.000000000000000000000000000000000004</v>
      </c>
      <c r="K17" t="s">
        <v>38</v>
      </c>
      <c r="M17">
        <v>64610</v>
      </c>
      <c r="N17" t="s">
        <v>73</v>
      </c>
      <c r="O17" t="s">
        <v>74</v>
      </c>
      <c r="P17" t="s">
        <v>38</v>
      </c>
      <c r="Q17" t="s">
        <v>75</v>
      </c>
      <c r="R17">
        <v>6</v>
      </c>
      <c r="S17" t="s">
        <v>45</v>
      </c>
      <c r="T17" t="str" s="2">
        <f>=HYPERLINK("http://demo.enginatics.com:80/ecc/user/applications/log/64609.log","http://demo.enginatics.com:80/ecc/user/applications/log/64609.log")</f>
        <v>"http://demo.enginatics.com:80/ecc/user/applications/log/64609.log")</v>
      </c>
      <c r="U17">
        <v>64611</v>
      </c>
      <c r="V17" t="s">
        <v>38</v>
      </c>
      <c r="W17" t="s">
        <v>75</v>
      </c>
      <c r="X17">
        <v>6</v>
      </c>
      <c r="Y17">
        <v>0</v>
      </c>
      <c r="Z17" t="s">
        <v>46</v>
      </c>
      <c r="AA17">
        <v>64612</v>
      </c>
      <c r="AB17" t="s">
        <v>82</v>
      </c>
      <c r="AC17" t="s">
        <v>68</v>
      </c>
      <c r="AD17" t="s">
        <v>38</v>
      </c>
      <c r="AE17" t="s">
        <v>49</v>
      </c>
      <c r="AF17" t="s">
        <v>50</v>
      </c>
      <c r="AG17">
        <v>0</v>
      </c>
      <c r="AH17">
        <v>0</v>
      </c>
      <c r="AI17" t="s">
        <v>51</v>
      </c>
      <c r="AJ17" t="s">
        <v>51</v>
      </c>
      <c r="AK17" t="s">
        <v>51</v>
      </c>
    </row>
    <row r="18" spans="1:37" x14ac:dyDescent="0.2">
      <c r="A18">
        <v>64604</v>
      </c>
      <c r="B18" t="s">
        <v>37</v>
      </c>
      <c r="C18" t="s">
        <v>38</v>
      </c>
      <c r="D18" t="s">
        <v>83</v>
      </c>
      <c r="E18" t="s">
        <v>84</v>
      </c>
      <c r="G18" s="4">
        <v>43948.956736111111</v>
      </c>
      <c r="H18" s="4">
        <v>43948.956770833333</v>
      </c>
      <c r="I18" t="s">
        <v>85</v>
      </c>
      <c r="J18" s="5">
        <v>3</v>
      </c>
      <c r="K18" t="s">
        <v>38</v>
      </c>
      <c r="M18">
        <v>64605</v>
      </c>
      <c r="N18" t="s">
        <v>84</v>
      </c>
      <c r="O18" t="s">
        <v>86</v>
      </c>
      <c r="P18" t="s">
        <v>38</v>
      </c>
      <c r="Q18" t="s">
        <v>85</v>
      </c>
      <c r="R18">
        <v>3</v>
      </c>
      <c r="S18" t="s">
        <v>45</v>
      </c>
      <c r="T18" t="str" s="2">
        <f>=HYPERLINK("http://demo.enginatics.com:80/ecc/user/applications/log/64604.log","http://demo.enginatics.com:80/ecc/user/applications/log/64604.log")</f>
        <v>"http://demo.enginatics.com:80/ecc/user/applications/log/64604.log")</v>
      </c>
      <c r="U18">
        <v>64606</v>
      </c>
      <c r="V18" t="s">
        <v>38</v>
      </c>
      <c r="W18" t="s">
        <v>85</v>
      </c>
      <c r="X18">
        <v>3</v>
      </c>
      <c r="Y18">
        <v>0</v>
      </c>
      <c r="Z18" t="s">
        <v>46</v>
      </c>
      <c r="AA18">
        <v>64608</v>
      </c>
      <c r="AB18" t="s">
        <v>87</v>
      </c>
      <c r="AC18" t="s">
        <v>68</v>
      </c>
      <c r="AD18" t="s">
        <v>38</v>
      </c>
      <c r="AE18" t="s">
        <v>49</v>
      </c>
      <c r="AF18" t="s">
        <v>88</v>
      </c>
      <c r="AG18">
        <v>2</v>
      </c>
      <c r="AH18">
        <v>2</v>
      </c>
      <c r="AI18" t="s">
        <v>51</v>
      </c>
      <c r="AJ18" t="s">
        <v>51</v>
      </c>
      <c r="AK18" t="s">
        <v>51</v>
      </c>
    </row>
    <row r="19" spans="1:37" x14ac:dyDescent="0.2">
      <c r="A19">
        <v>64604</v>
      </c>
      <c r="B19" t="s">
        <v>37</v>
      </c>
      <c r="C19" t="s">
        <v>38</v>
      </c>
      <c r="D19" t="s">
        <v>83</v>
      </c>
      <c r="E19" t="s">
        <v>84</v>
      </c>
      <c r="G19" s="4">
        <v>43948.956736111111</v>
      </c>
      <c r="H19" s="4">
        <v>43948.956770833333</v>
      </c>
      <c r="I19" t="s">
        <v>85</v>
      </c>
      <c r="J19" s="5">
        <v>3</v>
      </c>
      <c r="K19" t="s">
        <v>38</v>
      </c>
      <c r="M19">
        <v>64605</v>
      </c>
      <c r="N19" t="s">
        <v>84</v>
      </c>
      <c r="O19" t="s">
        <v>86</v>
      </c>
      <c r="P19" t="s">
        <v>38</v>
      </c>
      <c r="Q19" t="s">
        <v>85</v>
      </c>
      <c r="R19">
        <v>3</v>
      </c>
      <c r="S19" t="s">
        <v>45</v>
      </c>
      <c r="T19" t="str" s="2">
        <f>=HYPERLINK("http://demo.enginatics.com:80/ecc/user/applications/log/64604.log","http://demo.enginatics.com:80/ecc/user/applications/log/64604.log")</f>
        <v>"http://demo.enginatics.com:80/ecc/user/applications/log/64604.log")</v>
      </c>
      <c r="U19">
        <v>64606</v>
      </c>
      <c r="V19" t="s">
        <v>38</v>
      </c>
      <c r="W19" t="s">
        <v>85</v>
      </c>
      <c r="X19">
        <v>3</v>
      </c>
      <c r="Y19">
        <v>0</v>
      </c>
      <c r="Z19" t="s">
        <v>46</v>
      </c>
      <c r="AA19">
        <v>64607</v>
      </c>
      <c r="AB19" t="s">
        <v>89</v>
      </c>
      <c r="AC19" t="s">
        <v>56</v>
      </c>
      <c r="AD19" t="s">
        <v>38</v>
      </c>
      <c r="AE19" t="s">
        <v>49</v>
      </c>
      <c r="AF19" t="s">
        <v>50</v>
      </c>
      <c r="AG19">
        <v>.9999999999999999999999999999999999999996</v>
      </c>
      <c r="AH19">
        <v>0</v>
      </c>
      <c r="AI19" t="s">
        <v>51</v>
      </c>
      <c r="AJ19" t="s">
        <v>51</v>
      </c>
      <c r="AK19" t="s">
        <v>51</v>
      </c>
    </row>
    <row r="20" spans="1:37" x14ac:dyDescent="0.2">
      <c r="A20">
        <v>64602</v>
      </c>
      <c r="B20" t="s">
        <v>37</v>
      </c>
      <c r="C20" t="s">
        <v>38</v>
      </c>
      <c r="D20" t="s">
        <v>83</v>
      </c>
      <c r="E20" t="s">
        <v>90</v>
      </c>
      <c r="G20" s="4">
        <v>43948.938553240741</v>
      </c>
      <c r="H20" s="4">
        <v>43948.938553240741</v>
      </c>
      <c r="I20" t="s">
        <v>50</v>
      </c>
      <c r="J20" s="5">
        <v>0</v>
      </c>
      <c r="K20" t="s">
        <v>38</v>
      </c>
      <c r="M20">
        <v>64603</v>
      </c>
      <c r="N20" t="s">
        <v>90</v>
      </c>
      <c r="O20" t="s">
        <v>91</v>
      </c>
      <c r="P20" t="s">
        <v>38</v>
      </c>
      <c r="Q20" t="s">
        <v>50</v>
      </c>
      <c r="R20">
        <v>0</v>
      </c>
      <c r="S20" t="s">
        <v>92</v>
      </c>
      <c r="T20" t="str" s="2">
        <f>=HYPERLINK("http://demo.enginatics.com:80/ecc/user/applications/log/64602.log","http://demo.enginatics.com:80/ecc/user/applications/log/64602.log")</f>
        <v>"http://demo.enginatics.com:80/ecc/user/applications/log/64602.log")</v>
      </c>
    </row>
    <row r="21" spans="1:37" x14ac:dyDescent="0.2">
      <c r="A21">
        <v>64246</v>
      </c>
      <c r="B21" t="s">
        <v>37</v>
      </c>
      <c r="C21" t="s">
        <v>38</v>
      </c>
      <c r="D21" t="s">
        <v>93</v>
      </c>
      <c r="E21" t="s">
        <v>94</v>
      </c>
      <c r="G21" s="4">
        <v>43948.918819444444</v>
      </c>
      <c r="H21" s="4">
        <v>43948.918831018519</v>
      </c>
      <c r="I21" t="s">
        <v>50</v>
      </c>
      <c r="J21" s="5">
        <v>.9999999999999999999999999999999999999996</v>
      </c>
      <c r="K21" t="s">
        <v>38</v>
      </c>
      <c r="M21">
        <v>64247</v>
      </c>
      <c r="N21" t="s">
        <v>94</v>
      </c>
      <c r="O21" t="s">
        <v>95</v>
      </c>
      <c r="P21" t="s">
        <v>38</v>
      </c>
      <c r="Q21" t="s">
        <v>50</v>
      </c>
      <c r="R21">
        <v>0</v>
      </c>
      <c r="S21" t="s">
        <v>45</v>
      </c>
      <c r="T21" t="str" s="2">
        <f>=HYPERLINK("http://demo.enginatics.com:80/ecc/user/applications/log/64246.log","http://demo.enginatics.com:80/ecc/user/applications/log/64246.log")</f>
        <v>"http://demo.enginatics.com:80/ecc/user/applications/log/64246.log")</v>
      </c>
      <c r="U21">
        <v>64248</v>
      </c>
      <c r="V21" t="s">
        <v>38</v>
      </c>
      <c r="W21" t="s">
        <v>50</v>
      </c>
      <c r="X21">
        <v>0</v>
      </c>
      <c r="Y21">
        <v>0</v>
      </c>
      <c r="Z21" t="s">
        <v>46</v>
      </c>
      <c r="AA21">
        <v>64601</v>
      </c>
      <c r="AB21" t="s">
        <v>96</v>
      </c>
      <c r="AC21" t="s">
        <v>97</v>
      </c>
      <c r="AD21" t="s">
        <v>38</v>
      </c>
      <c r="AE21" t="s">
        <v>49</v>
      </c>
      <c r="AF21" t="s">
        <v>50</v>
      </c>
      <c r="AG21">
        <v>0</v>
      </c>
      <c r="AH21">
        <v>0</v>
      </c>
      <c r="AI21" t="s">
        <v>51</v>
      </c>
      <c r="AJ21" t="s">
        <v>51</v>
      </c>
      <c r="AK21" t="s">
        <v>51</v>
      </c>
    </row>
    <row r="22" spans="1:37" x14ac:dyDescent="0.2">
      <c r="A22">
        <v>64246</v>
      </c>
      <c r="B22" t="s">
        <v>37</v>
      </c>
      <c r="C22" t="s">
        <v>38</v>
      </c>
      <c r="D22" t="s">
        <v>93</v>
      </c>
      <c r="E22" t="s">
        <v>94</v>
      </c>
      <c r="G22" s="4">
        <v>43948.918819444444</v>
      </c>
      <c r="H22" s="4">
        <v>43948.918831018519</v>
      </c>
      <c r="I22" t="s">
        <v>50</v>
      </c>
      <c r="J22" s="5">
        <v>.9999999999999999999999999999999999999996</v>
      </c>
      <c r="K22" t="s">
        <v>38</v>
      </c>
      <c r="M22">
        <v>64247</v>
      </c>
      <c r="N22" t="s">
        <v>94</v>
      </c>
      <c r="O22" t="s">
        <v>95</v>
      </c>
      <c r="P22" t="s">
        <v>38</v>
      </c>
      <c r="Q22" t="s">
        <v>50</v>
      </c>
      <c r="R22">
        <v>0</v>
      </c>
      <c r="S22" t="s">
        <v>45</v>
      </c>
      <c r="T22" t="str" s="2">
        <f>=HYPERLINK("http://demo.enginatics.com:80/ecc/user/applications/log/64246.log","http://demo.enginatics.com:80/ecc/user/applications/log/64246.log")</f>
        <v>"http://demo.enginatics.com:80/ecc/user/applications/log/64246.log")</v>
      </c>
      <c r="U22">
        <v>64248</v>
      </c>
      <c r="V22" t="s">
        <v>38</v>
      </c>
      <c r="W22" t="s">
        <v>50</v>
      </c>
      <c r="X22">
        <v>0</v>
      </c>
      <c r="Y22">
        <v>0</v>
      </c>
      <c r="Z22" t="s">
        <v>46</v>
      </c>
      <c r="AA22">
        <v>64250</v>
      </c>
      <c r="AB22" t="s">
        <v>98</v>
      </c>
      <c r="AC22" t="s">
        <v>56</v>
      </c>
      <c r="AD22" t="s">
        <v>38</v>
      </c>
      <c r="AE22" t="s">
        <v>49</v>
      </c>
      <c r="AF22" t="s">
        <v>50</v>
      </c>
      <c r="AG22">
        <v>0</v>
      </c>
      <c r="AH22">
        <v>0</v>
      </c>
      <c r="AI22" t="s">
        <v>51</v>
      </c>
      <c r="AJ22" t="s">
        <v>51</v>
      </c>
      <c r="AK22" t="s">
        <v>51</v>
      </c>
    </row>
    <row r="23" spans="1:37" x14ac:dyDescent="0.2">
      <c r="A23">
        <v>64246</v>
      </c>
      <c r="B23" t="s">
        <v>37</v>
      </c>
      <c r="C23" t="s">
        <v>38</v>
      </c>
      <c r="D23" t="s">
        <v>93</v>
      </c>
      <c r="E23" t="s">
        <v>94</v>
      </c>
      <c r="G23" s="4">
        <v>43948.918819444444</v>
      </c>
      <c r="H23" s="4">
        <v>43948.918831018519</v>
      </c>
      <c r="I23" t="s">
        <v>50</v>
      </c>
      <c r="J23" s="5">
        <v>.9999999999999999999999999999999999999996</v>
      </c>
      <c r="K23" t="s">
        <v>38</v>
      </c>
      <c r="M23">
        <v>64247</v>
      </c>
      <c r="N23" t="s">
        <v>94</v>
      </c>
      <c r="O23" t="s">
        <v>95</v>
      </c>
      <c r="P23" t="s">
        <v>38</v>
      </c>
      <c r="Q23" t="s">
        <v>50</v>
      </c>
      <c r="R23">
        <v>0</v>
      </c>
      <c r="S23" t="s">
        <v>45</v>
      </c>
      <c r="T23" t="str" s="2">
        <f>=HYPERLINK("http://demo.enginatics.com:80/ecc/user/applications/log/64246.log","http://demo.enginatics.com:80/ecc/user/applications/log/64246.log")</f>
        <v>"http://demo.enginatics.com:80/ecc/user/applications/log/64246.log")</v>
      </c>
      <c r="U23">
        <v>64248</v>
      </c>
      <c r="V23" t="s">
        <v>38</v>
      </c>
      <c r="W23" t="s">
        <v>50</v>
      </c>
      <c r="X23">
        <v>0</v>
      </c>
      <c r="Y23">
        <v>0</v>
      </c>
      <c r="Z23" t="s">
        <v>46</v>
      </c>
      <c r="AA23">
        <v>64249</v>
      </c>
      <c r="AB23" t="s">
        <v>99</v>
      </c>
      <c r="AC23" t="s">
        <v>68</v>
      </c>
      <c r="AD23" t="s">
        <v>38</v>
      </c>
      <c r="AE23" t="s">
        <v>49</v>
      </c>
      <c r="AF23" t="s">
        <v>50</v>
      </c>
      <c r="AG23">
        <v>0</v>
      </c>
      <c r="AH23">
        <v>0</v>
      </c>
      <c r="AI23" t="s">
        <v>51</v>
      </c>
      <c r="AJ23" t="s">
        <v>51</v>
      </c>
      <c r="AK23" t="s">
        <v>51</v>
      </c>
    </row>
    <row r="24" spans="1:37" x14ac:dyDescent="0.2">
      <c r="A24">
        <v>64240</v>
      </c>
      <c r="B24" t="s">
        <v>37</v>
      </c>
      <c r="C24" t="s">
        <v>38</v>
      </c>
      <c r="D24" t="s">
        <v>93</v>
      </c>
      <c r="E24" t="s">
        <v>100</v>
      </c>
      <c r="G24" s="4">
        <v>43948.918726851852</v>
      </c>
      <c r="H24" s="4">
        <v>43948.91875</v>
      </c>
      <c r="I24" t="s">
        <v>88</v>
      </c>
      <c r="J24" s="5">
        <v>2</v>
      </c>
      <c r="K24" t="s">
        <v>38</v>
      </c>
      <c r="M24">
        <v>64241</v>
      </c>
      <c r="N24" t="s">
        <v>100</v>
      </c>
      <c r="O24" t="s">
        <v>101</v>
      </c>
      <c r="P24" t="s">
        <v>38</v>
      </c>
      <c r="Q24" t="s">
        <v>88</v>
      </c>
      <c r="R24">
        <v>2</v>
      </c>
      <c r="S24" t="s">
        <v>45</v>
      </c>
      <c r="T24" t="str" s="2">
        <f>=HYPERLINK("http://demo.enginatics.com:80/ecc/user/applications/log/64240.log","http://demo.enginatics.com:80/ecc/user/applications/log/64240.log")</f>
        <v>"http://demo.enginatics.com:80/ecc/user/applications/log/64240.log")</v>
      </c>
      <c r="U24">
        <v>64242</v>
      </c>
      <c r="V24" t="s">
        <v>38</v>
      </c>
      <c r="W24" t="s">
        <v>50</v>
      </c>
      <c r="X24">
        <v>.9999999999999999999999999999999999999996</v>
      </c>
      <c r="Y24">
        <v>1</v>
      </c>
      <c r="Z24" t="s">
        <v>46</v>
      </c>
      <c r="AA24">
        <v>64245</v>
      </c>
      <c r="AB24" t="s">
        <v>102</v>
      </c>
      <c r="AC24" t="s">
        <v>103</v>
      </c>
      <c r="AD24" t="s">
        <v>38</v>
      </c>
      <c r="AE24" t="s">
        <v>49</v>
      </c>
      <c r="AF24" t="s">
        <v>50</v>
      </c>
      <c r="AG24">
        <v>0</v>
      </c>
      <c r="AH24">
        <v>0</v>
      </c>
      <c r="AI24" t="s">
        <v>51</v>
      </c>
      <c r="AJ24" t="s">
        <v>51</v>
      </c>
      <c r="AK24" t="s">
        <v>51</v>
      </c>
    </row>
    <row r="25" spans="1:37" x14ac:dyDescent="0.2">
      <c r="A25">
        <v>64240</v>
      </c>
      <c r="B25" t="s">
        <v>37</v>
      </c>
      <c r="C25" t="s">
        <v>38</v>
      </c>
      <c r="D25" t="s">
        <v>93</v>
      </c>
      <c r="E25" t="s">
        <v>100</v>
      </c>
      <c r="G25" s="4">
        <v>43948.918726851852</v>
      </c>
      <c r="H25" s="4">
        <v>43948.91875</v>
      </c>
      <c r="I25" t="s">
        <v>88</v>
      </c>
      <c r="J25" s="5">
        <v>2</v>
      </c>
      <c r="K25" t="s">
        <v>38</v>
      </c>
      <c r="M25">
        <v>64241</v>
      </c>
      <c r="N25" t="s">
        <v>100</v>
      </c>
      <c r="O25" t="s">
        <v>101</v>
      </c>
      <c r="P25" t="s">
        <v>38</v>
      </c>
      <c r="Q25" t="s">
        <v>88</v>
      </c>
      <c r="R25">
        <v>2</v>
      </c>
      <c r="S25" t="s">
        <v>45</v>
      </c>
      <c r="T25" t="str" s="2">
        <f>=HYPERLINK("http://demo.enginatics.com:80/ecc/user/applications/log/64240.log","http://demo.enginatics.com:80/ecc/user/applications/log/64240.log")</f>
        <v>"http://demo.enginatics.com:80/ecc/user/applications/log/64240.log")</v>
      </c>
      <c r="U25">
        <v>64242</v>
      </c>
      <c r="V25" t="s">
        <v>38</v>
      </c>
      <c r="W25" t="s">
        <v>50</v>
      </c>
      <c r="X25">
        <v>.9999999999999999999999999999999999999996</v>
      </c>
      <c r="Y25">
        <v>1</v>
      </c>
      <c r="Z25" t="s">
        <v>46</v>
      </c>
      <c r="AA25">
        <v>64244</v>
      </c>
      <c r="AB25" t="s">
        <v>104</v>
      </c>
      <c r="AC25" t="s">
        <v>56</v>
      </c>
      <c r="AD25" t="s">
        <v>38</v>
      </c>
      <c r="AE25" t="s">
        <v>49</v>
      </c>
      <c r="AF25" t="s">
        <v>50</v>
      </c>
      <c r="AG25">
        <v>0</v>
      </c>
      <c r="AH25">
        <v>0</v>
      </c>
      <c r="AI25" t="s">
        <v>51</v>
      </c>
      <c r="AJ25" t="s">
        <v>51</v>
      </c>
      <c r="AK25" t="s">
        <v>51</v>
      </c>
    </row>
    <row r="26" spans="1:37" x14ac:dyDescent="0.2">
      <c r="A26">
        <v>64240</v>
      </c>
      <c r="B26" t="s">
        <v>37</v>
      </c>
      <c r="C26" t="s">
        <v>38</v>
      </c>
      <c r="D26" t="s">
        <v>93</v>
      </c>
      <c r="E26" t="s">
        <v>100</v>
      </c>
      <c r="G26" s="4">
        <v>43948.918726851852</v>
      </c>
      <c r="H26" s="4">
        <v>43948.91875</v>
      </c>
      <c r="I26" t="s">
        <v>88</v>
      </c>
      <c r="J26" s="5">
        <v>2</v>
      </c>
      <c r="K26" t="s">
        <v>38</v>
      </c>
      <c r="M26">
        <v>64241</v>
      </c>
      <c r="N26" t="s">
        <v>100</v>
      </c>
      <c r="O26" t="s">
        <v>101</v>
      </c>
      <c r="P26" t="s">
        <v>38</v>
      </c>
      <c r="Q26" t="s">
        <v>88</v>
      </c>
      <c r="R26">
        <v>2</v>
      </c>
      <c r="S26" t="s">
        <v>45</v>
      </c>
      <c r="T26" t="str" s="2">
        <f>=HYPERLINK("http://demo.enginatics.com:80/ecc/user/applications/log/64240.log","http://demo.enginatics.com:80/ecc/user/applications/log/64240.log")</f>
        <v>"http://demo.enginatics.com:80/ecc/user/applications/log/64240.log")</v>
      </c>
      <c r="U26">
        <v>64242</v>
      </c>
      <c r="V26" t="s">
        <v>38</v>
      </c>
      <c r="W26" t="s">
        <v>50</v>
      </c>
      <c r="X26">
        <v>.9999999999999999999999999999999999999996</v>
      </c>
      <c r="Y26">
        <v>1</v>
      </c>
      <c r="Z26" t="s">
        <v>46</v>
      </c>
      <c r="AA26">
        <v>64243</v>
      </c>
      <c r="AB26" t="s">
        <v>105</v>
      </c>
      <c r="AC26" t="s">
        <v>68</v>
      </c>
      <c r="AD26" t="s">
        <v>38</v>
      </c>
      <c r="AE26" t="s">
        <v>49</v>
      </c>
      <c r="AF26" t="s">
        <v>50</v>
      </c>
      <c r="AG26">
        <v>0</v>
      </c>
      <c r="AH26">
        <v>0</v>
      </c>
      <c r="AI26" t="s">
        <v>51</v>
      </c>
      <c r="AJ26" t="s">
        <v>51</v>
      </c>
      <c r="AK26" t="s">
        <v>51</v>
      </c>
    </row>
    <row r="27" spans="1:37" x14ac:dyDescent="0.2">
      <c r="A27">
        <v>64232</v>
      </c>
      <c r="B27" t="s">
        <v>37</v>
      </c>
      <c r="C27" t="s">
        <v>38</v>
      </c>
      <c r="D27" t="s">
        <v>106</v>
      </c>
      <c r="E27" t="s">
        <v>40</v>
      </c>
      <c r="G27" s="4">
        <v>43948.832777777778</v>
      </c>
      <c r="H27" s="4">
        <v>43948.832777777778</v>
      </c>
      <c r="I27" t="s">
        <v>50</v>
      </c>
      <c r="J27" s="5">
        <v>0</v>
      </c>
      <c r="K27" t="s">
        <v>38</v>
      </c>
      <c r="M27">
        <v>64239</v>
      </c>
      <c r="N27" t="s">
        <v>107</v>
      </c>
      <c r="O27" t="s">
        <v>108</v>
      </c>
      <c r="P27" t="s">
        <v>38</v>
      </c>
      <c r="Q27" t="s">
        <v>50</v>
      </c>
      <c r="R27">
        <v>0</v>
      </c>
      <c r="S27" t="s">
        <v>109</v>
      </c>
      <c r="T27" t="str" s="2">
        <f>=HYPERLINK("http://demo.enginatics.com:80/ecc/user/applications/log/64232.log","http://demo.enginatics.com:80/ecc/user/applications/log/64232.log")</f>
        <v>"http://demo.enginatics.com:80/ecc/user/applications/log/64232.log")</v>
      </c>
    </row>
    <row r="28" spans="1:37" x14ac:dyDescent="0.2">
      <c r="A28">
        <v>64232</v>
      </c>
      <c r="B28" t="s">
        <v>37</v>
      </c>
      <c r="C28" t="s">
        <v>38</v>
      </c>
      <c r="D28" t="s">
        <v>106</v>
      </c>
      <c r="E28" t="s">
        <v>40</v>
      </c>
      <c r="G28" s="4">
        <v>43948.832777777778</v>
      </c>
      <c r="H28" s="4">
        <v>43948.832777777778</v>
      </c>
      <c r="I28" t="s">
        <v>50</v>
      </c>
      <c r="J28" s="5">
        <v>0</v>
      </c>
      <c r="K28" t="s">
        <v>38</v>
      </c>
      <c r="M28">
        <v>64238</v>
      </c>
      <c r="N28" t="s">
        <v>110</v>
      </c>
      <c r="O28" t="s">
        <v>111</v>
      </c>
      <c r="P28" t="s">
        <v>38</v>
      </c>
      <c r="Q28" t="s">
        <v>50</v>
      </c>
      <c r="R28">
        <v>0</v>
      </c>
      <c r="S28" t="s">
        <v>112</v>
      </c>
      <c r="T28" t="str" s="2">
        <f>=HYPERLINK("http://demo.enginatics.com:80/ecc/user/applications/log/64232.log","http://demo.enginatics.com:80/ecc/user/applications/log/64232.log")</f>
        <v>"http://demo.enginatics.com:80/ecc/user/applications/log/64232.log")</v>
      </c>
    </row>
    <row r="29" spans="1:37" x14ac:dyDescent="0.2">
      <c r="A29">
        <v>64232</v>
      </c>
      <c r="B29" t="s">
        <v>37</v>
      </c>
      <c r="C29" t="s">
        <v>38</v>
      </c>
      <c r="D29" t="s">
        <v>106</v>
      </c>
      <c r="E29" t="s">
        <v>40</v>
      </c>
      <c r="G29" s="4">
        <v>43948.832777777778</v>
      </c>
      <c r="H29" s="4">
        <v>43948.832777777778</v>
      </c>
      <c r="I29" t="s">
        <v>50</v>
      </c>
      <c r="J29" s="5">
        <v>0</v>
      </c>
      <c r="K29" t="s">
        <v>38</v>
      </c>
      <c r="M29">
        <v>64237</v>
      </c>
      <c r="N29" t="s">
        <v>113</v>
      </c>
      <c r="O29" t="s">
        <v>106</v>
      </c>
      <c r="P29" t="s">
        <v>38</v>
      </c>
      <c r="Q29" t="s">
        <v>50</v>
      </c>
      <c r="R29">
        <v>0</v>
      </c>
      <c r="S29" t="s">
        <v>114</v>
      </c>
      <c r="T29" t="str" s="2">
        <f>=HYPERLINK("http://demo.enginatics.com:80/ecc/user/applications/log/64232.log","http://demo.enginatics.com:80/ecc/user/applications/log/64232.log")</f>
        <v>"http://demo.enginatics.com:80/ecc/user/applications/log/64232.log")</v>
      </c>
    </row>
    <row r="30" spans="1:37" x14ac:dyDescent="0.2">
      <c r="A30">
        <v>64232</v>
      </c>
      <c r="B30" t="s">
        <v>37</v>
      </c>
      <c r="C30" t="s">
        <v>38</v>
      </c>
      <c r="D30" t="s">
        <v>106</v>
      </c>
      <c r="E30" t="s">
        <v>40</v>
      </c>
      <c r="G30" s="4">
        <v>43948.832777777778</v>
      </c>
      <c r="H30" s="4">
        <v>43948.832777777778</v>
      </c>
      <c r="I30" t="s">
        <v>50</v>
      </c>
      <c r="J30" s="5">
        <v>0</v>
      </c>
      <c r="K30" t="s">
        <v>38</v>
      </c>
      <c r="M30">
        <v>64233</v>
      </c>
      <c r="N30" t="s">
        <v>115</v>
      </c>
      <c r="O30" t="s">
        <v>116</v>
      </c>
      <c r="P30" t="s">
        <v>38</v>
      </c>
      <c r="Q30" t="s">
        <v>50</v>
      </c>
      <c r="R30">
        <v>0</v>
      </c>
      <c r="S30" t="s">
        <v>45</v>
      </c>
      <c r="T30" t="str" s="2">
        <f>=HYPERLINK("http://demo.enginatics.com:80/ecc/user/applications/log/64232.log","http://demo.enginatics.com:80/ecc/user/applications/log/64232.log")</f>
        <v>"http://demo.enginatics.com:80/ecc/user/applications/log/64232.log")</v>
      </c>
      <c r="U30">
        <v>64234</v>
      </c>
      <c r="V30" t="s">
        <v>38</v>
      </c>
      <c r="W30" t="s">
        <v>50</v>
      </c>
      <c r="X30">
        <v>0</v>
      </c>
      <c r="Y30">
        <v>0</v>
      </c>
      <c r="Z30" t="s">
        <v>46</v>
      </c>
      <c r="AA30">
        <v>64236</v>
      </c>
      <c r="AB30" t="s">
        <v>117</v>
      </c>
      <c r="AC30" t="s">
        <v>68</v>
      </c>
      <c r="AD30" t="s">
        <v>38</v>
      </c>
      <c r="AE30" t="s">
        <v>49</v>
      </c>
      <c r="AF30" t="s">
        <v>50</v>
      </c>
      <c r="AG30">
        <v>0</v>
      </c>
      <c r="AH30">
        <v>0</v>
      </c>
      <c r="AI30" t="s">
        <v>51</v>
      </c>
      <c r="AJ30" t="s">
        <v>51</v>
      </c>
      <c r="AK30" t="s">
        <v>51</v>
      </c>
    </row>
    <row r="31" spans="1:37" x14ac:dyDescent="0.2">
      <c r="A31">
        <v>64232</v>
      </c>
      <c r="B31" t="s">
        <v>37</v>
      </c>
      <c r="C31" t="s">
        <v>38</v>
      </c>
      <c r="D31" t="s">
        <v>106</v>
      </c>
      <c r="E31" t="s">
        <v>40</v>
      </c>
      <c r="G31" s="4">
        <v>43948.832777777778</v>
      </c>
      <c r="H31" s="4">
        <v>43948.832777777778</v>
      </c>
      <c r="I31" t="s">
        <v>50</v>
      </c>
      <c r="J31" s="5">
        <v>0</v>
      </c>
      <c r="K31" t="s">
        <v>38</v>
      </c>
      <c r="M31">
        <v>64233</v>
      </c>
      <c r="N31" t="s">
        <v>115</v>
      </c>
      <c r="O31" t="s">
        <v>116</v>
      </c>
      <c r="P31" t="s">
        <v>38</v>
      </c>
      <c r="Q31" t="s">
        <v>50</v>
      </c>
      <c r="R31">
        <v>0</v>
      </c>
      <c r="S31" t="s">
        <v>45</v>
      </c>
      <c r="T31" t="str" s="2">
        <f>=HYPERLINK("http://demo.enginatics.com:80/ecc/user/applications/log/64232.log","http://demo.enginatics.com:80/ecc/user/applications/log/64232.log")</f>
        <v>"http://demo.enginatics.com:80/ecc/user/applications/log/64232.log")</v>
      </c>
      <c r="U31">
        <v>64234</v>
      </c>
      <c r="V31" t="s">
        <v>38</v>
      </c>
      <c r="W31" t="s">
        <v>50</v>
      </c>
      <c r="X31">
        <v>0</v>
      </c>
      <c r="Y31">
        <v>0</v>
      </c>
      <c r="Z31" t="s">
        <v>46</v>
      </c>
      <c r="AA31">
        <v>64235</v>
      </c>
      <c r="AB31" t="s">
        <v>118</v>
      </c>
      <c r="AC31" t="s">
        <v>56</v>
      </c>
      <c r="AD31" t="s">
        <v>38</v>
      </c>
      <c r="AE31" t="s">
        <v>49</v>
      </c>
      <c r="AF31" t="s">
        <v>50</v>
      </c>
      <c r="AG31">
        <v>0</v>
      </c>
      <c r="AH31">
        <v>0</v>
      </c>
      <c r="AI31" t="s">
        <v>51</v>
      </c>
      <c r="AJ31" t="s">
        <v>51</v>
      </c>
      <c r="AK31" t="s">
        <v>51</v>
      </c>
    </row>
    <row r="32" spans="1:37" x14ac:dyDescent="0.2">
      <c r="A32">
        <v>64228</v>
      </c>
      <c r="B32" t="s">
        <v>37</v>
      </c>
      <c r="C32" t="s">
        <v>38</v>
      </c>
      <c r="D32" t="s">
        <v>119</v>
      </c>
      <c r="E32" t="s">
        <v>40</v>
      </c>
      <c r="G32" s="4">
        <v>43948.787141203704</v>
      </c>
      <c r="H32" s="4">
        <v>43948.787141203704</v>
      </c>
      <c r="I32" t="s">
        <v>50</v>
      </c>
      <c r="J32" s="5">
        <v>0</v>
      </c>
      <c r="K32" t="s">
        <v>38</v>
      </c>
      <c r="M32">
        <v>64229</v>
      </c>
      <c r="N32" t="s">
        <v>120</v>
      </c>
      <c r="O32" t="s">
        <v>121</v>
      </c>
      <c r="P32" t="s">
        <v>38</v>
      </c>
      <c r="Q32" t="s">
        <v>50</v>
      </c>
      <c r="R32">
        <v>0</v>
      </c>
      <c r="S32" t="s">
        <v>45</v>
      </c>
      <c r="T32" t="str" s="2">
        <f>=HYPERLINK("http://demo.enginatics.com:80/ecc/user/applications/log/64228.log","http://demo.enginatics.com:80/ecc/user/applications/log/64228.log")</f>
        <v>"http://demo.enginatics.com:80/ecc/user/applications/log/64228.log")</v>
      </c>
      <c r="U32">
        <v>64230</v>
      </c>
      <c r="V32" t="s">
        <v>38</v>
      </c>
      <c r="W32" t="s">
        <v>50</v>
      </c>
      <c r="X32">
        <v>0</v>
      </c>
      <c r="Y32">
        <v>0</v>
      </c>
      <c r="Z32" t="s">
        <v>46</v>
      </c>
      <c r="AA32">
        <v>64231</v>
      </c>
      <c r="AB32" t="s">
        <v>122</v>
      </c>
      <c r="AC32" t="s">
        <v>68</v>
      </c>
      <c r="AD32" t="s">
        <v>38</v>
      </c>
      <c r="AE32" t="s">
        <v>49</v>
      </c>
      <c r="AF32" t="s">
        <v>50</v>
      </c>
      <c r="AG32">
        <v>0</v>
      </c>
      <c r="AH32">
        <v>0</v>
      </c>
      <c r="AI32" t="s">
        <v>51</v>
      </c>
      <c r="AJ32" t="s">
        <v>51</v>
      </c>
      <c r="AK32" t="s">
        <v>51</v>
      </c>
    </row>
    <row r="33" spans="1:37" x14ac:dyDescent="0.2">
      <c r="A33">
        <v>64221</v>
      </c>
      <c r="B33" t="s">
        <v>37</v>
      </c>
      <c r="C33" t="s">
        <v>38</v>
      </c>
      <c r="D33" t="s">
        <v>123</v>
      </c>
      <c r="E33" t="s">
        <v>40</v>
      </c>
      <c r="G33" s="4">
        <v>43948.783611111111</v>
      </c>
      <c r="H33" s="4">
        <v>43948.783622685185</v>
      </c>
      <c r="I33" t="s">
        <v>50</v>
      </c>
      <c r="J33" s="5">
        <v>.9999999999999999999999999999999999999996</v>
      </c>
      <c r="K33" t="s">
        <v>38</v>
      </c>
      <c r="M33">
        <v>64225</v>
      </c>
      <c r="N33" t="s">
        <v>124</v>
      </c>
      <c r="O33" t="s">
        <v>125</v>
      </c>
      <c r="P33" t="s">
        <v>38</v>
      </c>
      <c r="Q33" t="s">
        <v>50</v>
      </c>
      <c r="R33">
        <v>0</v>
      </c>
      <c r="S33" t="s">
        <v>45</v>
      </c>
      <c r="T33" t="str" s="2">
        <f>=HYPERLINK("http://demo.enginatics.com:80/ecc/user/applications/log/64221.log","http://demo.enginatics.com:80/ecc/user/applications/log/64221.log")</f>
        <v>"http://demo.enginatics.com:80/ecc/user/applications/log/64221.log")</v>
      </c>
      <c r="U33">
        <v>64226</v>
      </c>
      <c r="V33" t="s">
        <v>38</v>
      </c>
      <c r="W33" t="s">
        <v>50</v>
      </c>
      <c r="X33">
        <v>0</v>
      </c>
      <c r="Y33">
        <v>0</v>
      </c>
      <c r="Z33" t="s">
        <v>46</v>
      </c>
      <c r="AA33">
        <v>64227</v>
      </c>
      <c r="AB33" t="s">
        <v>126</v>
      </c>
      <c r="AC33" t="s">
        <v>68</v>
      </c>
      <c r="AD33" t="s">
        <v>38</v>
      </c>
      <c r="AE33" t="s">
        <v>49</v>
      </c>
      <c r="AF33" t="s">
        <v>50</v>
      </c>
      <c r="AG33">
        <v>0</v>
      </c>
      <c r="AH33">
        <v>0</v>
      </c>
      <c r="AI33" t="s">
        <v>51</v>
      </c>
      <c r="AJ33" t="s">
        <v>51</v>
      </c>
      <c r="AK33" t="s">
        <v>51</v>
      </c>
    </row>
    <row r="34" spans="1:37" x14ac:dyDescent="0.2">
      <c r="A34">
        <v>64221</v>
      </c>
      <c r="B34" t="s">
        <v>37</v>
      </c>
      <c r="C34" t="s">
        <v>38</v>
      </c>
      <c r="D34" t="s">
        <v>123</v>
      </c>
      <c r="E34" t="s">
        <v>40</v>
      </c>
      <c r="G34" s="4">
        <v>43948.783611111111</v>
      </c>
      <c r="H34" s="4">
        <v>43948.783622685185</v>
      </c>
      <c r="I34" t="s">
        <v>50</v>
      </c>
      <c r="J34" s="5">
        <v>.9999999999999999999999999999999999999996</v>
      </c>
      <c r="K34" t="s">
        <v>38</v>
      </c>
      <c r="M34">
        <v>64222</v>
      </c>
      <c r="N34" t="s">
        <v>127</v>
      </c>
      <c r="O34" t="s">
        <v>128</v>
      </c>
      <c r="P34" t="s">
        <v>38</v>
      </c>
      <c r="Q34" t="s">
        <v>50</v>
      </c>
      <c r="R34">
        <v>.9999999999999999999999999999999999999996</v>
      </c>
      <c r="S34" t="s">
        <v>45</v>
      </c>
      <c r="T34" t="str" s="2">
        <f>=HYPERLINK("http://demo.enginatics.com:80/ecc/user/applications/log/64221.log","http://demo.enginatics.com:80/ecc/user/applications/log/64221.log")</f>
        <v>"http://demo.enginatics.com:80/ecc/user/applications/log/64221.log")</v>
      </c>
      <c r="U34">
        <v>64223</v>
      </c>
      <c r="V34" t="s">
        <v>38</v>
      </c>
      <c r="W34" t="s">
        <v>50</v>
      </c>
      <c r="X34">
        <v>.9999999999999999999999999999999999999996</v>
      </c>
      <c r="Y34">
        <v>0</v>
      </c>
      <c r="Z34" t="s">
        <v>46</v>
      </c>
      <c r="AA34">
        <v>64224</v>
      </c>
      <c r="AB34" t="s">
        <v>129</v>
      </c>
      <c r="AC34" t="s">
        <v>68</v>
      </c>
      <c r="AD34" t="s">
        <v>38</v>
      </c>
      <c r="AE34" t="s">
        <v>49</v>
      </c>
      <c r="AF34" t="s">
        <v>50</v>
      </c>
      <c r="AG34">
        <v>.9999999999999999999999999999999999999996</v>
      </c>
      <c r="AH34">
        <v>0</v>
      </c>
      <c r="AI34" t="s">
        <v>51</v>
      </c>
      <c r="AJ34" t="s">
        <v>51</v>
      </c>
      <c r="AK34" t="s">
        <v>51</v>
      </c>
    </row>
    <row r="35" spans="1:37" x14ac:dyDescent="0.2">
      <c r="A35">
        <v>64182</v>
      </c>
      <c r="B35" t="s">
        <v>37</v>
      </c>
      <c r="C35" t="s">
        <v>38</v>
      </c>
      <c r="D35" t="s">
        <v>130</v>
      </c>
      <c r="E35" t="s">
        <v>40</v>
      </c>
      <c r="G35" s="4">
        <v>43948.699618055556</v>
      </c>
      <c r="H35" s="4">
        <v>43948.699652777778</v>
      </c>
      <c r="I35" t="s">
        <v>85</v>
      </c>
      <c r="J35" s="5">
        <v>3</v>
      </c>
      <c r="K35" t="s">
        <v>38</v>
      </c>
      <c r="M35">
        <v>64209</v>
      </c>
      <c r="N35" t="s">
        <v>131</v>
      </c>
      <c r="O35" t="s">
        <v>132</v>
      </c>
      <c r="P35" t="s">
        <v>38</v>
      </c>
      <c r="Q35" t="s">
        <v>88</v>
      </c>
      <c r="R35">
        <v>2</v>
      </c>
      <c r="S35" t="s">
        <v>45</v>
      </c>
      <c r="T35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35">
        <v>64210</v>
      </c>
      <c r="V35" t="s">
        <v>38</v>
      </c>
      <c r="W35" t="s">
        <v>88</v>
      </c>
      <c r="X35">
        <v>2</v>
      </c>
      <c r="Y35">
        <v>0</v>
      </c>
      <c r="Z35" t="s">
        <v>46</v>
      </c>
      <c r="AA35">
        <v>64220</v>
      </c>
      <c r="AB35" t="s">
        <v>133</v>
      </c>
      <c r="AC35" t="s">
        <v>48</v>
      </c>
      <c r="AD35" t="s">
        <v>38</v>
      </c>
      <c r="AE35" t="s">
        <v>49</v>
      </c>
      <c r="AF35" t="s">
        <v>50</v>
      </c>
      <c r="AG35">
        <v>0</v>
      </c>
      <c r="AH35">
        <v>0</v>
      </c>
      <c r="AI35" t="s">
        <v>51</v>
      </c>
      <c r="AJ35" t="s">
        <v>51</v>
      </c>
      <c r="AK35" t="s">
        <v>51</v>
      </c>
    </row>
    <row r="36" spans="1:37" x14ac:dyDescent="0.2">
      <c r="A36">
        <v>64182</v>
      </c>
      <c r="B36" t="s">
        <v>37</v>
      </c>
      <c r="C36" t="s">
        <v>38</v>
      </c>
      <c r="D36" t="s">
        <v>130</v>
      </c>
      <c r="E36" t="s">
        <v>40</v>
      </c>
      <c r="G36" s="4">
        <v>43948.699618055556</v>
      </c>
      <c r="H36" s="4">
        <v>43948.699652777778</v>
      </c>
      <c r="I36" t="s">
        <v>85</v>
      </c>
      <c r="J36" s="5">
        <v>3</v>
      </c>
      <c r="K36" t="s">
        <v>38</v>
      </c>
      <c r="M36">
        <v>64209</v>
      </c>
      <c r="N36" t="s">
        <v>131</v>
      </c>
      <c r="O36" t="s">
        <v>132</v>
      </c>
      <c r="P36" t="s">
        <v>38</v>
      </c>
      <c r="Q36" t="s">
        <v>88</v>
      </c>
      <c r="R36">
        <v>2</v>
      </c>
      <c r="S36" t="s">
        <v>45</v>
      </c>
      <c r="T36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36">
        <v>64210</v>
      </c>
      <c r="V36" t="s">
        <v>38</v>
      </c>
      <c r="W36" t="s">
        <v>88</v>
      </c>
      <c r="X36">
        <v>2</v>
      </c>
      <c r="Y36">
        <v>0</v>
      </c>
      <c r="Z36" t="s">
        <v>46</v>
      </c>
      <c r="AA36">
        <v>64219</v>
      </c>
      <c r="AB36" t="s">
        <v>134</v>
      </c>
      <c r="AC36" t="s">
        <v>48</v>
      </c>
      <c r="AD36" t="s">
        <v>38</v>
      </c>
      <c r="AE36" t="s">
        <v>49</v>
      </c>
      <c r="AF36" t="s">
        <v>50</v>
      </c>
      <c r="AG36">
        <v>0</v>
      </c>
      <c r="AH36">
        <v>0</v>
      </c>
      <c r="AI36" t="s">
        <v>51</v>
      </c>
      <c r="AJ36" t="s">
        <v>51</v>
      </c>
      <c r="AK36" t="s">
        <v>51</v>
      </c>
    </row>
    <row r="37" spans="1:37" x14ac:dyDescent="0.2">
      <c r="A37">
        <v>64182</v>
      </c>
      <c r="B37" t="s">
        <v>37</v>
      </c>
      <c r="C37" t="s">
        <v>38</v>
      </c>
      <c r="D37" t="s">
        <v>130</v>
      </c>
      <c r="E37" t="s">
        <v>40</v>
      </c>
      <c r="G37" s="4">
        <v>43948.699618055556</v>
      </c>
      <c r="H37" s="4">
        <v>43948.699652777778</v>
      </c>
      <c r="I37" t="s">
        <v>85</v>
      </c>
      <c r="J37" s="5">
        <v>3</v>
      </c>
      <c r="K37" t="s">
        <v>38</v>
      </c>
      <c r="M37">
        <v>64209</v>
      </c>
      <c r="N37" t="s">
        <v>131</v>
      </c>
      <c r="O37" t="s">
        <v>132</v>
      </c>
      <c r="P37" t="s">
        <v>38</v>
      </c>
      <c r="Q37" t="s">
        <v>88</v>
      </c>
      <c r="R37">
        <v>2</v>
      </c>
      <c r="S37" t="s">
        <v>45</v>
      </c>
      <c r="T37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37">
        <v>64210</v>
      </c>
      <c r="V37" t="s">
        <v>38</v>
      </c>
      <c r="W37" t="s">
        <v>88</v>
      </c>
      <c r="X37">
        <v>2</v>
      </c>
      <c r="Y37">
        <v>0</v>
      </c>
      <c r="Z37" t="s">
        <v>46</v>
      </c>
      <c r="AA37">
        <v>64218</v>
      </c>
      <c r="AB37" t="s">
        <v>135</v>
      </c>
      <c r="AC37" t="s">
        <v>48</v>
      </c>
      <c r="AD37" t="s">
        <v>38</v>
      </c>
      <c r="AE37" t="s">
        <v>49</v>
      </c>
      <c r="AF37" t="s">
        <v>50</v>
      </c>
      <c r="AG37">
        <v>.9999999999999999999999999999999999999996</v>
      </c>
      <c r="AH37">
        <v>0</v>
      </c>
      <c r="AI37" t="s">
        <v>51</v>
      </c>
      <c r="AJ37" t="s">
        <v>51</v>
      </c>
      <c r="AK37" t="s">
        <v>51</v>
      </c>
    </row>
    <row r="38" spans="1:37" x14ac:dyDescent="0.2">
      <c r="A38">
        <v>64182</v>
      </c>
      <c r="B38" t="s">
        <v>37</v>
      </c>
      <c r="C38" t="s">
        <v>38</v>
      </c>
      <c r="D38" t="s">
        <v>130</v>
      </c>
      <c r="E38" t="s">
        <v>40</v>
      </c>
      <c r="G38" s="4">
        <v>43948.699618055556</v>
      </c>
      <c r="H38" s="4">
        <v>43948.699652777778</v>
      </c>
      <c r="I38" t="s">
        <v>85</v>
      </c>
      <c r="J38" s="5">
        <v>3</v>
      </c>
      <c r="K38" t="s">
        <v>38</v>
      </c>
      <c r="M38">
        <v>64209</v>
      </c>
      <c r="N38" t="s">
        <v>131</v>
      </c>
      <c r="O38" t="s">
        <v>132</v>
      </c>
      <c r="P38" t="s">
        <v>38</v>
      </c>
      <c r="Q38" t="s">
        <v>88</v>
      </c>
      <c r="R38">
        <v>2</v>
      </c>
      <c r="S38" t="s">
        <v>45</v>
      </c>
      <c r="T38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38">
        <v>64210</v>
      </c>
      <c r="V38" t="s">
        <v>38</v>
      </c>
      <c r="W38" t="s">
        <v>88</v>
      </c>
      <c r="X38">
        <v>2</v>
      </c>
      <c r="Y38">
        <v>0</v>
      </c>
      <c r="Z38" t="s">
        <v>46</v>
      </c>
      <c r="AA38">
        <v>64217</v>
      </c>
      <c r="AB38" t="s">
        <v>136</v>
      </c>
      <c r="AC38" t="s">
        <v>48</v>
      </c>
      <c r="AD38" t="s">
        <v>38</v>
      </c>
      <c r="AE38" t="s">
        <v>49</v>
      </c>
      <c r="AF38" t="s">
        <v>50</v>
      </c>
      <c r="AG38">
        <v>0</v>
      </c>
      <c r="AH38">
        <v>0</v>
      </c>
      <c r="AI38" t="s">
        <v>51</v>
      </c>
      <c r="AJ38" t="s">
        <v>51</v>
      </c>
      <c r="AK38" t="s">
        <v>51</v>
      </c>
    </row>
    <row r="39" spans="1:37" x14ac:dyDescent="0.2">
      <c r="A39">
        <v>64182</v>
      </c>
      <c r="B39" t="s">
        <v>37</v>
      </c>
      <c r="C39" t="s">
        <v>38</v>
      </c>
      <c r="D39" t="s">
        <v>130</v>
      </c>
      <c r="E39" t="s">
        <v>40</v>
      </c>
      <c r="G39" s="4">
        <v>43948.699618055556</v>
      </c>
      <c r="H39" s="4">
        <v>43948.699652777778</v>
      </c>
      <c r="I39" t="s">
        <v>85</v>
      </c>
      <c r="J39" s="5">
        <v>3</v>
      </c>
      <c r="K39" t="s">
        <v>38</v>
      </c>
      <c r="M39">
        <v>64209</v>
      </c>
      <c r="N39" t="s">
        <v>131</v>
      </c>
      <c r="O39" t="s">
        <v>132</v>
      </c>
      <c r="P39" t="s">
        <v>38</v>
      </c>
      <c r="Q39" t="s">
        <v>88</v>
      </c>
      <c r="R39">
        <v>2</v>
      </c>
      <c r="S39" t="s">
        <v>45</v>
      </c>
      <c r="T39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39">
        <v>64210</v>
      </c>
      <c r="V39" t="s">
        <v>38</v>
      </c>
      <c r="W39" t="s">
        <v>88</v>
      </c>
      <c r="X39">
        <v>2</v>
      </c>
      <c r="Y39">
        <v>0</v>
      </c>
      <c r="Z39" t="s">
        <v>46</v>
      </c>
      <c r="AA39">
        <v>64216</v>
      </c>
      <c r="AB39" t="s">
        <v>137</v>
      </c>
      <c r="AC39" t="s">
        <v>48</v>
      </c>
      <c r="AD39" t="s">
        <v>38</v>
      </c>
      <c r="AE39" t="s">
        <v>49</v>
      </c>
      <c r="AF39" t="s">
        <v>50</v>
      </c>
      <c r="AG39">
        <v>0</v>
      </c>
      <c r="AH39">
        <v>0</v>
      </c>
      <c r="AI39" t="s">
        <v>51</v>
      </c>
      <c r="AJ39" t="s">
        <v>51</v>
      </c>
      <c r="AK39" t="s">
        <v>51</v>
      </c>
    </row>
    <row r="40" spans="1:37" x14ac:dyDescent="0.2">
      <c r="A40">
        <v>64182</v>
      </c>
      <c r="B40" t="s">
        <v>37</v>
      </c>
      <c r="C40" t="s">
        <v>38</v>
      </c>
      <c r="D40" t="s">
        <v>130</v>
      </c>
      <c r="E40" t="s">
        <v>40</v>
      </c>
      <c r="G40" s="4">
        <v>43948.699618055556</v>
      </c>
      <c r="H40" s="4">
        <v>43948.699652777778</v>
      </c>
      <c r="I40" t="s">
        <v>85</v>
      </c>
      <c r="J40" s="5">
        <v>3</v>
      </c>
      <c r="K40" t="s">
        <v>38</v>
      </c>
      <c r="M40">
        <v>64209</v>
      </c>
      <c r="N40" t="s">
        <v>131</v>
      </c>
      <c r="O40" t="s">
        <v>132</v>
      </c>
      <c r="P40" t="s">
        <v>38</v>
      </c>
      <c r="Q40" t="s">
        <v>88</v>
      </c>
      <c r="R40">
        <v>2</v>
      </c>
      <c r="S40" t="s">
        <v>45</v>
      </c>
      <c r="T40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0">
        <v>64210</v>
      </c>
      <c r="V40" t="s">
        <v>38</v>
      </c>
      <c r="W40" t="s">
        <v>88</v>
      </c>
      <c r="X40">
        <v>2</v>
      </c>
      <c r="Y40">
        <v>0</v>
      </c>
      <c r="Z40" t="s">
        <v>46</v>
      </c>
      <c r="AA40">
        <v>64215</v>
      </c>
      <c r="AB40" t="s">
        <v>138</v>
      </c>
      <c r="AC40" t="s">
        <v>60</v>
      </c>
      <c r="AD40" t="s">
        <v>38</v>
      </c>
      <c r="AE40" t="s">
        <v>49</v>
      </c>
      <c r="AF40" t="s">
        <v>50</v>
      </c>
      <c r="AG40">
        <v>0</v>
      </c>
      <c r="AH40">
        <v>0</v>
      </c>
      <c r="AI40" t="s">
        <v>51</v>
      </c>
      <c r="AJ40" t="s">
        <v>51</v>
      </c>
      <c r="AK40" t="s">
        <v>51</v>
      </c>
    </row>
    <row r="41" spans="1:37" x14ac:dyDescent="0.2">
      <c r="A41">
        <v>64182</v>
      </c>
      <c r="B41" t="s">
        <v>37</v>
      </c>
      <c r="C41" t="s">
        <v>38</v>
      </c>
      <c r="D41" t="s">
        <v>130</v>
      </c>
      <c r="E41" t="s">
        <v>40</v>
      </c>
      <c r="G41" s="4">
        <v>43948.699618055556</v>
      </c>
      <c r="H41" s="4">
        <v>43948.699652777778</v>
      </c>
      <c r="I41" t="s">
        <v>85</v>
      </c>
      <c r="J41" s="5">
        <v>3</v>
      </c>
      <c r="K41" t="s">
        <v>38</v>
      </c>
      <c r="M41">
        <v>64209</v>
      </c>
      <c r="N41" t="s">
        <v>131</v>
      </c>
      <c r="O41" t="s">
        <v>132</v>
      </c>
      <c r="P41" t="s">
        <v>38</v>
      </c>
      <c r="Q41" t="s">
        <v>88</v>
      </c>
      <c r="R41">
        <v>2</v>
      </c>
      <c r="S41" t="s">
        <v>45</v>
      </c>
      <c r="T41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1">
        <v>64210</v>
      </c>
      <c r="V41" t="s">
        <v>38</v>
      </c>
      <c r="W41" t="s">
        <v>88</v>
      </c>
      <c r="X41">
        <v>2</v>
      </c>
      <c r="Y41">
        <v>0</v>
      </c>
      <c r="Z41" t="s">
        <v>46</v>
      </c>
      <c r="AA41">
        <v>64214</v>
      </c>
      <c r="AB41" t="s">
        <v>139</v>
      </c>
      <c r="AC41" t="s">
        <v>60</v>
      </c>
      <c r="AD41" t="s">
        <v>38</v>
      </c>
      <c r="AE41" t="s">
        <v>49</v>
      </c>
      <c r="AF41" t="s">
        <v>50</v>
      </c>
      <c r="AG41">
        <v>0</v>
      </c>
      <c r="AH41">
        <v>0</v>
      </c>
      <c r="AI41" t="s">
        <v>51</v>
      </c>
      <c r="AJ41" t="s">
        <v>51</v>
      </c>
      <c r="AK41" t="s">
        <v>51</v>
      </c>
    </row>
    <row r="42" spans="1:37" x14ac:dyDescent="0.2">
      <c r="A42">
        <v>64182</v>
      </c>
      <c r="B42" t="s">
        <v>37</v>
      </c>
      <c r="C42" t="s">
        <v>38</v>
      </c>
      <c r="D42" t="s">
        <v>130</v>
      </c>
      <c r="E42" t="s">
        <v>40</v>
      </c>
      <c r="G42" s="4">
        <v>43948.699618055556</v>
      </c>
      <c r="H42" s="4">
        <v>43948.699652777778</v>
      </c>
      <c r="I42" t="s">
        <v>85</v>
      </c>
      <c r="J42" s="5">
        <v>3</v>
      </c>
      <c r="K42" t="s">
        <v>38</v>
      </c>
      <c r="M42">
        <v>64209</v>
      </c>
      <c r="N42" t="s">
        <v>131</v>
      </c>
      <c r="O42" t="s">
        <v>132</v>
      </c>
      <c r="P42" t="s">
        <v>38</v>
      </c>
      <c r="Q42" t="s">
        <v>88</v>
      </c>
      <c r="R42">
        <v>2</v>
      </c>
      <c r="S42" t="s">
        <v>45</v>
      </c>
      <c r="T42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2">
        <v>64210</v>
      </c>
      <c r="V42" t="s">
        <v>38</v>
      </c>
      <c r="W42" t="s">
        <v>88</v>
      </c>
      <c r="X42">
        <v>2</v>
      </c>
      <c r="Y42">
        <v>0</v>
      </c>
      <c r="Z42" t="s">
        <v>46</v>
      </c>
      <c r="AA42">
        <v>64213</v>
      </c>
      <c r="AB42" t="s">
        <v>140</v>
      </c>
      <c r="AC42" t="s">
        <v>56</v>
      </c>
      <c r="AD42" t="s">
        <v>38</v>
      </c>
      <c r="AE42" t="s">
        <v>49</v>
      </c>
      <c r="AF42" t="s">
        <v>50</v>
      </c>
      <c r="AG42">
        <v>0</v>
      </c>
      <c r="AH42">
        <v>0</v>
      </c>
      <c r="AI42" t="s">
        <v>51</v>
      </c>
      <c r="AJ42" t="s">
        <v>51</v>
      </c>
      <c r="AK42" t="s">
        <v>51</v>
      </c>
    </row>
    <row r="43" spans="1:37" x14ac:dyDescent="0.2">
      <c r="A43">
        <v>64182</v>
      </c>
      <c r="B43" t="s">
        <v>37</v>
      </c>
      <c r="C43" t="s">
        <v>38</v>
      </c>
      <c r="D43" t="s">
        <v>130</v>
      </c>
      <c r="E43" t="s">
        <v>40</v>
      </c>
      <c r="G43" s="4">
        <v>43948.699618055556</v>
      </c>
      <c r="H43" s="4">
        <v>43948.699652777778</v>
      </c>
      <c r="I43" t="s">
        <v>85</v>
      </c>
      <c r="J43" s="5">
        <v>3</v>
      </c>
      <c r="K43" t="s">
        <v>38</v>
      </c>
      <c r="M43">
        <v>64209</v>
      </c>
      <c r="N43" t="s">
        <v>131</v>
      </c>
      <c r="O43" t="s">
        <v>132</v>
      </c>
      <c r="P43" t="s">
        <v>38</v>
      </c>
      <c r="Q43" t="s">
        <v>88</v>
      </c>
      <c r="R43">
        <v>2</v>
      </c>
      <c r="S43" t="s">
        <v>45</v>
      </c>
      <c r="T43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3">
        <v>64210</v>
      </c>
      <c r="V43" t="s">
        <v>38</v>
      </c>
      <c r="W43" t="s">
        <v>88</v>
      </c>
      <c r="X43">
        <v>2</v>
      </c>
      <c r="Y43">
        <v>0</v>
      </c>
      <c r="Z43" t="s">
        <v>46</v>
      </c>
      <c r="AA43">
        <v>64212</v>
      </c>
      <c r="AB43" t="s">
        <v>141</v>
      </c>
      <c r="AC43" t="s">
        <v>60</v>
      </c>
      <c r="AD43" t="s">
        <v>38</v>
      </c>
      <c r="AE43" t="s">
        <v>49</v>
      </c>
      <c r="AF43" t="s">
        <v>50</v>
      </c>
      <c r="AG43">
        <v>.9999999999999999999999999999999999999996</v>
      </c>
      <c r="AH43">
        <v>0</v>
      </c>
      <c r="AI43" t="s">
        <v>51</v>
      </c>
      <c r="AJ43" t="s">
        <v>51</v>
      </c>
      <c r="AK43" t="s">
        <v>51</v>
      </c>
    </row>
    <row r="44" spans="1:37" x14ac:dyDescent="0.2">
      <c r="A44">
        <v>64182</v>
      </c>
      <c r="B44" t="s">
        <v>37</v>
      </c>
      <c r="C44" t="s">
        <v>38</v>
      </c>
      <c r="D44" t="s">
        <v>130</v>
      </c>
      <c r="E44" t="s">
        <v>40</v>
      </c>
      <c r="G44" s="4">
        <v>43948.699618055556</v>
      </c>
      <c r="H44" s="4">
        <v>43948.699652777778</v>
      </c>
      <c r="I44" t="s">
        <v>85</v>
      </c>
      <c r="J44" s="5">
        <v>3</v>
      </c>
      <c r="K44" t="s">
        <v>38</v>
      </c>
      <c r="M44">
        <v>64209</v>
      </c>
      <c r="N44" t="s">
        <v>131</v>
      </c>
      <c r="O44" t="s">
        <v>132</v>
      </c>
      <c r="P44" t="s">
        <v>38</v>
      </c>
      <c r="Q44" t="s">
        <v>88</v>
      </c>
      <c r="R44">
        <v>2</v>
      </c>
      <c r="S44" t="s">
        <v>45</v>
      </c>
      <c r="T44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4">
        <v>64210</v>
      </c>
      <c r="V44" t="s">
        <v>38</v>
      </c>
      <c r="W44" t="s">
        <v>88</v>
      </c>
      <c r="X44">
        <v>2</v>
      </c>
      <c r="Y44">
        <v>0</v>
      </c>
      <c r="Z44" t="s">
        <v>46</v>
      </c>
      <c r="AA44">
        <v>64211</v>
      </c>
      <c r="AB44" t="s">
        <v>142</v>
      </c>
      <c r="AC44" t="s">
        <v>56</v>
      </c>
      <c r="AD44" t="s">
        <v>38</v>
      </c>
      <c r="AE44" t="s">
        <v>49</v>
      </c>
      <c r="AF44" t="s">
        <v>50</v>
      </c>
      <c r="AG44">
        <v>0</v>
      </c>
      <c r="AH44">
        <v>0</v>
      </c>
      <c r="AI44" t="s">
        <v>51</v>
      </c>
      <c r="AJ44" t="s">
        <v>51</v>
      </c>
      <c r="AK44" t="s">
        <v>51</v>
      </c>
    </row>
    <row r="45" spans="1:37" x14ac:dyDescent="0.2">
      <c r="A45">
        <v>64182</v>
      </c>
      <c r="B45" t="s">
        <v>37</v>
      </c>
      <c r="C45" t="s">
        <v>38</v>
      </c>
      <c r="D45" t="s">
        <v>130</v>
      </c>
      <c r="E45" t="s">
        <v>40</v>
      </c>
      <c r="G45" s="4">
        <v>43948.699618055556</v>
      </c>
      <c r="H45" s="4">
        <v>43948.699652777778</v>
      </c>
      <c r="I45" t="s">
        <v>85</v>
      </c>
      <c r="J45" s="5">
        <v>3</v>
      </c>
      <c r="K45" t="s">
        <v>38</v>
      </c>
      <c r="M45">
        <v>64202</v>
      </c>
      <c r="N45" t="s">
        <v>143</v>
      </c>
      <c r="O45" t="s">
        <v>144</v>
      </c>
      <c r="P45" t="s">
        <v>38</v>
      </c>
      <c r="Q45" t="s">
        <v>50</v>
      </c>
      <c r="R45">
        <v>0</v>
      </c>
      <c r="S45" t="s">
        <v>45</v>
      </c>
      <c r="T45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5">
        <v>64203</v>
      </c>
      <c r="V45" t="s">
        <v>38</v>
      </c>
      <c r="W45" t="s">
        <v>50</v>
      </c>
      <c r="X45">
        <v>0</v>
      </c>
      <c r="Y45">
        <v>0</v>
      </c>
      <c r="Z45" t="s">
        <v>46</v>
      </c>
      <c r="AA45">
        <v>64208</v>
      </c>
      <c r="AB45" t="s">
        <v>145</v>
      </c>
      <c r="AC45" t="s">
        <v>56</v>
      </c>
      <c r="AD45" t="s">
        <v>38</v>
      </c>
      <c r="AE45" t="s">
        <v>49</v>
      </c>
      <c r="AF45" t="s">
        <v>50</v>
      </c>
      <c r="AG45">
        <v>0</v>
      </c>
      <c r="AH45">
        <v>0</v>
      </c>
      <c r="AI45" t="s">
        <v>51</v>
      </c>
      <c r="AJ45" t="s">
        <v>51</v>
      </c>
      <c r="AK45" t="s">
        <v>51</v>
      </c>
    </row>
    <row r="46" spans="1:37" x14ac:dyDescent="0.2">
      <c r="A46">
        <v>64182</v>
      </c>
      <c r="B46" t="s">
        <v>37</v>
      </c>
      <c r="C46" t="s">
        <v>38</v>
      </c>
      <c r="D46" t="s">
        <v>130</v>
      </c>
      <c r="E46" t="s">
        <v>40</v>
      </c>
      <c r="G46" s="4">
        <v>43948.699618055556</v>
      </c>
      <c r="H46" s="4">
        <v>43948.699652777778</v>
      </c>
      <c r="I46" t="s">
        <v>85</v>
      </c>
      <c r="J46" s="5">
        <v>3</v>
      </c>
      <c r="K46" t="s">
        <v>38</v>
      </c>
      <c r="M46">
        <v>64202</v>
      </c>
      <c r="N46" t="s">
        <v>143</v>
      </c>
      <c r="O46" t="s">
        <v>144</v>
      </c>
      <c r="P46" t="s">
        <v>38</v>
      </c>
      <c r="Q46" t="s">
        <v>50</v>
      </c>
      <c r="R46">
        <v>0</v>
      </c>
      <c r="S46" t="s">
        <v>45</v>
      </c>
      <c r="T46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6">
        <v>64203</v>
      </c>
      <c r="V46" t="s">
        <v>38</v>
      </c>
      <c r="W46" t="s">
        <v>50</v>
      </c>
      <c r="X46">
        <v>0</v>
      </c>
      <c r="Y46">
        <v>0</v>
      </c>
      <c r="Z46" t="s">
        <v>46</v>
      </c>
      <c r="AA46">
        <v>64207</v>
      </c>
      <c r="AB46" t="s">
        <v>146</v>
      </c>
      <c r="AC46" t="s">
        <v>68</v>
      </c>
      <c r="AD46" t="s">
        <v>38</v>
      </c>
      <c r="AE46" t="s">
        <v>49</v>
      </c>
      <c r="AF46" t="s">
        <v>50</v>
      </c>
      <c r="AG46">
        <v>0</v>
      </c>
      <c r="AH46">
        <v>0</v>
      </c>
      <c r="AI46" t="s">
        <v>51</v>
      </c>
      <c r="AJ46" t="s">
        <v>51</v>
      </c>
      <c r="AK46" t="s">
        <v>51</v>
      </c>
    </row>
    <row r="47" spans="1:37" x14ac:dyDescent="0.2">
      <c r="A47">
        <v>64182</v>
      </c>
      <c r="B47" t="s">
        <v>37</v>
      </c>
      <c r="C47" t="s">
        <v>38</v>
      </c>
      <c r="D47" t="s">
        <v>130</v>
      </c>
      <c r="E47" t="s">
        <v>40</v>
      </c>
      <c r="G47" s="4">
        <v>43948.699618055556</v>
      </c>
      <c r="H47" s="4">
        <v>43948.699652777778</v>
      </c>
      <c r="I47" t="s">
        <v>85</v>
      </c>
      <c r="J47" s="5">
        <v>3</v>
      </c>
      <c r="K47" t="s">
        <v>38</v>
      </c>
      <c r="M47">
        <v>64202</v>
      </c>
      <c r="N47" t="s">
        <v>143</v>
      </c>
      <c r="O47" t="s">
        <v>144</v>
      </c>
      <c r="P47" t="s">
        <v>38</v>
      </c>
      <c r="Q47" t="s">
        <v>50</v>
      </c>
      <c r="R47">
        <v>0</v>
      </c>
      <c r="S47" t="s">
        <v>45</v>
      </c>
      <c r="T47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7">
        <v>64203</v>
      </c>
      <c r="V47" t="s">
        <v>38</v>
      </c>
      <c r="W47" t="s">
        <v>50</v>
      </c>
      <c r="X47">
        <v>0</v>
      </c>
      <c r="Y47">
        <v>0</v>
      </c>
      <c r="Z47" t="s">
        <v>46</v>
      </c>
      <c r="AA47">
        <v>64206</v>
      </c>
      <c r="AB47" t="s">
        <v>147</v>
      </c>
      <c r="AC47" t="s">
        <v>68</v>
      </c>
      <c r="AD47" t="s">
        <v>38</v>
      </c>
      <c r="AE47" t="s">
        <v>49</v>
      </c>
      <c r="AF47" t="s">
        <v>50</v>
      </c>
      <c r="AG47">
        <v>0</v>
      </c>
      <c r="AH47">
        <v>0</v>
      </c>
      <c r="AI47" t="s">
        <v>51</v>
      </c>
      <c r="AJ47" t="s">
        <v>51</v>
      </c>
      <c r="AK47" t="s">
        <v>51</v>
      </c>
    </row>
    <row r="48" spans="1:37" x14ac:dyDescent="0.2">
      <c r="A48">
        <v>64182</v>
      </c>
      <c r="B48" t="s">
        <v>37</v>
      </c>
      <c r="C48" t="s">
        <v>38</v>
      </c>
      <c r="D48" t="s">
        <v>130</v>
      </c>
      <c r="E48" t="s">
        <v>40</v>
      </c>
      <c r="G48" s="4">
        <v>43948.699618055556</v>
      </c>
      <c r="H48" s="4">
        <v>43948.699652777778</v>
      </c>
      <c r="I48" t="s">
        <v>85</v>
      </c>
      <c r="J48" s="5">
        <v>3</v>
      </c>
      <c r="K48" t="s">
        <v>38</v>
      </c>
      <c r="M48">
        <v>64202</v>
      </c>
      <c r="N48" t="s">
        <v>143</v>
      </c>
      <c r="O48" t="s">
        <v>144</v>
      </c>
      <c r="P48" t="s">
        <v>38</v>
      </c>
      <c r="Q48" t="s">
        <v>50</v>
      </c>
      <c r="R48">
        <v>0</v>
      </c>
      <c r="S48" t="s">
        <v>45</v>
      </c>
      <c r="T48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8">
        <v>64203</v>
      </c>
      <c r="V48" t="s">
        <v>38</v>
      </c>
      <c r="W48" t="s">
        <v>50</v>
      </c>
      <c r="X48">
        <v>0</v>
      </c>
      <c r="Y48">
        <v>0</v>
      </c>
      <c r="Z48" t="s">
        <v>46</v>
      </c>
      <c r="AA48">
        <v>64205</v>
      </c>
      <c r="AB48" t="s">
        <v>148</v>
      </c>
      <c r="AC48" t="s">
        <v>68</v>
      </c>
      <c r="AD48" t="s">
        <v>38</v>
      </c>
      <c r="AE48" t="s">
        <v>49</v>
      </c>
      <c r="AF48" t="s">
        <v>50</v>
      </c>
      <c r="AG48">
        <v>0</v>
      </c>
      <c r="AH48">
        <v>0</v>
      </c>
      <c r="AI48" t="s">
        <v>51</v>
      </c>
      <c r="AJ48" t="s">
        <v>51</v>
      </c>
      <c r="AK48" t="s">
        <v>51</v>
      </c>
    </row>
    <row r="49" spans="1:37" x14ac:dyDescent="0.2">
      <c r="A49">
        <v>64182</v>
      </c>
      <c r="B49" t="s">
        <v>37</v>
      </c>
      <c r="C49" t="s">
        <v>38</v>
      </c>
      <c r="D49" t="s">
        <v>130</v>
      </c>
      <c r="E49" t="s">
        <v>40</v>
      </c>
      <c r="G49" s="4">
        <v>43948.699618055556</v>
      </c>
      <c r="H49" s="4">
        <v>43948.699652777778</v>
      </c>
      <c r="I49" t="s">
        <v>85</v>
      </c>
      <c r="J49" s="5">
        <v>3</v>
      </c>
      <c r="K49" t="s">
        <v>38</v>
      </c>
      <c r="M49">
        <v>64202</v>
      </c>
      <c r="N49" t="s">
        <v>143</v>
      </c>
      <c r="O49" t="s">
        <v>144</v>
      </c>
      <c r="P49" t="s">
        <v>38</v>
      </c>
      <c r="Q49" t="s">
        <v>50</v>
      </c>
      <c r="R49">
        <v>0</v>
      </c>
      <c r="S49" t="s">
        <v>45</v>
      </c>
      <c r="T49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49">
        <v>64203</v>
      </c>
      <c r="V49" t="s">
        <v>38</v>
      </c>
      <c r="W49" t="s">
        <v>50</v>
      </c>
      <c r="X49">
        <v>0</v>
      </c>
      <c r="Y49">
        <v>0</v>
      </c>
      <c r="Z49" t="s">
        <v>46</v>
      </c>
      <c r="AA49">
        <v>64204</v>
      </c>
      <c r="AB49" t="s">
        <v>149</v>
      </c>
      <c r="AC49" t="s">
        <v>68</v>
      </c>
      <c r="AD49" t="s">
        <v>38</v>
      </c>
      <c r="AE49" t="s">
        <v>49</v>
      </c>
      <c r="AF49" t="s">
        <v>50</v>
      </c>
      <c r="AG49">
        <v>0</v>
      </c>
      <c r="AH49">
        <v>0</v>
      </c>
      <c r="AI49" t="s">
        <v>51</v>
      </c>
      <c r="AJ49" t="s">
        <v>51</v>
      </c>
      <c r="AK49" t="s">
        <v>51</v>
      </c>
    </row>
    <row r="50" spans="1:37" x14ac:dyDescent="0.2">
      <c r="A50">
        <v>64182</v>
      </c>
      <c r="B50" t="s">
        <v>37</v>
      </c>
      <c r="C50" t="s">
        <v>38</v>
      </c>
      <c r="D50" t="s">
        <v>130</v>
      </c>
      <c r="E50" t="s">
        <v>40</v>
      </c>
      <c r="G50" s="4">
        <v>43948.699618055556</v>
      </c>
      <c r="H50" s="4">
        <v>43948.699652777778</v>
      </c>
      <c r="I50" t="s">
        <v>85</v>
      </c>
      <c r="J50" s="5">
        <v>3</v>
      </c>
      <c r="K50" t="s">
        <v>38</v>
      </c>
      <c r="M50">
        <v>64197</v>
      </c>
      <c r="N50" t="s">
        <v>150</v>
      </c>
      <c r="O50" t="s">
        <v>151</v>
      </c>
      <c r="P50" t="s">
        <v>38</v>
      </c>
      <c r="Q50" t="s">
        <v>50</v>
      </c>
      <c r="R50">
        <v>.9999999999999999999999999999999999999996</v>
      </c>
      <c r="S50" t="s">
        <v>45</v>
      </c>
      <c r="T50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0">
        <v>64198</v>
      </c>
      <c r="V50" t="s">
        <v>38</v>
      </c>
      <c r="W50" t="s">
        <v>50</v>
      </c>
      <c r="X50">
        <v>0</v>
      </c>
      <c r="Y50">
        <v>0</v>
      </c>
      <c r="Z50" t="s">
        <v>46</v>
      </c>
      <c r="AA50">
        <v>64201</v>
      </c>
      <c r="AB50" t="s">
        <v>152</v>
      </c>
      <c r="AC50" t="s">
        <v>56</v>
      </c>
      <c r="AD50" t="s">
        <v>38</v>
      </c>
      <c r="AE50" t="s">
        <v>49</v>
      </c>
      <c r="AF50" t="s">
        <v>50</v>
      </c>
      <c r="AG50">
        <v>0</v>
      </c>
      <c r="AH50">
        <v>0</v>
      </c>
      <c r="AI50" t="s">
        <v>51</v>
      </c>
      <c r="AJ50" t="s">
        <v>51</v>
      </c>
      <c r="AK50" t="s">
        <v>51</v>
      </c>
    </row>
    <row r="51" spans="1:37" x14ac:dyDescent="0.2">
      <c r="A51">
        <v>64182</v>
      </c>
      <c r="B51" t="s">
        <v>37</v>
      </c>
      <c r="C51" t="s">
        <v>38</v>
      </c>
      <c r="D51" t="s">
        <v>130</v>
      </c>
      <c r="E51" t="s">
        <v>40</v>
      </c>
      <c r="G51" s="4">
        <v>43948.699618055556</v>
      </c>
      <c r="H51" s="4">
        <v>43948.699652777778</v>
      </c>
      <c r="I51" t="s">
        <v>85</v>
      </c>
      <c r="J51" s="5">
        <v>3</v>
      </c>
      <c r="K51" t="s">
        <v>38</v>
      </c>
      <c r="M51">
        <v>64197</v>
      </c>
      <c r="N51" t="s">
        <v>150</v>
      </c>
      <c r="O51" t="s">
        <v>151</v>
      </c>
      <c r="P51" t="s">
        <v>38</v>
      </c>
      <c r="Q51" t="s">
        <v>50</v>
      </c>
      <c r="R51">
        <v>.9999999999999999999999999999999999999996</v>
      </c>
      <c r="S51" t="s">
        <v>45</v>
      </c>
      <c r="T51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1">
        <v>64198</v>
      </c>
      <c r="V51" t="s">
        <v>38</v>
      </c>
      <c r="W51" t="s">
        <v>50</v>
      </c>
      <c r="X51">
        <v>0</v>
      </c>
      <c r="Y51">
        <v>0</v>
      </c>
      <c r="Z51" t="s">
        <v>46</v>
      </c>
      <c r="AA51">
        <v>64200</v>
      </c>
      <c r="AB51" t="s">
        <v>153</v>
      </c>
      <c r="AC51" t="s">
        <v>56</v>
      </c>
      <c r="AD51" t="s">
        <v>38</v>
      </c>
      <c r="AE51" t="s">
        <v>49</v>
      </c>
      <c r="AF51" t="s">
        <v>50</v>
      </c>
      <c r="AG51">
        <v>0</v>
      </c>
      <c r="AH51">
        <v>0</v>
      </c>
      <c r="AI51" t="s">
        <v>51</v>
      </c>
      <c r="AJ51" t="s">
        <v>51</v>
      </c>
      <c r="AK51" t="s">
        <v>51</v>
      </c>
    </row>
    <row r="52" spans="1:37" x14ac:dyDescent="0.2">
      <c r="A52">
        <v>64182</v>
      </c>
      <c r="B52" t="s">
        <v>37</v>
      </c>
      <c r="C52" t="s">
        <v>38</v>
      </c>
      <c r="D52" t="s">
        <v>130</v>
      </c>
      <c r="E52" t="s">
        <v>40</v>
      </c>
      <c r="G52" s="4">
        <v>43948.699618055556</v>
      </c>
      <c r="H52" s="4">
        <v>43948.699652777778</v>
      </c>
      <c r="I52" t="s">
        <v>85</v>
      </c>
      <c r="J52" s="5">
        <v>3</v>
      </c>
      <c r="K52" t="s">
        <v>38</v>
      </c>
      <c r="M52">
        <v>64197</v>
      </c>
      <c r="N52" t="s">
        <v>150</v>
      </c>
      <c r="O52" t="s">
        <v>151</v>
      </c>
      <c r="P52" t="s">
        <v>38</v>
      </c>
      <c r="Q52" t="s">
        <v>50</v>
      </c>
      <c r="R52">
        <v>.9999999999999999999999999999999999999996</v>
      </c>
      <c r="S52" t="s">
        <v>45</v>
      </c>
      <c r="T52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2">
        <v>64198</v>
      </c>
      <c r="V52" t="s">
        <v>38</v>
      </c>
      <c r="W52" t="s">
        <v>50</v>
      </c>
      <c r="X52">
        <v>0</v>
      </c>
      <c r="Y52">
        <v>0</v>
      </c>
      <c r="Z52" t="s">
        <v>46</v>
      </c>
      <c r="AA52">
        <v>64199</v>
      </c>
      <c r="AB52" t="s">
        <v>154</v>
      </c>
      <c r="AC52" t="s">
        <v>68</v>
      </c>
      <c r="AD52" t="s">
        <v>38</v>
      </c>
      <c r="AE52" t="s">
        <v>49</v>
      </c>
      <c r="AF52" t="s">
        <v>50</v>
      </c>
      <c r="AG52">
        <v>0</v>
      </c>
      <c r="AH52">
        <v>0</v>
      </c>
      <c r="AI52" t="s">
        <v>51</v>
      </c>
      <c r="AJ52" t="s">
        <v>51</v>
      </c>
      <c r="AK52" t="s">
        <v>51</v>
      </c>
    </row>
    <row r="53" spans="1:37" x14ac:dyDescent="0.2">
      <c r="A53">
        <v>64182</v>
      </c>
      <c r="B53" t="s">
        <v>37</v>
      </c>
      <c r="C53" t="s">
        <v>38</v>
      </c>
      <c r="D53" t="s">
        <v>130</v>
      </c>
      <c r="E53" t="s">
        <v>40</v>
      </c>
      <c r="G53" s="4">
        <v>43948.699618055556</v>
      </c>
      <c r="H53" s="4">
        <v>43948.699652777778</v>
      </c>
      <c r="I53" t="s">
        <v>85</v>
      </c>
      <c r="J53" s="5">
        <v>3</v>
      </c>
      <c r="K53" t="s">
        <v>38</v>
      </c>
      <c r="M53">
        <v>64194</v>
      </c>
      <c r="N53" t="s">
        <v>155</v>
      </c>
      <c r="O53" t="s">
        <v>156</v>
      </c>
      <c r="P53" t="s">
        <v>38</v>
      </c>
      <c r="Q53" t="s">
        <v>50</v>
      </c>
      <c r="R53">
        <v>0</v>
      </c>
      <c r="S53" t="s">
        <v>45</v>
      </c>
      <c r="T53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3">
        <v>64195</v>
      </c>
      <c r="V53" t="s">
        <v>38</v>
      </c>
      <c r="W53" t="s">
        <v>50</v>
      </c>
      <c r="X53">
        <v>0</v>
      </c>
      <c r="Y53">
        <v>0</v>
      </c>
      <c r="Z53" t="s">
        <v>46</v>
      </c>
      <c r="AA53">
        <v>64196</v>
      </c>
      <c r="AB53" t="s">
        <v>157</v>
      </c>
      <c r="AC53" t="s">
        <v>68</v>
      </c>
      <c r="AD53" t="s">
        <v>38</v>
      </c>
      <c r="AE53" t="s">
        <v>49</v>
      </c>
      <c r="AF53" t="s">
        <v>50</v>
      </c>
      <c r="AG53">
        <v>0</v>
      </c>
      <c r="AH53">
        <v>0</v>
      </c>
      <c r="AI53" t="s">
        <v>51</v>
      </c>
      <c r="AJ53" t="s">
        <v>51</v>
      </c>
      <c r="AK53" t="s">
        <v>51</v>
      </c>
    </row>
    <row r="54" spans="1:37" x14ac:dyDescent="0.2">
      <c r="A54">
        <v>64182</v>
      </c>
      <c r="B54" t="s">
        <v>37</v>
      </c>
      <c r="C54" t="s">
        <v>38</v>
      </c>
      <c r="D54" t="s">
        <v>130</v>
      </c>
      <c r="E54" t="s">
        <v>40</v>
      </c>
      <c r="G54" s="4">
        <v>43948.699618055556</v>
      </c>
      <c r="H54" s="4">
        <v>43948.699652777778</v>
      </c>
      <c r="I54" t="s">
        <v>85</v>
      </c>
      <c r="J54" s="5">
        <v>3</v>
      </c>
      <c r="K54" t="s">
        <v>38</v>
      </c>
      <c r="M54">
        <v>64189</v>
      </c>
      <c r="N54" t="s">
        <v>158</v>
      </c>
      <c r="O54" t="s">
        <v>159</v>
      </c>
      <c r="P54" t="s">
        <v>38</v>
      </c>
      <c r="Q54" t="s">
        <v>50</v>
      </c>
      <c r="R54">
        <v>0</v>
      </c>
      <c r="S54" t="s">
        <v>45</v>
      </c>
      <c r="T54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4">
        <v>64190</v>
      </c>
      <c r="V54" t="s">
        <v>38</v>
      </c>
      <c r="W54" t="s">
        <v>50</v>
      </c>
      <c r="X54">
        <v>0</v>
      </c>
      <c r="Y54">
        <v>0</v>
      </c>
      <c r="Z54" t="s">
        <v>46</v>
      </c>
      <c r="AA54">
        <v>64193</v>
      </c>
      <c r="AB54" t="s">
        <v>160</v>
      </c>
      <c r="AC54" t="s">
        <v>56</v>
      </c>
      <c r="AD54" t="s">
        <v>38</v>
      </c>
      <c r="AE54" t="s">
        <v>49</v>
      </c>
      <c r="AF54" t="s">
        <v>50</v>
      </c>
      <c r="AG54">
        <v>0</v>
      </c>
      <c r="AH54">
        <v>0</v>
      </c>
      <c r="AI54" t="s">
        <v>51</v>
      </c>
      <c r="AJ54" t="s">
        <v>51</v>
      </c>
      <c r="AK54" t="s">
        <v>51</v>
      </c>
    </row>
    <row r="55" spans="1:37" x14ac:dyDescent="0.2">
      <c r="A55">
        <v>64182</v>
      </c>
      <c r="B55" t="s">
        <v>37</v>
      </c>
      <c r="C55" t="s">
        <v>38</v>
      </c>
      <c r="D55" t="s">
        <v>130</v>
      </c>
      <c r="E55" t="s">
        <v>40</v>
      </c>
      <c r="G55" s="4">
        <v>43948.699618055556</v>
      </c>
      <c r="H55" s="4">
        <v>43948.699652777778</v>
      </c>
      <c r="I55" t="s">
        <v>85</v>
      </c>
      <c r="J55" s="5">
        <v>3</v>
      </c>
      <c r="K55" t="s">
        <v>38</v>
      </c>
      <c r="M55">
        <v>64189</v>
      </c>
      <c r="N55" t="s">
        <v>158</v>
      </c>
      <c r="O55" t="s">
        <v>159</v>
      </c>
      <c r="P55" t="s">
        <v>38</v>
      </c>
      <c r="Q55" t="s">
        <v>50</v>
      </c>
      <c r="R55">
        <v>0</v>
      </c>
      <c r="S55" t="s">
        <v>45</v>
      </c>
      <c r="T55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5">
        <v>64190</v>
      </c>
      <c r="V55" t="s">
        <v>38</v>
      </c>
      <c r="W55" t="s">
        <v>50</v>
      </c>
      <c r="X55">
        <v>0</v>
      </c>
      <c r="Y55">
        <v>0</v>
      </c>
      <c r="Z55" t="s">
        <v>46</v>
      </c>
      <c r="AA55">
        <v>64192</v>
      </c>
      <c r="AB55" t="s">
        <v>161</v>
      </c>
      <c r="AC55" t="s">
        <v>68</v>
      </c>
      <c r="AD55" t="s">
        <v>38</v>
      </c>
      <c r="AE55" t="s">
        <v>49</v>
      </c>
      <c r="AF55" t="s">
        <v>50</v>
      </c>
      <c r="AG55">
        <v>0</v>
      </c>
      <c r="AH55">
        <v>0</v>
      </c>
      <c r="AI55" t="s">
        <v>51</v>
      </c>
      <c r="AJ55" t="s">
        <v>51</v>
      </c>
      <c r="AK55" t="s">
        <v>51</v>
      </c>
    </row>
    <row r="56" spans="1:37" x14ac:dyDescent="0.2">
      <c r="A56">
        <v>64182</v>
      </c>
      <c r="B56" t="s">
        <v>37</v>
      </c>
      <c r="C56" t="s">
        <v>38</v>
      </c>
      <c r="D56" t="s">
        <v>130</v>
      </c>
      <c r="E56" t="s">
        <v>40</v>
      </c>
      <c r="G56" s="4">
        <v>43948.699618055556</v>
      </c>
      <c r="H56" s="4">
        <v>43948.699652777778</v>
      </c>
      <c r="I56" t="s">
        <v>85</v>
      </c>
      <c r="J56" s="5">
        <v>3</v>
      </c>
      <c r="K56" t="s">
        <v>38</v>
      </c>
      <c r="M56">
        <v>64189</v>
      </c>
      <c r="N56" t="s">
        <v>158</v>
      </c>
      <c r="O56" t="s">
        <v>159</v>
      </c>
      <c r="P56" t="s">
        <v>38</v>
      </c>
      <c r="Q56" t="s">
        <v>50</v>
      </c>
      <c r="R56">
        <v>0</v>
      </c>
      <c r="S56" t="s">
        <v>45</v>
      </c>
      <c r="T56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6">
        <v>64190</v>
      </c>
      <c r="V56" t="s">
        <v>38</v>
      </c>
      <c r="W56" t="s">
        <v>50</v>
      </c>
      <c r="X56">
        <v>0</v>
      </c>
      <c r="Y56">
        <v>0</v>
      </c>
      <c r="Z56" t="s">
        <v>46</v>
      </c>
      <c r="AA56">
        <v>64191</v>
      </c>
      <c r="AB56" t="s">
        <v>162</v>
      </c>
      <c r="AC56" t="s">
        <v>68</v>
      </c>
      <c r="AD56" t="s">
        <v>38</v>
      </c>
      <c r="AE56" t="s">
        <v>49</v>
      </c>
      <c r="AF56" t="s">
        <v>50</v>
      </c>
      <c r="AG56">
        <v>0</v>
      </c>
      <c r="AH56">
        <v>0</v>
      </c>
      <c r="AI56" t="s">
        <v>51</v>
      </c>
      <c r="AJ56" t="s">
        <v>51</v>
      </c>
      <c r="AK56" t="s">
        <v>51</v>
      </c>
    </row>
    <row r="57" spans="1:37" x14ac:dyDescent="0.2">
      <c r="A57">
        <v>64182</v>
      </c>
      <c r="B57" t="s">
        <v>37</v>
      </c>
      <c r="C57" t="s">
        <v>38</v>
      </c>
      <c r="D57" t="s">
        <v>130</v>
      </c>
      <c r="E57" t="s">
        <v>40</v>
      </c>
      <c r="G57" s="4">
        <v>43948.699618055556</v>
      </c>
      <c r="H57" s="4">
        <v>43948.699652777778</v>
      </c>
      <c r="I57" t="s">
        <v>85</v>
      </c>
      <c r="J57" s="5">
        <v>3</v>
      </c>
      <c r="K57" t="s">
        <v>38</v>
      </c>
      <c r="M57">
        <v>64183</v>
      </c>
      <c r="N57" t="s">
        <v>163</v>
      </c>
      <c r="O57" t="s">
        <v>164</v>
      </c>
      <c r="P57" t="s">
        <v>38</v>
      </c>
      <c r="Q57" t="s">
        <v>50</v>
      </c>
      <c r="R57">
        <v>0</v>
      </c>
      <c r="S57" t="s">
        <v>45</v>
      </c>
      <c r="T57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7">
        <v>64184</v>
      </c>
      <c r="V57" t="s">
        <v>38</v>
      </c>
      <c r="W57" t="s">
        <v>50</v>
      </c>
      <c r="X57">
        <v>0</v>
      </c>
      <c r="Y57">
        <v>0</v>
      </c>
      <c r="Z57" t="s">
        <v>46</v>
      </c>
      <c r="AA57">
        <v>64188</v>
      </c>
      <c r="AB57" t="s">
        <v>165</v>
      </c>
      <c r="AC57" t="s">
        <v>56</v>
      </c>
      <c r="AD57" t="s">
        <v>38</v>
      </c>
      <c r="AE57" t="s">
        <v>49</v>
      </c>
      <c r="AF57" t="s">
        <v>50</v>
      </c>
      <c r="AG57">
        <v>0</v>
      </c>
      <c r="AH57">
        <v>0</v>
      </c>
      <c r="AI57" t="s">
        <v>51</v>
      </c>
      <c r="AJ57" t="s">
        <v>51</v>
      </c>
      <c r="AK57" t="s">
        <v>51</v>
      </c>
    </row>
    <row r="58" spans="1:37" x14ac:dyDescent="0.2">
      <c r="A58">
        <v>64182</v>
      </c>
      <c r="B58" t="s">
        <v>37</v>
      </c>
      <c r="C58" t="s">
        <v>38</v>
      </c>
      <c r="D58" t="s">
        <v>130</v>
      </c>
      <c r="E58" t="s">
        <v>40</v>
      </c>
      <c r="G58" s="4">
        <v>43948.699618055556</v>
      </c>
      <c r="H58" s="4">
        <v>43948.699652777778</v>
      </c>
      <c r="I58" t="s">
        <v>85</v>
      </c>
      <c r="J58" s="5">
        <v>3</v>
      </c>
      <c r="K58" t="s">
        <v>38</v>
      </c>
      <c r="M58">
        <v>64183</v>
      </c>
      <c r="N58" t="s">
        <v>163</v>
      </c>
      <c r="O58" t="s">
        <v>164</v>
      </c>
      <c r="P58" t="s">
        <v>38</v>
      </c>
      <c r="Q58" t="s">
        <v>50</v>
      </c>
      <c r="R58">
        <v>0</v>
      </c>
      <c r="S58" t="s">
        <v>45</v>
      </c>
      <c r="T58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8">
        <v>64184</v>
      </c>
      <c r="V58" t="s">
        <v>38</v>
      </c>
      <c r="W58" t="s">
        <v>50</v>
      </c>
      <c r="X58">
        <v>0</v>
      </c>
      <c r="Y58">
        <v>0</v>
      </c>
      <c r="Z58" t="s">
        <v>46</v>
      </c>
      <c r="AA58">
        <v>64187</v>
      </c>
      <c r="AB58" t="s">
        <v>166</v>
      </c>
      <c r="AC58" t="s">
        <v>48</v>
      </c>
      <c r="AD58" t="s">
        <v>38</v>
      </c>
      <c r="AE58" t="s">
        <v>49</v>
      </c>
      <c r="AF58" t="s">
        <v>50</v>
      </c>
      <c r="AG58">
        <v>0</v>
      </c>
      <c r="AH58">
        <v>0</v>
      </c>
      <c r="AI58" t="s">
        <v>51</v>
      </c>
      <c r="AJ58" t="s">
        <v>51</v>
      </c>
      <c r="AK58" t="s">
        <v>51</v>
      </c>
    </row>
    <row r="59" spans="1:37" x14ac:dyDescent="0.2">
      <c r="A59">
        <v>64182</v>
      </c>
      <c r="B59" t="s">
        <v>37</v>
      </c>
      <c r="C59" t="s">
        <v>38</v>
      </c>
      <c r="D59" t="s">
        <v>130</v>
      </c>
      <c r="E59" t="s">
        <v>40</v>
      </c>
      <c r="G59" s="4">
        <v>43948.699618055556</v>
      </c>
      <c r="H59" s="4">
        <v>43948.699652777778</v>
      </c>
      <c r="I59" t="s">
        <v>85</v>
      </c>
      <c r="J59" s="5">
        <v>3</v>
      </c>
      <c r="K59" t="s">
        <v>38</v>
      </c>
      <c r="M59">
        <v>64183</v>
      </c>
      <c r="N59" t="s">
        <v>163</v>
      </c>
      <c r="O59" t="s">
        <v>164</v>
      </c>
      <c r="P59" t="s">
        <v>38</v>
      </c>
      <c r="Q59" t="s">
        <v>50</v>
      </c>
      <c r="R59">
        <v>0</v>
      </c>
      <c r="S59" t="s">
        <v>45</v>
      </c>
      <c r="T59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59">
        <v>64184</v>
      </c>
      <c r="V59" t="s">
        <v>38</v>
      </c>
      <c r="W59" t="s">
        <v>50</v>
      </c>
      <c r="X59">
        <v>0</v>
      </c>
      <c r="Y59">
        <v>0</v>
      </c>
      <c r="Z59" t="s">
        <v>46</v>
      </c>
      <c r="AA59">
        <v>64186</v>
      </c>
      <c r="AB59" t="s">
        <v>167</v>
      </c>
      <c r="AC59" t="s">
        <v>68</v>
      </c>
      <c r="AD59" t="s">
        <v>38</v>
      </c>
      <c r="AE59" t="s">
        <v>49</v>
      </c>
      <c r="AF59" t="s">
        <v>50</v>
      </c>
      <c r="AG59">
        <v>0</v>
      </c>
      <c r="AH59">
        <v>0</v>
      </c>
      <c r="AI59" t="s">
        <v>51</v>
      </c>
      <c r="AJ59" t="s">
        <v>51</v>
      </c>
      <c r="AK59" t="s">
        <v>51</v>
      </c>
    </row>
    <row r="60" spans="1:37" x14ac:dyDescent="0.2">
      <c r="A60">
        <v>64182</v>
      </c>
      <c r="B60" t="s">
        <v>37</v>
      </c>
      <c r="C60" t="s">
        <v>38</v>
      </c>
      <c r="D60" t="s">
        <v>130</v>
      </c>
      <c r="E60" t="s">
        <v>40</v>
      </c>
      <c r="G60" s="4">
        <v>43948.699618055556</v>
      </c>
      <c r="H60" s="4">
        <v>43948.699652777778</v>
      </c>
      <c r="I60" t="s">
        <v>85</v>
      </c>
      <c r="J60" s="5">
        <v>3</v>
      </c>
      <c r="K60" t="s">
        <v>38</v>
      </c>
      <c r="M60">
        <v>64183</v>
      </c>
      <c r="N60" t="s">
        <v>163</v>
      </c>
      <c r="O60" t="s">
        <v>164</v>
      </c>
      <c r="P60" t="s">
        <v>38</v>
      </c>
      <c r="Q60" t="s">
        <v>50</v>
      </c>
      <c r="R60">
        <v>0</v>
      </c>
      <c r="S60" t="s">
        <v>45</v>
      </c>
      <c r="T60" t="str" s="2">
        <f>=HYPERLINK("http://demo.enginatics.com:80/ecc/user/applications/log/64182.log","http://demo.enginatics.com:80/ecc/user/applications/log/64182.log")</f>
        <v>"http://demo.enginatics.com:80/ecc/user/applications/log/64182.log")</v>
      </c>
      <c r="U60">
        <v>64184</v>
      </c>
      <c r="V60" t="s">
        <v>38</v>
      </c>
      <c r="W60" t="s">
        <v>50</v>
      </c>
      <c r="X60">
        <v>0</v>
      </c>
      <c r="Y60">
        <v>0</v>
      </c>
      <c r="Z60" t="s">
        <v>46</v>
      </c>
      <c r="AA60">
        <v>64185</v>
      </c>
      <c r="AB60" t="s">
        <v>168</v>
      </c>
      <c r="AC60" t="s">
        <v>68</v>
      </c>
      <c r="AD60" t="s">
        <v>38</v>
      </c>
      <c r="AE60" t="s">
        <v>49</v>
      </c>
      <c r="AF60" t="s">
        <v>50</v>
      </c>
      <c r="AG60">
        <v>0</v>
      </c>
      <c r="AH60">
        <v>0</v>
      </c>
      <c r="AI60" t="s">
        <v>51</v>
      </c>
      <c r="AJ60" t="s">
        <v>51</v>
      </c>
      <c r="AK60" t="s">
        <v>51</v>
      </c>
    </row>
    <row r="61" spans="1:37" x14ac:dyDescent="0.2">
      <c r="A61">
        <v>64178</v>
      </c>
      <c r="B61" t="s">
        <v>37</v>
      </c>
      <c r="C61" t="s">
        <v>38</v>
      </c>
      <c r="D61" t="s">
        <v>169</v>
      </c>
      <c r="E61" t="s">
        <v>170</v>
      </c>
      <c r="G61" s="4">
        <v>43948.68349537037</v>
      </c>
      <c r="H61" s="4">
        <v>43948.683506944444</v>
      </c>
      <c r="I61" t="s">
        <v>50</v>
      </c>
      <c r="J61" s="5">
        <v>.9999999999999999999999999999999999999996</v>
      </c>
      <c r="K61" t="s">
        <v>38</v>
      </c>
      <c r="M61">
        <v>64179</v>
      </c>
      <c r="N61" t="s">
        <v>170</v>
      </c>
      <c r="O61" t="s">
        <v>171</v>
      </c>
      <c r="P61" t="s">
        <v>38</v>
      </c>
      <c r="Q61" t="s">
        <v>50</v>
      </c>
      <c r="R61">
        <v>.9999999999999999999999999999999999999996</v>
      </c>
      <c r="S61" t="s">
        <v>45</v>
      </c>
      <c r="T61" t="str" s="2">
        <f>=HYPERLINK("http://demo.enginatics.com:80/ecc/user/applications/log/64178.log","http://demo.enginatics.com:80/ecc/user/applications/log/64178.log")</f>
        <v>"http://demo.enginatics.com:80/ecc/user/applications/log/64178.log")</v>
      </c>
      <c r="U61">
        <v>64180</v>
      </c>
      <c r="V61" t="s">
        <v>38</v>
      </c>
      <c r="W61" t="s">
        <v>50</v>
      </c>
      <c r="X61">
        <v>.9999999999999999999999999999999999999996</v>
      </c>
      <c r="Y61">
        <v>0</v>
      </c>
      <c r="Z61" t="s">
        <v>46</v>
      </c>
      <c r="AA61">
        <v>64181</v>
      </c>
      <c r="AB61" t="s">
        <v>172</v>
      </c>
      <c r="AC61" t="s">
        <v>68</v>
      </c>
      <c r="AD61" t="s">
        <v>38</v>
      </c>
      <c r="AE61" t="s">
        <v>49</v>
      </c>
      <c r="AF61" t="s">
        <v>50</v>
      </c>
      <c r="AG61">
        <v>0</v>
      </c>
      <c r="AH61">
        <v>0</v>
      </c>
      <c r="AI61" t="s">
        <v>51</v>
      </c>
      <c r="AJ61" t="s">
        <v>51</v>
      </c>
      <c r="AK61" t="s">
        <v>51</v>
      </c>
    </row>
    <row r="62" spans="1:37" x14ac:dyDescent="0.2">
      <c r="A62">
        <v>64174</v>
      </c>
      <c r="B62" t="s">
        <v>37</v>
      </c>
      <c r="C62" t="s">
        <v>38</v>
      </c>
      <c r="D62" t="s">
        <v>169</v>
      </c>
      <c r="E62" t="s">
        <v>173</v>
      </c>
      <c r="G62" s="4">
        <v>43948.683368055556</v>
      </c>
      <c r="H62" s="4">
        <v>43948.683391203704</v>
      </c>
      <c r="I62" t="s">
        <v>88</v>
      </c>
      <c r="J62" s="5">
        <v>2</v>
      </c>
      <c r="K62" t="s">
        <v>38</v>
      </c>
      <c r="M62">
        <v>64175</v>
      </c>
      <c r="N62" t="s">
        <v>173</v>
      </c>
      <c r="O62" t="s">
        <v>174</v>
      </c>
      <c r="P62" t="s">
        <v>38</v>
      </c>
      <c r="Q62" t="s">
        <v>88</v>
      </c>
      <c r="R62">
        <v>2</v>
      </c>
      <c r="S62" t="s">
        <v>45</v>
      </c>
      <c r="T62" t="str" s="2">
        <f>=HYPERLINK("http://demo.enginatics.com:80/ecc/user/applications/log/64174.log","http://demo.enginatics.com:80/ecc/user/applications/log/64174.log")</f>
        <v>"http://demo.enginatics.com:80/ecc/user/applications/log/64174.log")</v>
      </c>
      <c r="U62">
        <v>64176</v>
      </c>
      <c r="V62" t="s">
        <v>38</v>
      </c>
      <c r="W62" t="s">
        <v>88</v>
      </c>
      <c r="X62">
        <v>2</v>
      </c>
      <c r="Y62">
        <v>0</v>
      </c>
      <c r="Z62" t="s">
        <v>46</v>
      </c>
      <c r="AA62">
        <v>64177</v>
      </c>
      <c r="AB62" t="s">
        <v>175</v>
      </c>
      <c r="AC62" t="s">
        <v>68</v>
      </c>
      <c r="AD62" t="s">
        <v>38</v>
      </c>
      <c r="AE62" t="s">
        <v>49</v>
      </c>
      <c r="AF62" t="s">
        <v>50</v>
      </c>
      <c r="AG62">
        <v>.9999999999999999999999999999999999999996</v>
      </c>
      <c r="AH62">
        <v>0</v>
      </c>
      <c r="AI62" t="s">
        <v>51</v>
      </c>
      <c r="AJ62" t="s">
        <v>51</v>
      </c>
      <c r="AK62" t="s">
        <v>51</v>
      </c>
    </row>
    <row r="63" spans="1:37" x14ac:dyDescent="0.2">
      <c r="A63">
        <v>64170</v>
      </c>
      <c r="B63" t="s">
        <v>37</v>
      </c>
      <c r="C63" t="s">
        <v>38</v>
      </c>
      <c r="D63" t="s">
        <v>169</v>
      </c>
      <c r="E63" t="s">
        <v>176</v>
      </c>
      <c r="G63" s="4">
        <v>43948.683252314815</v>
      </c>
      <c r="H63" s="4">
        <v>43948.683263888889</v>
      </c>
      <c r="I63" t="s">
        <v>50</v>
      </c>
      <c r="J63" s="5">
        <v>.9999999999999999999999999999999999999996</v>
      </c>
      <c r="K63" t="s">
        <v>38</v>
      </c>
      <c r="M63">
        <v>64171</v>
      </c>
      <c r="N63" t="s">
        <v>176</v>
      </c>
      <c r="O63" t="s">
        <v>177</v>
      </c>
      <c r="P63" t="s">
        <v>38</v>
      </c>
      <c r="Q63" t="s">
        <v>50</v>
      </c>
      <c r="R63">
        <v>.9999999999999999999999999999999999999996</v>
      </c>
      <c r="S63" t="s">
        <v>45</v>
      </c>
      <c r="T63" t="str" s="2">
        <f>=HYPERLINK("http://demo.enginatics.com:80/ecc/user/applications/log/64170.log","http://demo.enginatics.com:80/ecc/user/applications/log/64170.log")</f>
        <v>"http://demo.enginatics.com:80/ecc/user/applications/log/64170.log")</v>
      </c>
      <c r="U63">
        <v>64172</v>
      </c>
      <c r="V63" t="s">
        <v>38</v>
      </c>
      <c r="W63" t="s">
        <v>50</v>
      </c>
      <c r="X63">
        <v>.9999999999999999999999999999999999999996</v>
      </c>
      <c r="Y63">
        <v>0</v>
      </c>
      <c r="Z63" t="s">
        <v>46</v>
      </c>
      <c r="AA63">
        <v>64173</v>
      </c>
      <c r="AB63" t="s">
        <v>178</v>
      </c>
      <c r="AC63" t="s">
        <v>68</v>
      </c>
      <c r="AD63" t="s">
        <v>38</v>
      </c>
      <c r="AE63" t="s">
        <v>49</v>
      </c>
      <c r="AF63" t="s">
        <v>50</v>
      </c>
      <c r="AG63">
        <v>.9999999999999999999999999999999999999996</v>
      </c>
      <c r="AH63">
        <v>0</v>
      </c>
      <c r="AI63" t="s">
        <v>51</v>
      </c>
      <c r="AJ63" t="s">
        <v>51</v>
      </c>
      <c r="AK63" t="s">
        <v>51</v>
      </c>
    </row>
    <row r="64" spans="1:37" x14ac:dyDescent="0.2">
      <c r="A64">
        <v>64166</v>
      </c>
      <c r="B64" t="s">
        <v>37</v>
      </c>
      <c r="C64" t="s">
        <v>38</v>
      </c>
      <c r="D64" t="s">
        <v>169</v>
      </c>
      <c r="E64" t="s">
        <v>179</v>
      </c>
      <c r="G64" s="4">
        <v>43948.682800925926</v>
      </c>
      <c r="H64" s="4">
        <v>43948.683090277778</v>
      </c>
      <c r="I64" t="s">
        <v>180</v>
      </c>
      <c r="J64" s="5">
        <v>25.00000000000000000000000000000000000001</v>
      </c>
      <c r="K64" t="s">
        <v>38</v>
      </c>
      <c r="M64">
        <v>64167</v>
      </c>
      <c r="N64" t="s">
        <v>179</v>
      </c>
      <c r="O64" t="s">
        <v>181</v>
      </c>
      <c r="P64" t="s">
        <v>38</v>
      </c>
      <c r="Q64" t="s">
        <v>180</v>
      </c>
      <c r="R64">
        <v>25.00000000000000000000000000000000000001</v>
      </c>
      <c r="S64" t="s">
        <v>45</v>
      </c>
      <c r="T64" t="str" s="2">
        <f>=HYPERLINK("http://demo.enginatics.com:80/ecc/user/applications/log/64166.log","http://demo.enginatics.com:80/ecc/user/applications/log/64166.log")</f>
        <v>"http://demo.enginatics.com:80/ecc/user/applications/log/64166.log")</v>
      </c>
      <c r="U64">
        <v>64168</v>
      </c>
      <c r="V64" t="s">
        <v>38</v>
      </c>
      <c r="W64" t="s">
        <v>180</v>
      </c>
      <c r="X64">
        <v>25.00000000000000000000000000000000000001</v>
      </c>
      <c r="Y64">
        <v>1</v>
      </c>
      <c r="Z64" t="s">
        <v>46</v>
      </c>
      <c r="AA64">
        <v>64169</v>
      </c>
      <c r="AB64" t="s">
        <v>182</v>
      </c>
      <c r="AC64" t="s">
        <v>68</v>
      </c>
      <c r="AD64" t="s">
        <v>38</v>
      </c>
      <c r="AE64" t="s">
        <v>49</v>
      </c>
      <c r="AF64" t="s">
        <v>183</v>
      </c>
      <c r="AG64">
        <v>23.00000000000000000000000000000000000003</v>
      </c>
      <c r="AH64">
        <v>23</v>
      </c>
      <c r="AI64" t="s">
        <v>51</v>
      </c>
      <c r="AJ64" t="s">
        <v>51</v>
      </c>
      <c r="AK64" t="s">
        <v>51</v>
      </c>
    </row>
    <row r="65" spans="1:37" x14ac:dyDescent="0.2">
      <c r="A65">
        <v>64162</v>
      </c>
      <c r="B65" t="s">
        <v>37</v>
      </c>
      <c r="C65" t="s">
        <v>38</v>
      </c>
      <c r="D65" t="s">
        <v>169</v>
      </c>
      <c r="E65" t="s">
        <v>184</v>
      </c>
      <c r="G65" s="4">
        <v>43948.682685185185</v>
      </c>
      <c r="H65" s="4">
        <v>43948.682696759259</v>
      </c>
      <c r="I65" t="s">
        <v>50</v>
      </c>
      <c r="J65" s="5">
        <v>.9999999999999999999999999999999999999996</v>
      </c>
      <c r="K65" t="s">
        <v>38</v>
      </c>
      <c r="M65">
        <v>64163</v>
      </c>
      <c r="N65" t="s">
        <v>184</v>
      </c>
      <c r="O65" t="s">
        <v>185</v>
      </c>
      <c r="P65" t="s">
        <v>38</v>
      </c>
      <c r="Q65" t="s">
        <v>50</v>
      </c>
      <c r="R65">
        <v>.9999999999999999999999999999999999999996</v>
      </c>
      <c r="S65" t="s">
        <v>45</v>
      </c>
      <c r="T65" t="str" s="2">
        <f>=HYPERLINK("http://demo.enginatics.com:80/ecc/user/applications/log/64162.log","http://demo.enginatics.com:80/ecc/user/applications/log/64162.log")</f>
        <v>"http://demo.enginatics.com:80/ecc/user/applications/log/64162.log")</v>
      </c>
      <c r="U65">
        <v>64164</v>
      </c>
      <c r="V65" t="s">
        <v>38</v>
      </c>
      <c r="W65" t="s">
        <v>50</v>
      </c>
      <c r="X65">
        <v>.9999999999999999999999999999999999999996</v>
      </c>
      <c r="Y65">
        <v>0</v>
      </c>
      <c r="Z65" t="s">
        <v>46</v>
      </c>
      <c r="AA65">
        <v>64165</v>
      </c>
      <c r="AB65" t="s">
        <v>186</v>
      </c>
      <c r="AC65" t="s">
        <v>68</v>
      </c>
      <c r="AD65" t="s">
        <v>38</v>
      </c>
      <c r="AE65" t="s">
        <v>49</v>
      </c>
      <c r="AF65" t="s">
        <v>50</v>
      </c>
      <c r="AG65">
        <v>.9999999999999999999999999999999999999996</v>
      </c>
      <c r="AH65">
        <v>0</v>
      </c>
      <c r="AI65" t="s">
        <v>51</v>
      </c>
      <c r="AJ65" t="s">
        <v>51</v>
      </c>
      <c r="AK65" t="s">
        <v>51</v>
      </c>
    </row>
    <row r="66" spans="1:37" x14ac:dyDescent="0.2">
      <c r="A66">
        <v>64158</v>
      </c>
      <c r="B66" t="s">
        <v>37</v>
      </c>
      <c r="C66" t="s">
        <v>38</v>
      </c>
      <c r="D66" t="s">
        <v>169</v>
      </c>
      <c r="E66" t="s">
        <v>187</v>
      </c>
      <c r="G66" s="4">
        <v>43948.682546296296</v>
      </c>
      <c r="H66" s="4">
        <v>43948.682592592593</v>
      </c>
      <c r="I66" t="s">
        <v>44</v>
      </c>
      <c r="J66" s="5">
        <v>4</v>
      </c>
      <c r="K66" t="s">
        <v>38</v>
      </c>
      <c r="M66">
        <v>64159</v>
      </c>
      <c r="N66" t="s">
        <v>187</v>
      </c>
      <c r="O66" t="s">
        <v>188</v>
      </c>
      <c r="P66" t="s">
        <v>38</v>
      </c>
      <c r="Q66" t="s">
        <v>44</v>
      </c>
      <c r="R66">
        <v>4</v>
      </c>
      <c r="S66" t="s">
        <v>45</v>
      </c>
      <c r="T66" t="str" s="2">
        <f>=HYPERLINK("http://demo.enginatics.com:80/ecc/user/applications/log/64158.log","http://demo.enginatics.com:80/ecc/user/applications/log/64158.log")</f>
        <v>"http://demo.enginatics.com:80/ecc/user/applications/log/64158.log")</v>
      </c>
      <c r="U66">
        <v>64160</v>
      </c>
      <c r="V66" t="s">
        <v>38</v>
      </c>
      <c r="W66" t="s">
        <v>44</v>
      </c>
      <c r="X66">
        <v>4</v>
      </c>
      <c r="Y66">
        <v>0</v>
      </c>
      <c r="Z66" t="s">
        <v>46</v>
      </c>
      <c r="AA66">
        <v>64161</v>
      </c>
      <c r="AB66" t="s">
        <v>189</v>
      </c>
      <c r="AC66" t="s">
        <v>68</v>
      </c>
      <c r="AD66" t="s">
        <v>38</v>
      </c>
      <c r="AE66" t="s">
        <v>49</v>
      </c>
      <c r="AF66" t="s">
        <v>44</v>
      </c>
      <c r="AG66">
        <v>4</v>
      </c>
      <c r="AH66">
        <v>3</v>
      </c>
      <c r="AI66" t="s">
        <v>51</v>
      </c>
      <c r="AJ66" t="s">
        <v>51</v>
      </c>
      <c r="AK66" t="s">
        <v>51</v>
      </c>
    </row>
    <row r="67" spans="1:37" x14ac:dyDescent="0.2">
      <c r="A67">
        <v>64154</v>
      </c>
      <c r="B67" t="s">
        <v>37</v>
      </c>
      <c r="C67" t="s">
        <v>38</v>
      </c>
      <c r="D67" t="s">
        <v>169</v>
      </c>
      <c r="E67" t="s">
        <v>190</v>
      </c>
      <c r="G67" s="4">
        <v>43948.68244212963</v>
      </c>
      <c r="H67" s="4">
        <v>43948.682453703704</v>
      </c>
      <c r="I67" t="s">
        <v>50</v>
      </c>
      <c r="J67" s="5">
        <v>.9999999999999999999999999999999999999996</v>
      </c>
      <c r="K67" t="s">
        <v>38</v>
      </c>
      <c r="M67">
        <v>64155</v>
      </c>
      <c r="N67" t="s">
        <v>190</v>
      </c>
      <c r="O67" t="s">
        <v>191</v>
      </c>
      <c r="P67" t="s">
        <v>38</v>
      </c>
      <c r="Q67" t="s">
        <v>50</v>
      </c>
      <c r="R67">
        <v>.9999999999999999999999999999999999999996</v>
      </c>
      <c r="S67" t="s">
        <v>45</v>
      </c>
      <c r="T67" t="str" s="2">
        <f>=HYPERLINK("http://demo.enginatics.com:80/ecc/user/applications/log/64154.log","http://demo.enginatics.com:80/ecc/user/applications/log/64154.log")</f>
        <v>"http://demo.enginatics.com:80/ecc/user/applications/log/64154.log")</v>
      </c>
      <c r="U67">
        <v>64156</v>
      </c>
      <c r="V67" t="s">
        <v>38</v>
      </c>
      <c r="W67" t="s">
        <v>50</v>
      </c>
      <c r="X67">
        <v>.9999999999999999999999999999999999999996</v>
      </c>
      <c r="Y67">
        <v>0</v>
      </c>
      <c r="Z67" t="s">
        <v>46</v>
      </c>
      <c r="AA67">
        <v>64157</v>
      </c>
      <c r="AB67" t="s">
        <v>192</v>
      </c>
      <c r="AC67" t="s">
        <v>68</v>
      </c>
      <c r="AD67" t="s">
        <v>38</v>
      </c>
      <c r="AE67" t="s">
        <v>49</v>
      </c>
      <c r="AF67" t="s">
        <v>50</v>
      </c>
      <c r="AG67">
        <v>.9999999999999999999999999999999999999996</v>
      </c>
      <c r="AH67">
        <v>0</v>
      </c>
      <c r="AI67" t="s">
        <v>51</v>
      </c>
      <c r="AJ67" t="s">
        <v>51</v>
      </c>
      <c r="AK67" t="s">
        <v>51</v>
      </c>
    </row>
    <row r="68" spans="1:37" x14ac:dyDescent="0.2">
      <c r="A68">
        <v>64150</v>
      </c>
      <c r="B68" t="s">
        <v>37</v>
      </c>
      <c r="C68" t="s">
        <v>38</v>
      </c>
      <c r="D68" t="s">
        <v>169</v>
      </c>
      <c r="E68" t="s">
        <v>193</v>
      </c>
      <c r="G68" s="4">
        <v>43948.682314814815</v>
      </c>
      <c r="H68" s="4">
        <v>43948.682326388889</v>
      </c>
      <c r="I68" t="s">
        <v>50</v>
      </c>
      <c r="J68" s="5">
        <v>.9999999999999999999999999999999999999996</v>
      </c>
      <c r="K68" t="s">
        <v>38</v>
      </c>
      <c r="M68">
        <v>64151</v>
      </c>
      <c r="N68" t="s">
        <v>193</v>
      </c>
      <c r="O68" t="s">
        <v>194</v>
      </c>
      <c r="P68" t="s">
        <v>38</v>
      </c>
      <c r="Q68" t="s">
        <v>50</v>
      </c>
      <c r="R68">
        <v>.9999999999999999999999999999999999999996</v>
      </c>
      <c r="S68" t="s">
        <v>45</v>
      </c>
      <c r="T68" t="str" s="2">
        <f>=HYPERLINK("http://demo.enginatics.com:80/ecc/user/applications/log/64150.log","http://demo.enginatics.com:80/ecc/user/applications/log/64150.log")</f>
        <v>"http://demo.enginatics.com:80/ecc/user/applications/log/64150.log")</v>
      </c>
      <c r="U68">
        <v>64152</v>
      </c>
      <c r="V68" t="s">
        <v>38</v>
      </c>
      <c r="W68" t="s">
        <v>50</v>
      </c>
      <c r="X68">
        <v>.9999999999999999999999999999999999999996</v>
      </c>
      <c r="Y68">
        <v>0</v>
      </c>
      <c r="Z68" t="s">
        <v>46</v>
      </c>
      <c r="AA68">
        <v>64153</v>
      </c>
      <c r="AB68" t="s">
        <v>195</v>
      </c>
      <c r="AC68" t="s">
        <v>68</v>
      </c>
      <c r="AD68" t="s">
        <v>38</v>
      </c>
      <c r="AE68" t="s">
        <v>49</v>
      </c>
      <c r="AF68" t="s">
        <v>50</v>
      </c>
      <c r="AG68">
        <v>0</v>
      </c>
      <c r="AH68">
        <v>0</v>
      </c>
      <c r="AI68" t="s">
        <v>51</v>
      </c>
      <c r="AJ68" t="s">
        <v>51</v>
      </c>
      <c r="AK68" t="s">
        <v>51</v>
      </c>
    </row>
    <row r="69" spans="1:37" x14ac:dyDescent="0.2">
      <c r="A69">
        <v>64147</v>
      </c>
      <c r="B69" t="s">
        <v>37</v>
      </c>
      <c r="C69" t="s">
        <v>196</v>
      </c>
      <c r="D69" t="s">
        <v>169</v>
      </c>
      <c r="E69" t="s">
        <v>197</v>
      </c>
      <c r="G69" s="4">
        <v>43948.682175925926</v>
      </c>
      <c r="H69" s="4">
        <v>43948.6821875</v>
      </c>
      <c r="I69" t="s">
        <v>50</v>
      </c>
      <c r="J69" s="5">
        <v>.9999999999999999999999999999999999999996</v>
      </c>
      <c r="K69" t="s">
        <v>196</v>
      </c>
      <c r="M69">
        <v>64148</v>
      </c>
      <c r="N69" t="s">
        <v>197</v>
      </c>
      <c r="O69" t="s">
        <v>198</v>
      </c>
      <c r="P69" t="s">
        <v>196</v>
      </c>
      <c r="Q69" t="s">
        <v>50</v>
      </c>
      <c r="R69">
        <v>0</v>
      </c>
      <c r="S69" t="s">
        <v>199</v>
      </c>
      <c r="T69" t="str" s="2">
        <f>=HYPERLINK("http://demo.enginatics.com:80/ecc/user/applications/log/64147.log","http://demo.enginatics.com:80/ecc/user/applications/log/64147.log")</f>
        <v>"http://demo.enginatics.com:80/ecc/user/applications/log/64147.log")</v>
      </c>
      <c r="U69">
        <v>64149</v>
      </c>
      <c r="V69" t="s">
        <v>196</v>
      </c>
      <c r="W69" t="s">
        <v>50</v>
      </c>
      <c r="X69">
        <v>0</v>
      </c>
      <c r="Y69">
        <v>0</v>
      </c>
      <c r="Z69" t="s">
        <v>200</v>
      </c>
    </row>
    <row r="70" spans="1:37" x14ac:dyDescent="0.2">
      <c r="A70">
        <v>64143</v>
      </c>
      <c r="B70" t="s">
        <v>37</v>
      </c>
      <c r="C70" t="s">
        <v>38</v>
      </c>
      <c r="D70" t="s">
        <v>169</v>
      </c>
      <c r="E70" t="s">
        <v>201</v>
      </c>
      <c r="G70" s="4">
        <v>43948.6771875</v>
      </c>
      <c r="H70" s="4">
        <v>43948.677210648148</v>
      </c>
      <c r="I70" t="s">
        <v>88</v>
      </c>
      <c r="J70" s="5">
        <v>2</v>
      </c>
      <c r="K70" t="s">
        <v>38</v>
      </c>
      <c r="M70">
        <v>64144</v>
      </c>
      <c r="N70" t="s">
        <v>201</v>
      </c>
      <c r="O70" t="s">
        <v>202</v>
      </c>
      <c r="P70" t="s">
        <v>38</v>
      </c>
      <c r="Q70" t="s">
        <v>88</v>
      </c>
      <c r="R70">
        <v>2</v>
      </c>
      <c r="S70" t="s">
        <v>45</v>
      </c>
      <c r="T70" t="str" s="2">
        <f>=HYPERLINK("http://demo.enginatics.com:80/ecc/user/applications/log/64143.log","http://demo.enginatics.com:80/ecc/user/applications/log/64143.log")</f>
        <v>"http://demo.enginatics.com:80/ecc/user/applications/log/64143.log")</v>
      </c>
      <c r="U70">
        <v>64145</v>
      </c>
      <c r="V70" t="s">
        <v>38</v>
      </c>
      <c r="W70" t="s">
        <v>88</v>
      </c>
      <c r="X70">
        <v>2</v>
      </c>
      <c r="Y70">
        <v>0</v>
      </c>
      <c r="Z70" t="s">
        <v>46</v>
      </c>
      <c r="AA70">
        <v>64146</v>
      </c>
      <c r="AB70" t="s">
        <v>203</v>
      </c>
      <c r="AC70" t="s">
        <v>68</v>
      </c>
      <c r="AD70" t="s">
        <v>38</v>
      </c>
      <c r="AE70" t="s">
        <v>49</v>
      </c>
      <c r="AF70" t="s">
        <v>50</v>
      </c>
      <c r="AG70">
        <v>.9999999999999999999999999999999999999996</v>
      </c>
      <c r="AH70">
        <v>0</v>
      </c>
      <c r="AI70" t="s">
        <v>51</v>
      </c>
      <c r="AJ70" t="s">
        <v>51</v>
      </c>
      <c r="AK70" t="s">
        <v>51</v>
      </c>
    </row>
    <row r="71" spans="1:37" x14ac:dyDescent="0.2">
      <c r="A71">
        <v>64138</v>
      </c>
      <c r="B71" t="s">
        <v>37</v>
      </c>
      <c r="C71" t="s">
        <v>38</v>
      </c>
      <c r="D71" t="s">
        <v>169</v>
      </c>
      <c r="E71" t="s">
        <v>204</v>
      </c>
      <c r="G71" s="4">
        <v>43948.677037037037</v>
      </c>
      <c r="H71" s="4">
        <v>43948.677083333333</v>
      </c>
      <c r="I71" t="s">
        <v>44</v>
      </c>
      <c r="J71" s="5">
        <v>4</v>
      </c>
      <c r="K71" t="s">
        <v>38</v>
      </c>
      <c r="M71">
        <v>64139</v>
      </c>
      <c r="N71" t="s">
        <v>204</v>
      </c>
      <c r="O71" t="s">
        <v>205</v>
      </c>
      <c r="P71" t="s">
        <v>38</v>
      </c>
      <c r="Q71" t="s">
        <v>44</v>
      </c>
      <c r="R71">
        <v>4</v>
      </c>
      <c r="S71" t="s">
        <v>45</v>
      </c>
      <c r="T71" t="str" s="2">
        <f>=HYPERLINK("http://demo.enginatics.com:80/ecc/user/applications/log/64138.log","http://demo.enginatics.com:80/ecc/user/applications/log/64138.log")</f>
        <v>"http://demo.enginatics.com:80/ecc/user/applications/log/64138.log")</v>
      </c>
      <c r="U71">
        <v>64140</v>
      </c>
      <c r="V71" t="s">
        <v>38</v>
      </c>
      <c r="W71" t="s">
        <v>44</v>
      </c>
      <c r="X71">
        <v>4</v>
      </c>
      <c r="Y71">
        <v>1</v>
      </c>
      <c r="Z71" t="s">
        <v>46</v>
      </c>
      <c r="AA71">
        <v>64142</v>
      </c>
      <c r="AB71" t="s">
        <v>206</v>
      </c>
      <c r="AC71" t="s">
        <v>68</v>
      </c>
      <c r="AD71" t="s">
        <v>38</v>
      </c>
      <c r="AE71" t="s">
        <v>49</v>
      </c>
      <c r="AF71" t="s">
        <v>50</v>
      </c>
      <c r="AG71">
        <v>.9999999999999999999999999999999999999996</v>
      </c>
      <c r="AH71">
        <v>0</v>
      </c>
      <c r="AI71" t="s">
        <v>51</v>
      </c>
      <c r="AJ71" t="s">
        <v>51</v>
      </c>
      <c r="AK71" t="s">
        <v>51</v>
      </c>
    </row>
    <row r="72" spans="1:37" x14ac:dyDescent="0.2">
      <c r="A72">
        <v>64138</v>
      </c>
      <c r="B72" t="s">
        <v>37</v>
      </c>
      <c r="C72" t="s">
        <v>38</v>
      </c>
      <c r="D72" t="s">
        <v>169</v>
      </c>
      <c r="E72" t="s">
        <v>204</v>
      </c>
      <c r="G72" s="4">
        <v>43948.677037037037</v>
      </c>
      <c r="H72" s="4">
        <v>43948.677083333333</v>
      </c>
      <c r="I72" t="s">
        <v>44</v>
      </c>
      <c r="J72" s="5">
        <v>4</v>
      </c>
      <c r="K72" t="s">
        <v>38</v>
      </c>
      <c r="M72">
        <v>64139</v>
      </c>
      <c r="N72" t="s">
        <v>204</v>
      </c>
      <c r="O72" t="s">
        <v>205</v>
      </c>
      <c r="P72" t="s">
        <v>38</v>
      </c>
      <c r="Q72" t="s">
        <v>44</v>
      </c>
      <c r="R72">
        <v>4</v>
      </c>
      <c r="S72" t="s">
        <v>45</v>
      </c>
      <c r="T72" t="str" s="2">
        <f>=HYPERLINK("http://demo.enginatics.com:80/ecc/user/applications/log/64138.log","http://demo.enginatics.com:80/ecc/user/applications/log/64138.log")</f>
        <v>"http://demo.enginatics.com:80/ecc/user/applications/log/64138.log")</v>
      </c>
      <c r="U72">
        <v>64140</v>
      </c>
      <c r="V72" t="s">
        <v>38</v>
      </c>
      <c r="W72" t="s">
        <v>44</v>
      </c>
      <c r="X72">
        <v>4</v>
      </c>
      <c r="Y72">
        <v>1</v>
      </c>
      <c r="Z72" t="s">
        <v>46</v>
      </c>
      <c r="AA72">
        <v>64141</v>
      </c>
      <c r="AB72" t="s">
        <v>207</v>
      </c>
      <c r="AC72" t="s">
        <v>56</v>
      </c>
      <c r="AD72" t="s">
        <v>38</v>
      </c>
      <c r="AE72" t="s">
        <v>49</v>
      </c>
      <c r="AF72" t="s">
        <v>88</v>
      </c>
      <c r="AG72">
        <v>2</v>
      </c>
      <c r="AH72">
        <v>1</v>
      </c>
      <c r="AI72" t="s">
        <v>51</v>
      </c>
      <c r="AJ72" t="s">
        <v>51</v>
      </c>
      <c r="AK72" t="s">
        <v>51</v>
      </c>
    </row>
    <row r="73" spans="1:37" x14ac:dyDescent="0.2">
      <c r="A73">
        <v>64133</v>
      </c>
      <c r="B73" t="s">
        <v>37</v>
      </c>
      <c r="C73" t="s">
        <v>38</v>
      </c>
      <c r="D73" t="s">
        <v>169</v>
      </c>
      <c r="E73" t="s">
        <v>208</v>
      </c>
      <c r="G73" s="4">
        <v>43948.676909722222</v>
      </c>
      <c r="H73" s="4">
        <v>43948.67693287037</v>
      </c>
      <c r="I73" t="s">
        <v>88</v>
      </c>
      <c r="J73" s="5">
        <v>2</v>
      </c>
      <c r="K73" t="s">
        <v>38</v>
      </c>
      <c r="M73">
        <v>64134</v>
      </c>
      <c r="N73" t="s">
        <v>208</v>
      </c>
      <c r="O73" t="s">
        <v>209</v>
      </c>
      <c r="P73" t="s">
        <v>38</v>
      </c>
      <c r="Q73" t="s">
        <v>88</v>
      </c>
      <c r="R73">
        <v>2</v>
      </c>
      <c r="S73" t="s">
        <v>45</v>
      </c>
      <c r="T73" t="str" s="2">
        <f>=HYPERLINK("http://demo.enginatics.com:80/ecc/user/applications/log/64133.log","http://demo.enginatics.com:80/ecc/user/applications/log/64133.log")</f>
        <v>"http://demo.enginatics.com:80/ecc/user/applications/log/64133.log")</v>
      </c>
      <c r="U73">
        <v>64135</v>
      </c>
      <c r="V73" t="s">
        <v>38</v>
      </c>
      <c r="W73" t="s">
        <v>88</v>
      </c>
      <c r="X73">
        <v>2</v>
      </c>
      <c r="Y73">
        <v>1</v>
      </c>
      <c r="Z73" t="s">
        <v>46</v>
      </c>
      <c r="AA73">
        <v>64137</v>
      </c>
      <c r="AB73" t="s">
        <v>210</v>
      </c>
      <c r="AC73" t="s">
        <v>48</v>
      </c>
      <c r="AD73" t="s">
        <v>38</v>
      </c>
      <c r="AE73" t="s">
        <v>49</v>
      </c>
      <c r="AF73" t="s">
        <v>50</v>
      </c>
      <c r="AG73">
        <v>0</v>
      </c>
      <c r="AH73">
        <v>0</v>
      </c>
      <c r="AI73" t="s">
        <v>51</v>
      </c>
      <c r="AJ73" t="s">
        <v>51</v>
      </c>
      <c r="AK73" t="s">
        <v>51</v>
      </c>
    </row>
    <row r="74" spans="1:37" x14ac:dyDescent="0.2">
      <c r="A74">
        <v>64133</v>
      </c>
      <c r="B74" t="s">
        <v>37</v>
      </c>
      <c r="C74" t="s">
        <v>38</v>
      </c>
      <c r="D74" t="s">
        <v>169</v>
      </c>
      <c r="E74" t="s">
        <v>208</v>
      </c>
      <c r="G74" s="4">
        <v>43948.676909722222</v>
      </c>
      <c r="H74" s="4">
        <v>43948.67693287037</v>
      </c>
      <c r="I74" t="s">
        <v>88</v>
      </c>
      <c r="J74" s="5">
        <v>2</v>
      </c>
      <c r="K74" t="s">
        <v>38</v>
      </c>
      <c r="M74">
        <v>64134</v>
      </c>
      <c r="N74" t="s">
        <v>208</v>
      </c>
      <c r="O74" t="s">
        <v>209</v>
      </c>
      <c r="P74" t="s">
        <v>38</v>
      </c>
      <c r="Q74" t="s">
        <v>88</v>
      </c>
      <c r="R74">
        <v>2</v>
      </c>
      <c r="S74" t="s">
        <v>45</v>
      </c>
      <c r="T74" t="str" s="2">
        <f>=HYPERLINK("http://demo.enginatics.com:80/ecc/user/applications/log/64133.log","http://demo.enginatics.com:80/ecc/user/applications/log/64133.log")</f>
        <v>"http://demo.enginatics.com:80/ecc/user/applications/log/64133.log")</v>
      </c>
      <c r="U74">
        <v>64135</v>
      </c>
      <c r="V74" t="s">
        <v>38</v>
      </c>
      <c r="W74" t="s">
        <v>88</v>
      </c>
      <c r="X74">
        <v>2</v>
      </c>
      <c r="Y74">
        <v>1</v>
      </c>
      <c r="Z74" t="s">
        <v>46</v>
      </c>
      <c r="AA74">
        <v>64136</v>
      </c>
      <c r="AB74" t="s">
        <v>211</v>
      </c>
      <c r="AC74" t="s">
        <v>56</v>
      </c>
      <c r="AD74" t="s">
        <v>38</v>
      </c>
      <c r="AE74" t="s">
        <v>49</v>
      </c>
      <c r="AF74" t="s">
        <v>50</v>
      </c>
      <c r="AG74">
        <v>0</v>
      </c>
      <c r="AH74">
        <v>0</v>
      </c>
      <c r="AI74" t="s">
        <v>51</v>
      </c>
      <c r="AJ74" t="s">
        <v>51</v>
      </c>
      <c r="AK74" t="s">
        <v>51</v>
      </c>
    </row>
    <row r="75" spans="1:37" x14ac:dyDescent="0.2">
      <c r="A75">
        <v>64129</v>
      </c>
      <c r="B75" t="s">
        <v>37</v>
      </c>
      <c r="C75" t="s">
        <v>38</v>
      </c>
      <c r="D75" t="s">
        <v>169</v>
      </c>
      <c r="E75" t="s">
        <v>212</v>
      </c>
      <c r="G75" s="4">
        <v>43948.676759259259</v>
      </c>
      <c r="H75" s="4">
        <v>43948.676770833333</v>
      </c>
      <c r="I75" t="s">
        <v>50</v>
      </c>
      <c r="J75" s="5">
        <v>.9999999999999999999999999999999999999996</v>
      </c>
      <c r="K75" t="s">
        <v>38</v>
      </c>
      <c r="M75">
        <v>64130</v>
      </c>
      <c r="N75" t="s">
        <v>212</v>
      </c>
      <c r="O75" t="s">
        <v>213</v>
      </c>
      <c r="P75" t="s">
        <v>38</v>
      </c>
      <c r="Q75" t="s">
        <v>50</v>
      </c>
      <c r="R75">
        <v>.9999999999999999999999999999999999999996</v>
      </c>
      <c r="S75" t="s">
        <v>45</v>
      </c>
      <c r="T75" t="str" s="2">
        <f>=HYPERLINK("http://demo.enginatics.com:80/ecc/user/applications/log/64129.log","http://demo.enginatics.com:80/ecc/user/applications/log/64129.log")</f>
        <v>"http://demo.enginatics.com:80/ecc/user/applications/log/64129.log")</v>
      </c>
      <c r="U75">
        <v>64131</v>
      </c>
      <c r="V75" t="s">
        <v>38</v>
      </c>
      <c r="W75" t="s">
        <v>50</v>
      </c>
      <c r="X75">
        <v>.9999999999999999999999999999999999999996</v>
      </c>
      <c r="Y75">
        <v>0</v>
      </c>
      <c r="Z75" t="s">
        <v>46</v>
      </c>
      <c r="AA75">
        <v>64132</v>
      </c>
      <c r="AB75" t="s">
        <v>214</v>
      </c>
      <c r="AC75" t="s">
        <v>68</v>
      </c>
      <c r="AD75" t="s">
        <v>38</v>
      </c>
      <c r="AE75" t="s">
        <v>49</v>
      </c>
      <c r="AF75" t="s">
        <v>50</v>
      </c>
      <c r="AG75">
        <v>.9999999999999999999999999999999999999996</v>
      </c>
      <c r="AH75">
        <v>0</v>
      </c>
      <c r="AI75" t="s">
        <v>51</v>
      </c>
      <c r="AJ75" t="s">
        <v>51</v>
      </c>
      <c r="AK75" t="s">
        <v>51</v>
      </c>
    </row>
    <row r="76" spans="1:37" x14ac:dyDescent="0.2">
      <c r="A76">
        <v>64124</v>
      </c>
      <c r="B76" t="s">
        <v>37</v>
      </c>
      <c r="C76" t="s">
        <v>38</v>
      </c>
      <c r="D76" t="s">
        <v>169</v>
      </c>
      <c r="E76" t="s">
        <v>215</v>
      </c>
      <c r="G76" s="4">
        <v>43948.67662037037</v>
      </c>
      <c r="H76" s="4">
        <v>43948.676631944444</v>
      </c>
      <c r="I76" t="s">
        <v>50</v>
      </c>
      <c r="J76" s="5">
        <v>.9999999999999999999999999999999999999996</v>
      </c>
      <c r="K76" t="s">
        <v>38</v>
      </c>
      <c r="M76">
        <v>64125</v>
      </c>
      <c r="N76" t="s">
        <v>215</v>
      </c>
      <c r="O76" t="s">
        <v>216</v>
      </c>
      <c r="P76" t="s">
        <v>38</v>
      </c>
      <c r="Q76" t="s">
        <v>50</v>
      </c>
      <c r="R76">
        <v>.9999999999999999999999999999999999999996</v>
      </c>
      <c r="S76" t="s">
        <v>45</v>
      </c>
      <c r="T76" t="str" s="2">
        <f>=HYPERLINK("http://demo.enginatics.com:80/ecc/user/applications/log/64124.log","http://demo.enginatics.com:80/ecc/user/applications/log/64124.log")</f>
        <v>"http://demo.enginatics.com:80/ecc/user/applications/log/64124.log")</v>
      </c>
      <c r="U76">
        <v>64126</v>
      </c>
      <c r="V76" t="s">
        <v>38</v>
      </c>
      <c r="W76" t="s">
        <v>50</v>
      </c>
      <c r="X76">
        <v>0</v>
      </c>
      <c r="Y76">
        <v>0</v>
      </c>
      <c r="Z76" t="s">
        <v>46</v>
      </c>
      <c r="AA76">
        <v>64128</v>
      </c>
      <c r="AB76" t="s">
        <v>217</v>
      </c>
      <c r="AC76" t="s">
        <v>48</v>
      </c>
      <c r="AD76" t="s">
        <v>38</v>
      </c>
      <c r="AE76" t="s">
        <v>49</v>
      </c>
      <c r="AF76" t="s">
        <v>50</v>
      </c>
      <c r="AG76">
        <v>0</v>
      </c>
      <c r="AH76">
        <v>0</v>
      </c>
      <c r="AI76" t="s">
        <v>51</v>
      </c>
      <c r="AJ76" t="s">
        <v>51</v>
      </c>
      <c r="AK76" t="s">
        <v>51</v>
      </c>
    </row>
    <row r="77" spans="1:37" x14ac:dyDescent="0.2">
      <c r="A77">
        <v>64124</v>
      </c>
      <c r="B77" t="s">
        <v>37</v>
      </c>
      <c r="C77" t="s">
        <v>38</v>
      </c>
      <c r="D77" t="s">
        <v>169</v>
      </c>
      <c r="E77" t="s">
        <v>215</v>
      </c>
      <c r="G77" s="4">
        <v>43948.67662037037</v>
      </c>
      <c r="H77" s="4">
        <v>43948.676631944444</v>
      </c>
      <c r="I77" t="s">
        <v>50</v>
      </c>
      <c r="J77" s="5">
        <v>.9999999999999999999999999999999999999996</v>
      </c>
      <c r="K77" t="s">
        <v>38</v>
      </c>
      <c r="M77">
        <v>64125</v>
      </c>
      <c r="N77" t="s">
        <v>215</v>
      </c>
      <c r="O77" t="s">
        <v>216</v>
      </c>
      <c r="P77" t="s">
        <v>38</v>
      </c>
      <c r="Q77" t="s">
        <v>50</v>
      </c>
      <c r="R77">
        <v>.9999999999999999999999999999999999999996</v>
      </c>
      <c r="S77" t="s">
        <v>45</v>
      </c>
      <c r="T77" t="str" s="2">
        <f>=HYPERLINK("http://demo.enginatics.com:80/ecc/user/applications/log/64124.log","http://demo.enginatics.com:80/ecc/user/applications/log/64124.log")</f>
        <v>"http://demo.enginatics.com:80/ecc/user/applications/log/64124.log")</v>
      </c>
      <c r="U77">
        <v>64126</v>
      </c>
      <c r="V77" t="s">
        <v>38</v>
      </c>
      <c r="W77" t="s">
        <v>50</v>
      </c>
      <c r="X77">
        <v>0</v>
      </c>
      <c r="Y77">
        <v>0</v>
      </c>
      <c r="Z77" t="s">
        <v>46</v>
      </c>
      <c r="AA77">
        <v>64127</v>
      </c>
      <c r="AB77" t="s">
        <v>218</v>
      </c>
      <c r="AC77" t="s">
        <v>56</v>
      </c>
      <c r="AD77" t="s">
        <v>38</v>
      </c>
      <c r="AE77" t="s">
        <v>49</v>
      </c>
      <c r="AF77" t="s">
        <v>50</v>
      </c>
      <c r="AG77">
        <v>0</v>
      </c>
      <c r="AH77">
        <v>0</v>
      </c>
      <c r="AI77" t="s">
        <v>51</v>
      </c>
      <c r="AJ77" t="s">
        <v>51</v>
      </c>
      <c r="AK77" t="s">
        <v>51</v>
      </c>
    </row>
    <row r="78" spans="1:37" x14ac:dyDescent="0.2">
      <c r="A78">
        <v>64119</v>
      </c>
      <c r="B78" t="s">
        <v>37</v>
      </c>
      <c r="C78" t="s">
        <v>38</v>
      </c>
      <c r="D78" t="s">
        <v>169</v>
      </c>
      <c r="E78" t="s">
        <v>219</v>
      </c>
      <c r="G78" s="4">
        <v>43948.676168981481</v>
      </c>
      <c r="H78" s="4">
        <v>43948.676435185185</v>
      </c>
      <c r="I78" t="s">
        <v>183</v>
      </c>
      <c r="J78" s="5">
        <v>23.00000000000000000000000000000000000003</v>
      </c>
      <c r="K78" t="s">
        <v>38</v>
      </c>
      <c r="M78">
        <v>64120</v>
      </c>
      <c r="N78" t="s">
        <v>219</v>
      </c>
      <c r="O78" t="s">
        <v>220</v>
      </c>
      <c r="P78" t="s">
        <v>38</v>
      </c>
      <c r="Q78" t="s">
        <v>183</v>
      </c>
      <c r="R78">
        <v>23.00000000000000000000000000000000000003</v>
      </c>
      <c r="S78" t="s">
        <v>45</v>
      </c>
      <c r="T78" t="str" s="2">
        <f>=HYPERLINK("http://demo.enginatics.com:80/ecc/user/applications/log/64119.log","http://demo.enginatics.com:80/ecc/user/applications/log/64119.log")</f>
        <v>"http://demo.enginatics.com:80/ecc/user/applications/log/64119.log")</v>
      </c>
      <c r="U78">
        <v>64121</v>
      </c>
      <c r="V78" t="s">
        <v>38</v>
      </c>
      <c r="W78" t="s">
        <v>183</v>
      </c>
      <c r="X78">
        <v>23.00000000000000000000000000000000000003</v>
      </c>
      <c r="Y78">
        <v>22</v>
      </c>
      <c r="Z78" t="s">
        <v>46</v>
      </c>
      <c r="AA78">
        <v>64123</v>
      </c>
      <c r="AB78" t="s">
        <v>221</v>
      </c>
      <c r="AC78" t="s">
        <v>48</v>
      </c>
      <c r="AD78" t="s">
        <v>38</v>
      </c>
      <c r="AE78" t="s">
        <v>49</v>
      </c>
      <c r="AF78" t="s">
        <v>50</v>
      </c>
      <c r="AG78">
        <v>0</v>
      </c>
      <c r="AH78">
        <v>0</v>
      </c>
      <c r="AI78" t="s">
        <v>51</v>
      </c>
      <c r="AJ78" t="s">
        <v>51</v>
      </c>
      <c r="AK78" t="s">
        <v>51</v>
      </c>
    </row>
    <row r="79" spans="1:37" x14ac:dyDescent="0.2">
      <c r="A79">
        <v>64119</v>
      </c>
      <c r="B79" t="s">
        <v>37</v>
      </c>
      <c r="C79" t="s">
        <v>38</v>
      </c>
      <c r="D79" t="s">
        <v>169</v>
      </c>
      <c r="E79" t="s">
        <v>219</v>
      </c>
      <c r="G79" s="4">
        <v>43948.676168981481</v>
      </c>
      <c r="H79" s="4">
        <v>43948.676435185185</v>
      </c>
      <c r="I79" t="s">
        <v>183</v>
      </c>
      <c r="J79" s="5">
        <v>23.00000000000000000000000000000000000003</v>
      </c>
      <c r="K79" t="s">
        <v>38</v>
      </c>
      <c r="M79">
        <v>64120</v>
      </c>
      <c r="N79" t="s">
        <v>219</v>
      </c>
      <c r="O79" t="s">
        <v>220</v>
      </c>
      <c r="P79" t="s">
        <v>38</v>
      </c>
      <c r="Q79" t="s">
        <v>183</v>
      </c>
      <c r="R79">
        <v>23.00000000000000000000000000000000000003</v>
      </c>
      <c r="S79" t="s">
        <v>45</v>
      </c>
      <c r="T79" t="str" s="2">
        <f>=HYPERLINK("http://demo.enginatics.com:80/ecc/user/applications/log/64119.log","http://demo.enginatics.com:80/ecc/user/applications/log/64119.log")</f>
        <v>"http://demo.enginatics.com:80/ecc/user/applications/log/64119.log")</v>
      </c>
      <c r="U79">
        <v>64121</v>
      </c>
      <c r="V79" t="s">
        <v>38</v>
      </c>
      <c r="W79" t="s">
        <v>183</v>
      </c>
      <c r="X79">
        <v>23.00000000000000000000000000000000000003</v>
      </c>
      <c r="Y79">
        <v>22</v>
      </c>
      <c r="Z79" t="s">
        <v>46</v>
      </c>
      <c r="AA79">
        <v>64122</v>
      </c>
      <c r="AB79" t="s">
        <v>222</v>
      </c>
      <c r="AC79" t="s">
        <v>56</v>
      </c>
      <c r="AD79" t="s">
        <v>38</v>
      </c>
      <c r="AE79" t="s">
        <v>49</v>
      </c>
      <c r="AF79" t="s">
        <v>50</v>
      </c>
      <c r="AG79">
        <v>0</v>
      </c>
      <c r="AH79">
        <v>0</v>
      </c>
      <c r="AI79" t="s">
        <v>51</v>
      </c>
      <c r="AJ79" t="s">
        <v>51</v>
      </c>
      <c r="AK79" t="s">
        <v>51</v>
      </c>
    </row>
    <row r="80" spans="1:37" x14ac:dyDescent="0.2">
      <c r="A80">
        <v>64115</v>
      </c>
      <c r="B80" t="s">
        <v>37</v>
      </c>
      <c r="C80" t="s">
        <v>38</v>
      </c>
      <c r="D80" t="s">
        <v>169</v>
      </c>
      <c r="E80" t="s">
        <v>223</v>
      </c>
      <c r="G80" s="4">
        <v>43948.675011574074</v>
      </c>
      <c r="H80" s="4">
        <v>43948.675011574074</v>
      </c>
      <c r="I80" t="s">
        <v>50</v>
      </c>
      <c r="J80" s="5">
        <v>0</v>
      </c>
      <c r="K80" t="s">
        <v>38</v>
      </c>
      <c r="M80">
        <v>64116</v>
      </c>
      <c r="N80" t="s">
        <v>223</v>
      </c>
      <c r="O80" t="s">
        <v>224</v>
      </c>
      <c r="P80" t="s">
        <v>38</v>
      </c>
      <c r="Q80" t="s">
        <v>50</v>
      </c>
      <c r="R80">
        <v>0</v>
      </c>
      <c r="S80" t="s">
        <v>45</v>
      </c>
      <c r="T80" t="str" s="2">
        <f>=HYPERLINK("http://demo.enginatics.com:80/ecc/user/applications/log/64115.log","http://demo.enginatics.com:80/ecc/user/applications/log/64115.log")</f>
        <v>"http://demo.enginatics.com:80/ecc/user/applications/log/64115.log")</v>
      </c>
      <c r="U80">
        <v>64117</v>
      </c>
      <c r="V80" t="s">
        <v>38</v>
      </c>
      <c r="W80" t="s">
        <v>50</v>
      </c>
      <c r="X80">
        <v>0</v>
      </c>
      <c r="Y80">
        <v>0</v>
      </c>
      <c r="Z80" t="s">
        <v>46</v>
      </c>
      <c r="AA80">
        <v>64118</v>
      </c>
      <c r="AB80" t="s">
        <v>225</v>
      </c>
      <c r="AC80" t="s">
        <v>68</v>
      </c>
      <c r="AD80" t="s">
        <v>38</v>
      </c>
      <c r="AE80" t="s">
        <v>49</v>
      </c>
      <c r="AF80" t="s">
        <v>50</v>
      </c>
      <c r="AG80">
        <v>0</v>
      </c>
      <c r="AH80">
        <v>0</v>
      </c>
      <c r="AI80" t="s">
        <v>51</v>
      </c>
      <c r="AJ80" t="s">
        <v>51</v>
      </c>
      <c r="AK80" t="s">
        <v>51</v>
      </c>
    </row>
    <row r="81" spans="1:37" x14ac:dyDescent="0.2">
      <c r="A81">
        <v>64111</v>
      </c>
      <c r="B81" t="s">
        <v>37</v>
      </c>
      <c r="C81" t="s">
        <v>38</v>
      </c>
      <c r="D81" t="s">
        <v>169</v>
      </c>
      <c r="E81" t="s">
        <v>226</v>
      </c>
      <c r="G81" s="4">
        <v>43948.674872685185</v>
      </c>
      <c r="H81" s="4">
        <v>43948.674884259259</v>
      </c>
      <c r="I81" t="s">
        <v>50</v>
      </c>
      <c r="J81" s="5">
        <v>.9999999999999999999999999999999999999996</v>
      </c>
      <c r="K81" t="s">
        <v>38</v>
      </c>
      <c r="M81">
        <v>64112</v>
      </c>
      <c r="N81" t="s">
        <v>226</v>
      </c>
      <c r="O81" t="s">
        <v>227</v>
      </c>
      <c r="P81" t="s">
        <v>38</v>
      </c>
      <c r="Q81" t="s">
        <v>50</v>
      </c>
      <c r="R81">
        <v>.9999999999999999999999999999999999999996</v>
      </c>
      <c r="S81" t="s">
        <v>45</v>
      </c>
      <c r="T81" t="str" s="2">
        <f>=HYPERLINK("http://demo.enginatics.com:80/ecc/user/applications/log/64111.log","http://demo.enginatics.com:80/ecc/user/applications/log/64111.log")</f>
        <v>"http://demo.enginatics.com:80/ecc/user/applications/log/64111.log")</v>
      </c>
      <c r="U81">
        <v>64113</v>
      </c>
      <c r="V81" t="s">
        <v>38</v>
      </c>
      <c r="W81" t="s">
        <v>50</v>
      </c>
      <c r="X81">
        <v>.9999999999999999999999999999999999999996</v>
      </c>
      <c r="Y81">
        <v>0</v>
      </c>
      <c r="Z81" t="s">
        <v>46</v>
      </c>
      <c r="AA81">
        <v>64114</v>
      </c>
      <c r="AB81" t="s">
        <v>228</v>
      </c>
      <c r="AC81" t="s">
        <v>68</v>
      </c>
      <c r="AD81" t="s">
        <v>38</v>
      </c>
      <c r="AE81" t="s">
        <v>49</v>
      </c>
      <c r="AF81" t="s">
        <v>50</v>
      </c>
      <c r="AG81">
        <v>.9999999999999999999999999999999999999996</v>
      </c>
      <c r="AH81">
        <v>0</v>
      </c>
      <c r="AI81" t="s">
        <v>51</v>
      </c>
      <c r="AJ81" t="s">
        <v>51</v>
      </c>
      <c r="AK81" t="s">
        <v>51</v>
      </c>
    </row>
    <row r="82" spans="1:37" x14ac:dyDescent="0.2">
      <c r="A82">
        <v>64107</v>
      </c>
      <c r="B82" t="s">
        <v>37</v>
      </c>
      <c r="C82" t="s">
        <v>38</v>
      </c>
      <c r="D82" t="s">
        <v>169</v>
      </c>
      <c r="E82" t="s">
        <v>229</v>
      </c>
      <c r="G82" s="4">
        <v>43948.674733796296</v>
      </c>
      <c r="H82" s="4">
        <v>43948.674733796296</v>
      </c>
      <c r="I82" t="s">
        <v>50</v>
      </c>
      <c r="J82" s="5">
        <v>0</v>
      </c>
      <c r="K82" t="s">
        <v>38</v>
      </c>
      <c r="M82">
        <v>64108</v>
      </c>
      <c r="N82" t="s">
        <v>229</v>
      </c>
      <c r="O82" t="s">
        <v>230</v>
      </c>
      <c r="P82" t="s">
        <v>38</v>
      </c>
      <c r="Q82" t="s">
        <v>50</v>
      </c>
      <c r="R82">
        <v>0</v>
      </c>
      <c r="S82" t="s">
        <v>45</v>
      </c>
      <c r="T82" t="str" s="2">
        <f>=HYPERLINK("http://demo.enginatics.com:80/ecc/user/applications/log/64107.log","http://demo.enginatics.com:80/ecc/user/applications/log/64107.log")</f>
        <v>"http://demo.enginatics.com:80/ecc/user/applications/log/64107.log")</v>
      </c>
      <c r="U82">
        <v>64109</v>
      </c>
      <c r="V82" t="s">
        <v>38</v>
      </c>
      <c r="W82" t="s">
        <v>50</v>
      </c>
      <c r="X82">
        <v>0</v>
      </c>
      <c r="Y82">
        <v>0</v>
      </c>
      <c r="Z82" t="s">
        <v>46</v>
      </c>
      <c r="AA82">
        <v>64110</v>
      </c>
      <c r="AB82" t="s">
        <v>231</v>
      </c>
      <c r="AC82" t="s">
        <v>68</v>
      </c>
      <c r="AD82" t="s">
        <v>38</v>
      </c>
      <c r="AE82" t="s">
        <v>49</v>
      </c>
      <c r="AF82" t="s">
        <v>50</v>
      </c>
      <c r="AG82">
        <v>0</v>
      </c>
      <c r="AH82">
        <v>0</v>
      </c>
      <c r="AI82" t="s">
        <v>51</v>
      </c>
      <c r="AJ82" t="s">
        <v>51</v>
      </c>
      <c r="AK82" t="s">
        <v>51</v>
      </c>
    </row>
    <row r="83" spans="1:37" x14ac:dyDescent="0.2">
      <c r="A83">
        <v>64103</v>
      </c>
      <c r="B83" t="s">
        <v>37</v>
      </c>
      <c r="C83" t="s">
        <v>38</v>
      </c>
      <c r="D83" t="s">
        <v>169</v>
      </c>
      <c r="E83" t="s">
        <v>232</v>
      </c>
      <c r="G83" s="4">
        <v>43948.674641203704</v>
      </c>
      <c r="H83" s="4">
        <v>43948.674641203704</v>
      </c>
      <c r="I83" t="s">
        <v>50</v>
      </c>
      <c r="J83" s="5">
        <v>0</v>
      </c>
      <c r="K83" t="s">
        <v>38</v>
      </c>
      <c r="M83">
        <v>64104</v>
      </c>
      <c r="N83" t="s">
        <v>232</v>
      </c>
      <c r="O83" t="s">
        <v>233</v>
      </c>
      <c r="P83" t="s">
        <v>38</v>
      </c>
      <c r="Q83" t="s">
        <v>50</v>
      </c>
      <c r="R83">
        <v>0</v>
      </c>
      <c r="S83" t="s">
        <v>45</v>
      </c>
      <c r="T83" t="str" s="2">
        <f>=HYPERLINK("http://demo.enginatics.com:80/ecc/user/applications/log/64103.log","http://demo.enginatics.com:80/ecc/user/applications/log/64103.log")</f>
        <v>"http://demo.enginatics.com:80/ecc/user/applications/log/64103.log")</v>
      </c>
      <c r="U83">
        <v>64105</v>
      </c>
      <c r="V83" t="s">
        <v>38</v>
      </c>
      <c r="W83" t="s">
        <v>50</v>
      </c>
      <c r="X83">
        <v>0</v>
      </c>
      <c r="Y83">
        <v>0</v>
      </c>
      <c r="Z83" t="s">
        <v>46</v>
      </c>
      <c r="AA83">
        <v>64106</v>
      </c>
      <c r="AB83" t="s">
        <v>234</v>
      </c>
      <c r="AC83" t="s">
        <v>68</v>
      </c>
      <c r="AD83" t="s">
        <v>38</v>
      </c>
      <c r="AE83" t="s">
        <v>49</v>
      </c>
      <c r="AF83" t="s">
        <v>50</v>
      </c>
      <c r="AG83">
        <v>0</v>
      </c>
      <c r="AH83">
        <v>0</v>
      </c>
      <c r="AI83" t="s">
        <v>51</v>
      </c>
      <c r="AJ83" t="s">
        <v>51</v>
      </c>
      <c r="AK83" t="s">
        <v>51</v>
      </c>
    </row>
    <row r="84" spans="1:37" x14ac:dyDescent="0.2">
      <c r="A84">
        <v>64099</v>
      </c>
      <c r="B84" t="s">
        <v>37</v>
      </c>
      <c r="C84" t="s">
        <v>38</v>
      </c>
      <c r="D84" t="s">
        <v>169</v>
      </c>
      <c r="E84" t="s">
        <v>235</v>
      </c>
      <c r="G84" s="4">
        <v>43948.674398148148</v>
      </c>
      <c r="H84" s="4">
        <v>43948.674537037037</v>
      </c>
      <c r="I84" t="s">
        <v>236</v>
      </c>
      <c r="J84" s="5">
        <v>12.00000000000000000000000000000000000001</v>
      </c>
      <c r="K84" t="s">
        <v>38</v>
      </c>
      <c r="M84">
        <v>64100</v>
      </c>
      <c r="N84" t="s">
        <v>235</v>
      </c>
      <c r="O84" t="s">
        <v>237</v>
      </c>
      <c r="P84" t="s">
        <v>38</v>
      </c>
      <c r="Q84" t="s">
        <v>236</v>
      </c>
      <c r="R84">
        <v>12.00000000000000000000000000000000000001</v>
      </c>
      <c r="S84" t="s">
        <v>45</v>
      </c>
      <c r="T84" t="str" s="2">
        <f>=HYPERLINK("http://demo.enginatics.com:80/ecc/user/applications/log/64099.log","http://demo.enginatics.com:80/ecc/user/applications/log/64099.log")</f>
        <v>"http://demo.enginatics.com:80/ecc/user/applications/log/64099.log")</v>
      </c>
      <c r="U84">
        <v>64101</v>
      </c>
      <c r="V84" t="s">
        <v>38</v>
      </c>
      <c r="W84" t="s">
        <v>238</v>
      </c>
      <c r="X84">
        <v>9.00000000000000000000000000000000000003</v>
      </c>
      <c r="Y84">
        <v>0</v>
      </c>
      <c r="Z84" t="s">
        <v>46</v>
      </c>
      <c r="AA84">
        <v>64102</v>
      </c>
      <c r="AB84" t="s">
        <v>239</v>
      </c>
      <c r="AC84" t="s">
        <v>68</v>
      </c>
      <c r="AD84" t="s">
        <v>38</v>
      </c>
      <c r="AE84" t="s">
        <v>240</v>
      </c>
      <c r="AF84" t="s">
        <v>78</v>
      </c>
      <c r="AG84">
        <v>5</v>
      </c>
      <c r="AH84">
        <v>0</v>
      </c>
      <c r="AI84" t="s">
        <v>241</v>
      </c>
      <c r="AJ84" t="s">
        <v>51</v>
      </c>
      <c r="AK84" t="s">
        <v>241</v>
      </c>
    </row>
    <row r="85" spans="1:37" x14ac:dyDescent="0.2">
      <c r="A85">
        <v>64094</v>
      </c>
      <c r="B85" t="s">
        <v>37</v>
      </c>
      <c r="C85" t="s">
        <v>38</v>
      </c>
      <c r="D85" t="s">
        <v>169</v>
      </c>
      <c r="E85" t="s">
        <v>242</v>
      </c>
      <c r="G85" s="4">
        <v>43948.674293981481</v>
      </c>
      <c r="H85" s="4">
        <v>43948.674305555556</v>
      </c>
      <c r="I85" t="s">
        <v>50</v>
      </c>
      <c r="J85" s="5">
        <v>.9999999999999999999999999999999999999996</v>
      </c>
      <c r="K85" t="s">
        <v>38</v>
      </c>
      <c r="M85">
        <v>64095</v>
      </c>
      <c r="N85" t="s">
        <v>242</v>
      </c>
      <c r="O85" t="s">
        <v>243</v>
      </c>
      <c r="P85" t="s">
        <v>38</v>
      </c>
      <c r="Q85" t="s">
        <v>50</v>
      </c>
      <c r="R85">
        <v>.9999999999999999999999999999999999999996</v>
      </c>
      <c r="S85" t="s">
        <v>45</v>
      </c>
      <c r="T85" t="str" s="2">
        <f>=HYPERLINK("http://demo.enginatics.com:80/ecc/user/applications/log/64094.log","http://demo.enginatics.com:80/ecc/user/applications/log/64094.log")</f>
        <v>"http://demo.enginatics.com:80/ecc/user/applications/log/64094.log")</v>
      </c>
      <c r="U85">
        <v>64096</v>
      </c>
      <c r="V85" t="s">
        <v>38</v>
      </c>
      <c r="W85" t="s">
        <v>50</v>
      </c>
      <c r="X85">
        <v>.9999999999999999999999999999999999999996</v>
      </c>
      <c r="Y85">
        <v>0</v>
      </c>
      <c r="Z85" t="s">
        <v>46</v>
      </c>
      <c r="AA85">
        <v>64098</v>
      </c>
      <c r="AB85" t="s">
        <v>244</v>
      </c>
      <c r="AC85" t="s">
        <v>56</v>
      </c>
      <c r="AD85" t="s">
        <v>38</v>
      </c>
      <c r="AE85" t="s">
        <v>49</v>
      </c>
      <c r="AF85" t="s">
        <v>50</v>
      </c>
      <c r="AG85">
        <v>0</v>
      </c>
      <c r="AH85">
        <v>0</v>
      </c>
      <c r="AI85" t="s">
        <v>51</v>
      </c>
      <c r="AJ85" t="s">
        <v>51</v>
      </c>
      <c r="AK85" t="s">
        <v>51</v>
      </c>
    </row>
    <row r="86" spans="1:37" x14ac:dyDescent="0.2">
      <c r="A86">
        <v>64094</v>
      </c>
      <c r="B86" t="s">
        <v>37</v>
      </c>
      <c r="C86" t="s">
        <v>38</v>
      </c>
      <c r="D86" t="s">
        <v>169</v>
      </c>
      <c r="E86" t="s">
        <v>242</v>
      </c>
      <c r="G86" s="4">
        <v>43948.674293981481</v>
      </c>
      <c r="H86" s="4">
        <v>43948.674305555556</v>
      </c>
      <c r="I86" t="s">
        <v>50</v>
      </c>
      <c r="J86" s="5">
        <v>.9999999999999999999999999999999999999996</v>
      </c>
      <c r="K86" t="s">
        <v>38</v>
      </c>
      <c r="M86">
        <v>64095</v>
      </c>
      <c r="N86" t="s">
        <v>242</v>
      </c>
      <c r="O86" t="s">
        <v>243</v>
      </c>
      <c r="P86" t="s">
        <v>38</v>
      </c>
      <c r="Q86" t="s">
        <v>50</v>
      </c>
      <c r="R86">
        <v>.9999999999999999999999999999999999999996</v>
      </c>
      <c r="S86" t="s">
        <v>45</v>
      </c>
      <c r="T86" t="str" s="2">
        <f>=HYPERLINK("http://demo.enginatics.com:80/ecc/user/applications/log/64094.log","http://demo.enginatics.com:80/ecc/user/applications/log/64094.log")</f>
        <v>"http://demo.enginatics.com:80/ecc/user/applications/log/64094.log")</v>
      </c>
      <c r="U86">
        <v>64096</v>
      </c>
      <c r="V86" t="s">
        <v>38</v>
      </c>
      <c r="W86" t="s">
        <v>50</v>
      </c>
      <c r="X86">
        <v>.9999999999999999999999999999999999999996</v>
      </c>
      <c r="Y86">
        <v>0</v>
      </c>
      <c r="Z86" t="s">
        <v>46</v>
      </c>
      <c r="AA86">
        <v>64097</v>
      </c>
      <c r="AB86" t="s">
        <v>245</v>
      </c>
      <c r="AC86" t="s">
        <v>68</v>
      </c>
      <c r="AD86" t="s">
        <v>38</v>
      </c>
      <c r="AE86" t="s">
        <v>49</v>
      </c>
      <c r="AF86" t="s">
        <v>50</v>
      </c>
      <c r="AG86">
        <v>0</v>
      </c>
      <c r="AH86">
        <v>0</v>
      </c>
      <c r="AI86" t="s">
        <v>51</v>
      </c>
      <c r="AJ86" t="s">
        <v>51</v>
      </c>
      <c r="AK86" t="s">
        <v>51</v>
      </c>
    </row>
    <row r="87" spans="1:37" x14ac:dyDescent="0.2">
      <c r="A87">
        <v>64090</v>
      </c>
      <c r="B87" t="s">
        <v>37</v>
      </c>
      <c r="C87" t="s">
        <v>38</v>
      </c>
      <c r="D87" t="s">
        <v>169</v>
      </c>
      <c r="E87" t="s">
        <v>246</v>
      </c>
      <c r="G87" s="4">
        <v>43948.671226851852</v>
      </c>
      <c r="H87" s="4">
        <v>43948.67130787037</v>
      </c>
      <c r="I87" t="s">
        <v>247</v>
      </c>
      <c r="J87" s="5">
        <v>7</v>
      </c>
      <c r="K87" t="s">
        <v>38</v>
      </c>
      <c r="M87">
        <v>64091</v>
      </c>
      <c r="N87" t="s">
        <v>246</v>
      </c>
      <c r="O87" t="s">
        <v>248</v>
      </c>
      <c r="P87" t="s">
        <v>38</v>
      </c>
      <c r="Q87" t="s">
        <v>75</v>
      </c>
      <c r="R87">
        <v>6</v>
      </c>
      <c r="S87" t="s">
        <v>45</v>
      </c>
      <c r="T87" t="str" s="2">
        <f>=HYPERLINK("http://demo.enginatics.com:80/ecc/user/applications/log/64090.log","http://demo.enginatics.com:80/ecc/user/applications/log/64090.log")</f>
        <v>"http://demo.enginatics.com:80/ecc/user/applications/log/64090.log")</v>
      </c>
      <c r="U87">
        <v>64092</v>
      </c>
      <c r="V87" t="s">
        <v>38</v>
      </c>
      <c r="W87" t="s">
        <v>75</v>
      </c>
      <c r="X87">
        <v>6</v>
      </c>
      <c r="Y87">
        <v>6</v>
      </c>
      <c r="Z87" t="s">
        <v>46</v>
      </c>
      <c r="AA87">
        <v>64093</v>
      </c>
      <c r="AB87" t="s">
        <v>249</v>
      </c>
      <c r="AC87" t="s">
        <v>68</v>
      </c>
      <c r="AD87" t="s">
        <v>38</v>
      </c>
      <c r="AE87" t="s">
        <v>49</v>
      </c>
      <c r="AF87" t="s">
        <v>50</v>
      </c>
      <c r="AG87">
        <v>0</v>
      </c>
      <c r="AH87">
        <v>0</v>
      </c>
      <c r="AI87" t="s">
        <v>51</v>
      </c>
      <c r="AJ87" t="s">
        <v>51</v>
      </c>
      <c r="AK87" t="s">
        <v>51</v>
      </c>
    </row>
    <row r="88" spans="1:37" x14ac:dyDescent="0.2">
      <c r="A88">
        <v>64086</v>
      </c>
      <c r="B88" t="s">
        <v>37</v>
      </c>
      <c r="C88" t="s">
        <v>38</v>
      </c>
      <c r="D88" t="s">
        <v>169</v>
      </c>
      <c r="E88" t="s">
        <v>250</v>
      </c>
      <c r="G88" s="4">
        <v>43948.670983796296</v>
      </c>
      <c r="H88" s="4">
        <v>43948.671018518519</v>
      </c>
      <c r="I88" t="s">
        <v>85</v>
      </c>
      <c r="J88" s="5">
        <v>3</v>
      </c>
      <c r="K88" t="s">
        <v>38</v>
      </c>
      <c r="M88">
        <v>64087</v>
      </c>
      <c r="N88" t="s">
        <v>250</v>
      </c>
      <c r="O88" t="s">
        <v>251</v>
      </c>
      <c r="P88" t="s">
        <v>38</v>
      </c>
      <c r="Q88" t="s">
        <v>88</v>
      </c>
      <c r="R88">
        <v>2</v>
      </c>
      <c r="S88" t="s">
        <v>45</v>
      </c>
      <c r="T88" t="str" s="2">
        <f>=HYPERLINK("http://demo.enginatics.com:80/ecc/user/applications/log/64086.log","http://demo.enginatics.com:80/ecc/user/applications/log/64086.log")</f>
        <v>"http://demo.enginatics.com:80/ecc/user/applications/log/64086.log")</v>
      </c>
      <c r="U88">
        <v>64088</v>
      </c>
      <c r="V88" t="s">
        <v>38</v>
      </c>
      <c r="W88" t="s">
        <v>50</v>
      </c>
      <c r="X88">
        <v>.9999999999999999999999999999999999999996</v>
      </c>
      <c r="Y88">
        <v>0</v>
      </c>
      <c r="Z88" t="s">
        <v>46</v>
      </c>
      <c r="AA88">
        <v>64089</v>
      </c>
      <c r="AB88" t="s">
        <v>252</v>
      </c>
      <c r="AC88" t="s">
        <v>68</v>
      </c>
      <c r="AD88" t="s">
        <v>38</v>
      </c>
      <c r="AE88" t="s">
        <v>49</v>
      </c>
      <c r="AF88" t="s">
        <v>50</v>
      </c>
      <c r="AG88">
        <v>0</v>
      </c>
      <c r="AH88">
        <v>0</v>
      </c>
      <c r="AI88" t="s">
        <v>51</v>
      </c>
      <c r="AJ88" t="s">
        <v>51</v>
      </c>
      <c r="AK88" t="s">
        <v>51</v>
      </c>
    </row>
    <row r="89" spans="1:37" x14ac:dyDescent="0.2">
      <c r="A89">
        <v>64082</v>
      </c>
      <c r="B89" t="s">
        <v>37</v>
      </c>
      <c r="C89" t="s">
        <v>38</v>
      </c>
      <c r="D89" t="s">
        <v>253</v>
      </c>
      <c r="E89" t="s">
        <v>254</v>
      </c>
      <c r="G89" s="4">
        <v>43948.666342592593</v>
      </c>
      <c r="H89" s="4">
        <v>43948.666342592593</v>
      </c>
      <c r="I89" t="s">
        <v>50</v>
      </c>
      <c r="J89" s="5">
        <v>0</v>
      </c>
      <c r="K89" t="s">
        <v>38</v>
      </c>
      <c r="M89">
        <v>64083</v>
      </c>
      <c r="N89" t="s">
        <v>254</v>
      </c>
      <c r="O89" t="s">
        <v>255</v>
      </c>
      <c r="P89" t="s">
        <v>38</v>
      </c>
      <c r="Q89" t="s">
        <v>50</v>
      </c>
      <c r="R89">
        <v>0</v>
      </c>
      <c r="S89" t="s">
        <v>45</v>
      </c>
      <c r="T89" t="str" s="2">
        <f>=HYPERLINK("http://demo.enginatics.com:80/ecc/user/applications/log/64082.log","http://demo.enginatics.com:80/ecc/user/applications/log/64082.log")</f>
        <v>"http://demo.enginatics.com:80/ecc/user/applications/log/64082.log")</v>
      </c>
      <c r="U89">
        <v>64084</v>
      </c>
      <c r="V89" t="s">
        <v>38</v>
      </c>
      <c r="W89" t="s">
        <v>50</v>
      </c>
      <c r="X89">
        <v>0</v>
      </c>
      <c r="Y89">
        <v>0</v>
      </c>
      <c r="Z89" t="s">
        <v>46</v>
      </c>
      <c r="AA89">
        <v>64085</v>
      </c>
      <c r="AB89" t="s">
        <v>256</v>
      </c>
      <c r="AC89" t="s">
        <v>68</v>
      </c>
      <c r="AD89" t="s">
        <v>38</v>
      </c>
      <c r="AE89" t="s">
        <v>49</v>
      </c>
      <c r="AF89" t="s">
        <v>50</v>
      </c>
      <c r="AG89">
        <v>0</v>
      </c>
      <c r="AH89">
        <v>0</v>
      </c>
      <c r="AI89" t="s">
        <v>51</v>
      </c>
      <c r="AJ89" t="s">
        <v>51</v>
      </c>
      <c r="AK89" t="s">
        <v>51</v>
      </c>
    </row>
    <row r="90" spans="1:37" x14ac:dyDescent="0.2">
      <c r="A90">
        <v>64078</v>
      </c>
      <c r="B90" t="s">
        <v>37</v>
      </c>
      <c r="C90" t="s">
        <v>38</v>
      </c>
      <c r="D90" t="s">
        <v>253</v>
      </c>
      <c r="E90" t="s">
        <v>257</v>
      </c>
      <c r="G90" s="4">
        <v>43948.666145833333</v>
      </c>
      <c r="H90" s="4">
        <v>43948.666215277778</v>
      </c>
      <c r="I90" t="s">
        <v>75</v>
      </c>
      <c r="J90" s="5">
        <v>6</v>
      </c>
      <c r="K90" t="s">
        <v>38</v>
      </c>
      <c r="M90">
        <v>64079</v>
      </c>
      <c r="N90" t="s">
        <v>257</v>
      </c>
      <c r="O90" t="s">
        <v>258</v>
      </c>
      <c r="P90" t="s">
        <v>38</v>
      </c>
      <c r="Q90" t="s">
        <v>75</v>
      </c>
      <c r="R90">
        <v>6</v>
      </c>
      <c r="S90" t="s">
        <v>45</v>
      </c>
      <c r="T90" t="str" s="2">
        <f>=HYPERLINK("http://demo.enginatics.com:80/ecc/user/applications/log/64078.log","http://demo.enginatics.com:80/ecc/user/applications/log/64078.log")</f>
        <v>"http://demo.enginatics.com:80/ecc/user/applications/log/64078.log")</v>
      </c>
      <c r="U90">
        <v>64080</v>
      </c>
      <c r="V90" t="s">
        <v>38</v>
      </c>
      <c r="W90" t="s">
        <v>78</v>
      </c>
      <c r="X90">
        <v>5</v>
      </c>
      <c r="Y90">
        <v>0</v>
      </c>
      <c r="Z90" t="s">
        <v>46</v>
      </c>
      <c r="AA90">
        <v>64081</v>
      </c>
      <c r="AB90" t="s">
        <v>259</v>
      </c>
      <c r="AC90" t="s">
        <v>68</v>
      </c>
      <c r="AD90" t="s">
        <v>38</v>
      </c>
      <c r="AE90" t="s">
        <v>260</v>
      </c>
      <c r="AF90" t="s">
        <v>78</v>
      </c>
      <c r="AG90">
        <v>5</v>
      </c>
      <c r="AH90">
        <v>2</v>
      </c>
      <c r="AI90" t="s">
        <v>261</v>
      </c>
      <c r="AJ90" t="s">
        <v>51</v>
      </c>
      <c r="AK90" t="s">
        <v>261</v>
      </c>
    </row>
    <row r="91" spans="1:37" x14ac:dyDescent="0.2">
      <c r="A91">
        <v>64073</v>
      </c>
      <c r="B91" t="s">
        <v>37</v>
      </c>
      <c r="C91" t="s">
        <v>38</v>
      </c>
      <c r="D91" t="s">
        <v>253</v>
      </c>
      <c r="E91" t="s">
        <v>262</v>
      </c>
      <c r="G91" s="4">
        <v>43948.66599537037</v>
      </c>
      <c r="H91" s="4">
        <v>43948.666006944444</v>
      </c>
      <c r="I91" t="s">
        <v>50</v>
      </c>
      <c r="J91" s="5">
        <v>.9999999999999999999999999999999999999996</v>
      </c>
      <c r="K91" t="s">
        <v>38</v>
      </c>
      <c r="M91">
        <v>64074</v>
      </c>
      <c r="N91" t="s">
        <v>262</v>
      </c>
      <c r="O91" t="s">
        <v>263</v>
      </c>
      <c r="P91" t="s">
        <v>38</v>
      </c>
      <c r="Q91" t="s">
        <v>50</v>
      </c>
      <c r="R91">
        <v>0</v>
      </c>
      <c r="S91" t="s">
        <v>45</v>
      </c>
      <c r="T91" t="str" s="2">
        <f>=HYPERLINK("http://demo.enginatics.com:80/ecc/user/applications/log/64073.log","http://demo.enginatics.com:80/ecc/user/applications/log/64073.log")</f>
        <v>"http://demo.enginatics.com:80/ecc/user/applications/log/64073.log")</v>
      </c>
      <c r="U91">
        <v>64075</v>
      </c>
      <c r="V91" t="s">
        <v>38</v>
      </c>
      <c r="W91" t="s">
        <v>50</v>
      </c>
      <c r="X91">
        <v>0</v>
      </c>
      <c r="Y91">
        <v>0</v>
      </c>
      <c r="Z91" t="s">
        <v>46</v>
      </c>
      <c r="AA91">
        <v>64077</v>
      </c>
      <c r="AB91" t="s">
        <v>264</v>
      </c>
      <c r="AC91" t="s">
        <v>68</v>
      </c>
      <c r="AD91" t="s">
        <v>38</v>
      </c>
      <c r="AE91" t="s">
        <v>49</v>
      </c>
      <c r="AF91" t="s">
        <v>50</v>
      </c>
      <c r="AG91">
        <v>0</v>
      </c>
      <c r="AH91">
        <v>0</v>
      </c>
      <c r="AI91" t="s">
        <v>51</v>
      </c>
      <c r="AJ91" t="s">
        <v>51</v>
      </c>
      <c r="AK91" t="s">
        <v>51</v>
      </c>
    </row>
    <row r="92" spans="1:37" x14ac:dyDescent="0.2">
      <c r="A92">
        <v>64073</v>
      </c>
      <c r="B92" t="s">
        <v>37</v>
      </c>
      <c r="C92" t="s">
        <v>38</v>
      </c>
      <c r="D92" t="s">
        <v>253</v>
      </c>
      <c r="E92" t="s">
        <v>262</v>
      </c>
      <c r="G92" s="4">
        <v>43948.66599537037</v>
      </c>
      <c r="H92" s="4">
        <v>43948.666006944444</v>
      </c>
      <c r="I92" t="s">
        <v>50</v>
      </c>
      <c r="J92" s="5">
        <v>.9999999999999999999999999999999999999996</v>
      </c>
      <c r="K92" t="s">
        <v>38</v>
      </c>
      <c r="M92">
        <v>64074</v>
      </c>
      <c r="N92" t="s">
        <v>262</v>
      </c>
      <c r="O92" t="s">
        <v>263</v>
      </c>
      <c r="P92" t="s">
        <v>38</v>
      </c>
      <c r="Q92" t="s">
        <v>50</v>
      </c>
      <c r="R92">
        <v>0</v>
      </c>
      <c r="S92" t="s">
        <v>45</v>
      </c>
      <c r="T92" t="str" s="2">
        <f>=HYPERLINK("http://demo.enginatics.com:80/ecc/user/applications/log/64073.log","http://demo.enginatics.com:80/ecc/user/applications/log/64073.log")</f>
        <v>"http://demo.enginatics.com:80/ecc/user/applications/log/64073.log")</v>
      </c>
      <c r="U92">
        <v>64075</v>
      </c>
      <c r="V92" t="s">
        <v>38</v>
      </c>
      <c r="W92" t="s">
        <v>50</v>
      </c>
      <c r="X92">
        <v>0</v>
      </c>
      <c r="Y92">
        <v>0</v>
      </c>
      <c r="Z92" t="s">
        <v>46</v>
      </c>
      <c r="AA92">
        <v>64076</v>
      </c>
      <c r="AB92" t="s">
        <v>265</v>
      </c>
      <c r="AC92" t="s">
        <v>56</v>
      </c>
      <c r="AD92" t="s">
        <v>38</v>
      </c>
      <c r="AE92" t="s">
        <v>49</v>
      </c>
      <c r="AF92" t="s">
        <v>50</v>
      </c>
      <c r="AG92">
        <v>0</v>
      </c>
      <c r="AH92">
        <v>0</v>
      </c>
      <c r="AI92" t="s">
        <v>51</v>
      </c>
      <c r="AJ92" t="s">
        <v>51</v>
      </c>
      <c r="AK92" t="s">
        <v>51</v>
      </c>
    </row>
    <row r="93" spans="1:37" x14ac:dyDescent="0.2">
      <c r="A93">
        <v>64067</v>
      </c>
      <c r="B93" t="s">
        <v>37</v>
      </c>
      <c r="C93" t="s">
        <v>38</v>
      </c>
      <c r="D93" t="s">
        <v>253</v>
      </c>
      <c r="E93" t="s">
        <v>266</v>
      </c>
      <c r="G93" s="4">
        <v>43948.665856481481</v>
      </c>
      <c r="H93" s="4">
        <v>43948.665868055556</v>
      </c>
      <c r="I93" t="s">
        <v>50</v>
      </c>
      <c r="J93" s="5">
        <v>.9999999999999999999999999999999999999996</v>
      </c>
      <c r="K93" t="s">
        <v>38</v>
      </c>
      <c r="M93">
        <v>64068</v>
      </c>
      <c r="N93" t="s">
        <v>266</v>
      </c>
      <c r="O93" t="s">
        <v>267</v>
      </c>
      <c r="P93" t="s">
        <v>38</v>
      </c>
      <c r="Q93" t="s">
        <v>50</v>
      </c>
      <c r="R93">
        <v>.9999999999999999999999999999999999999996</v>
      </c>
      <c r="S93" t="s">
        <v>45</v>
      </c>
      <c r="T93" t="str" s="2">
        <f>=HYPERLINK("http://demo.enginatics.com:80/ecc/user/applications/log/64067.log","http://demo.enginatics.com:80/ecc/user/applications/log/64067.log")</f>
        <v>"http://demo.enginatics.com:80/ecc/user/applications/log/64067.log")</v>
      </c>
      <c r="U93">
        <v>64071</v>
      </c>
      <c r="V93" t="s">
        <v>38</v>
      </c>
      <c r="W93" t="s">
        <v>50</v>
      </c>
      <c r="X93">
        <v>.9999999999999999999999999999999999999996</v>
      </c>
      <c r="Y93">
        <v>0</v>
      </c>
      <c r="Z93" t="s">
        <v>46</v>
      </c>
      <c r="AA93">
        <v>64072</v>
      </c>
      <c r="AB93" t="s">
        <v>268</v>
      </c>
      <c r="AC93" t="s">
        <v>48</v>
      </c>
      <c r="AD93" t="s">
        <v>38</v>
      </c>
      <c r="AE93" t="s">
        <v>49</v>
      </c>
      <c r="AF93" t="s">
        <v>50</v>
      </c>
      <c r="AG93">
        <v>0</v>
      </c>
      <c r="AH93">
        <v>0</v>
      </c>
      <c r="AI93" t="s">
        <v>51</v>
      </c>
      <c r="AJ93" t="s">
        <v>51</v>
      </c>
      <c r="AK93" t="s">
        <v>51</v>
      </c>
    </row>
    <row r="94" spans="1:37" x14ac:dyDescent="0.2">
      <c r="A94">
        <v>64067</v>
      </c>
      <c r="B94" t="s">
        <v>37</v>
      </c>
      <c r="C94" t="s">
        <v>38</v>
      </c>
      <c r="D94" t="s">
        <v>253</v>
      </c>
      <c r="E94" t="s">
        <v>266</v>
      </c>
      <c r="G94" s="4">
        <v>43948.665856481481</v>
      </c>
      <c r="H94" s="4">
        <v>43948.665868055556</v>
      </c>
      <c r="I94" t="s">
        <v>50</v>
      </c>
      <c r="J94" s="5">
        <v>.9999999999999999999999999999999999999996</v>
      </c>
      <c r="K94" t="s">
        <v>38</v>
      </c>
      <c r="M94">
        <v>64068</v>
      </c>
      <c r="N94" t="s">
        <v>266</v>
      </c>
      <c r="O94" t="s">
        <v>267</v>
      </c>
      <c r="P94" t="s">
        <v>38</v>
      </c>
      <c r="Q94" t="s">
        <v>50</v>
      </c>
      <c r="R94">
        <v>.9999999999999999999999999999999999999996</v>
      </c>
      <c r="S94" t="s">
        <v>45</v>
      </c>
      <c r="T94" t="str" s="2">
        <f>=HYPERLINK("http://demo.enginatics.com:80/ecc/user/applications/log/64067.log","http://demo.enginatics.com:80/ecc/user/applications/log/64067.log")</f>
        <v>"http://demo.enginatics.com:80/ecc/user/applications/log/64067.log")</v>
      </c>
      <c r="U94">
        <v>64069</v>
      </c>
      <c r="V94" t="s">
        <v>38</v>
      </c>
      <c r="W94" t="s">
        <v>50</v>
      </c>
      <c r="X94">
        <v>0</v>
      </c>
      <c r="Y94">
        <v>0</v>
      </c>
      <c r="Z94" t="s">
        <v>46</v>
      </c>
      <c r="AA94">
        <v>64070</v>
      </c>
      <c r="AB94" t="s">
        <v>269</v>
      </c>
      <c r="AC94" t="s">
        <v>56</v>
      </c>
      <c r="AD94" t="s">
        <v>38</v>
      </c>
      <c r="AE94" t="s">
        <v>49</v>
      </c>
      <c r="AF94" t="s">
        <v>50</v>
      </c>
      <c r="AG94">
        <v>0</v>
      </c>
      <c r="AH94">
        <v>0</v>
      </c>
      <c r="AI94" t="s">
        <v>51</v>
      </c>
      <c r="AJ94" t="s">
        <v>51</v>
      </c>
      <c r="AK94" t="s">
        <v>51</v>
      </c>
    </row>
    <row r="95" spans="1:37" x14ac:dyDescent="0.2">
      <c r="A95">
        <v>64042</v>
      </c>
      <c r="B95" t="s">
        <v>37</v>
      </c>
      <c r="C95" t="s">
        <v>38</v>
      </c>
      <c r="D95" t="s">
        <v>270</v>
      </c>
      <c r="E95" t="s">
        <v>40</v>
      </c>
      <c r="G95" s="4">
        <v>43948.665740740741</v>
      </c>
      <c r="H95" s="4">
        <v>43948.665810185185</v>
      </c>
      <c r="I95" t="s">
        <v>75</v>
      </c>
      <c r="J95" s="5">
        <v>6</v>
      </c>
      <c r="K95" t="s">
        <v>38</v>
      </c>
      <c r="M95">
        <v>64064</v>
      </c>
      <c r="N95" t="s">
        <v>271</v>
      </c>
      <c r="O95" t="s">
        <v>272</v>
      </c>
      <c r="P95" t="s">
        <v>38</v>
      </c>
      <c r="Q95" t="s">
        <v>50</v>
      </c>
      <c r="R95">
        <v>0</v>
      </c>
      <c r="S95" t="s">
        <v>45</v>
      </c>
      <c r="T95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95">
        <v>64065</v>
      </c>
      <c r="V95" t="s">
        <v>38</v>
      </c>
      <c r="W95" t="s">
        <v>50</v>
      </c>
      <c r="X95">
        <v>0</v>
      </c>
      <c r="Y95">
        <v>0</v>
      </c>
      <c r="Z95" t="s">
        <v>46</v>
      </c>
      <c r="AA95">
        <v>64066</v>
      </c>
      <c r="AB95" t="s">
        <v>273</v>
      </c>
      <c r="AC95" t="s">
        <v>68</v>
      </c>
      <c r="AD95" t="s">
        <v>38</v>
      </c>
      <c r="AE95" t="s">
        <v>49</v>
      </c>
      <c r="AF95" t="s">
        <v>50</v>
      </c>
      <c r="AG95">
        <v>0</v>
      </c>
      <c r="AH95">
        <v>0</v>
      </c>
      <c r="AI95" t="s">
        <v>51</v>
      </c>
      <c r="AJ95" t="s">
        <v>51</v>
      </c>
      <c r="AK95" t="s">
        <v>51</v>
      </c>
    </row>
    <row r="96" spans="1:37" x14ac:dyDescent="0.2">
      <c r="A96">
        <v>64042</v>
      </c>
      <c r="B96" t="s">
        <v>37</v>
      </c>
      <c r="C96" t="s">
        <v>38</v>
      </c>
      <c r="D96" t="s">
        <v>270</v>
      </c>
      <c r="E96" t="s">
        <v>40</v>
      </c>
      <c r="G96" s="4">
        <v>43948.665740740741</v>
      </c>
      <c r="H96" s="4">
        <v>43948.665810185185</v>
      </c>
      <c r="I96" t="s">
        <v>75</v>
      </c>
      <c r="J96" s="5">
        <v>6</v>
      </c>
      <c r="K96" t="s">
        <v>38</v>
      </c>
      <c r="M96">
        <v>64061</v>
      </c>
      <c r="N96" t="s">
        <v>274</v>
      </c>
      <c r="O96" t="s">
        <v>275</v>
      </c>
      <c r="P96" t="s">
        <v>38</v>
      </c>
      <c r="Q96" t="s">
        <v>50</v>
      </c>
      <c r="R96">
        <v>0</v>
      </c>
      <c r="S96" t="s">
        <v>45</v>
      </c>
      <c r="T96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96">
        <v>64062</v>
      </c>
      <c r="V96" t="s">
        <v>38</v>
      </c>
      <c r="W96" t="s">
        <v>50</v>
      </c>
      <c r="X96">
        <v>0</v>
      </c>
      <c r="Y96">
        <v>0</v>
      </c>
      <c r="Z96" t="s">
        <v>46</v>
      </c>
      <c r="AA96">
        <v>64063</v>
      </c>
      <c r="AB96" t="s">
        <v>276</v>
      </c>
      <c r="AC96" t="s">
        <v>68</v>
      </c>
      <c r="AD96" t="s">
        <v>38</v>
      </c>
      <c r="AE96" t="s">
        <v>49</v>
      </c>
      <c r="AF96" t="s">
        <v>50</v>
      </c>
      <c r="AG96">
        <v>0</v>
      </c>
      <c r="AH96">
        <v>0</v>
      </c>
      <c r="AI96" t="s">
        <v>51</v>
      </c>
      <c r="AJ96" t="s">
        <v>51</v>
      </c>
      <c r="AK96" t="s">
        <v>51</v>
      </c>
    </row>
    <row r="97" spans="1:37" x14ac:dyDescent="0.2">
      <c r="A97">
        <v>64042</v>
      </c>
      <c r="B97" t="s">
        <v>37</v>
      </c>
      <c r="C97" t="s">
        <v>38</v>
      </c>
      <c r="D97" t="s">
        <v>270</v>
      </c>
      <c r="E97" t="s">
        <v>40</v>
      </c>
      <c r="G97" s="4">
        <v>43948.665740740741</v>
      </c>
      <c r="H97" s="4">
        <v>43948.665810185185</v>
      </c>
      <c r="I97" t="s">
        <v>75</v>
      </c>
      <c r="J97" s="5">
        <v>6</v>
      </c>
      <c r="K97" t="s">
        <v>38</v>
      </c>
      <c r="M97">
        <v>64058</v>
      </c>
      <c r="N97" t="s">
        <v>277</v>
      </c>
      <c r="O97" t="s">
        <v>278</v>
      </c>
      <c r="P97" t="s">
        <v>38</v>
      </c>
      <c r="Q97" t="s">
        <v>50</v>
      </c>
      <c r="R97">
        <v>0</v>
      </c>
      <c r="S97" t="s">
        <v>45</v>
      </c>
      <c r="T97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97">
        <v>64059</v>
      </c>
      <c r="V97" t="s">
        <v>38</v>
      </c>
      <c r="W97" t="s">
        <v>50</v>
      </c>
      <c r="X97">
        <v>0</v>
      </c>
      <c r="Y97">
        <v>0</v>
      </c>
      <c r="Z97" t="s">
        <v>46</v>
      </c>
      <c r="AA97">
        <v>64060</v>
      </c>
      <c r="AB97" t="s">
        <v>279</v>
      </c>
      <c r="AC97" t="s">
        <v>68</v>
      </c>
      <c r="AD97" t="s">
        <v>38</v>
      </c>
      <c r="AE97" t="s">
        <v>49</v>
      </c>
      <c r="AF97" t="s">
        <v>50</v>
      </c>
      <c r="AG97">
        <v>0</v>
      </c>
      <c r="AH97">
        <v>0</v>
      </c>
      <c r="AI97" t="s">
        <v>51</v>
      </c>
      <c r="AJ97" t="s">
        <v>51</v>
      </c>
      <c r="AK97" t="s">
        <v>51</v>
      </c>
    </row>
    <row r="98" spans="1:37" x14ac:dyDescent="0.2">
      <c r="A98">
        <v>64042</v>
      </c>
      <c r="B98" t="s">
        <v>37</v>
      </c>
      <c r="C98" t="s">
        <v>38</v>
      </c>
      <c r="D98" t="s">
        <v>270</v>
      </c>
      <c r="E98" t="s">
        <v>40</v>
      </c>
      <c r="G98" s="4">
        <v>43948.665740740741</v>
      </c>
      <c r="H98" s="4">
        <v>43948.665810185185</v>
      </c>
      <c r="I98" t="s">
        <v>75</v>
      </c>
      <c r="J98" s="5">
        <v>6</v>
      </c>
      <c r="K98" t="s">
        <v>38</v>
      </c>
      <c r="M98">
        <v>64055</v>
      </c>
      <c r="N98" t="s">
        <v>280</v>
      </c>
      <c r="O98" t="s">
        <v>281</v>
      </c>
      <c r="P98" t="s">
        <v>38</v>
      </c>
      <c r="Q98" t="s">
        <v>50</v>
      </c>
      <c r="R98">
        <v>0</v>
      </c>
      <c r="S98" t="s">
        <v>45</v>
      </c>
      <c r="T98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98">
        <v>64056</v>
      </c>
      <c r="V98" t="s">
        <v>38</v>
      </c>
      <c r="W98" t="s">
        <v>50</v>
      </c>
      <c r="X98">
        <v>0</v>
      </c>
      <c r="Y98">
        <v>0</v>
      </c>
      <c r="Z98" t="s">
        <v>46</v>
      </c>
      <c r="AA98">
        <v>64057</v>
      </c>
      <c r="AB98" t="s">
        <v>282</v>
      </c>
      <c r="AC98" t="s">
        <v>68</v>
      </c>
      <c r="AD98" t="s">
        <v>38</v>
      </c>
      <c r="AE98" t="s">
        <v>49</v>
      </c>
      <c r="AF98" t="s">
        <v>50</v>
      </c>
      <c r="AG98">
        <v>0</v>
      </c>
      <c r="AH98">
        <v>0</v>
      </c>
      <c r="AI98" t="s">
        <v>51</v>
      </c>
      <c r="AJ98" t="s">
        <v>51</v>
      </c>
      <c r="AK98" t="s">
        <v>51</v>
      </c>
    </row>
    <row r="99" spans="1:37" x14ac:dyDescent="0.2">
      <c r="A99">
        <v>64042</v>
      </c>
      <c r="B99" t="s">
        <v>37</v>
      </c>
      <c r="C99" t="s">
        <v>38</v>
      </c>
      <c r="D99" t="s">
        <v>270</v>
      </c>
      <c r="E99" t="s">
        <v>40</v>
      </c>
      <c r="G99" s="4">
        <v>43948.665740740741</v>
      </c>
      <c r="H99" s="4">
        <v>43948.665810185185</v>
      </c>
      <c r="I99" t="s">
        <v>75</v>
      </c>
      <c r="J99" s="5">
        <v>6</v>
      </c>
      <c r="K99" t="s">
        <v>38</v>
      </c>
      <c r="M99">
        <v>64052</v>
      </c>
      <c r="N99" t="s">
        <v>283</v>
      </c>
      <c r="O99" t="s">
        <v>284</v>
      </c>
      <c r="P99" t="s">
        <v>38</v>
      </c>
      <c r="Q99" t="s">
        <v>75</v>
      </c>
      <c r="R99">
        <v>6</v>
      </c>
      <c r="S99" t="s">
        <v>45</v>
      </c>
      <c r="T99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99">
        <v>64053</v>
      </c>
      <c r="V99" t="s">
        <v>38</v>
      </c>
      <c r="W99" t="s">
        <v>75</v>
      </c>
      <c r="X99">
        <v>6</v>
      </c>
      <c r="Y99">
        <v>0</v>
      </c>
      <c r="Z99" t="s">
        <v>46</v>
      </c>
      <c r="AA99">
        <v>64054</v>
      </c>
      <c r="AB99" t="s">
        <v>285</v>
      </c>
      <c r="AC99" t="s">
        <v>68</v>
      </c>
      <c r="AD99" t="s">
        <v>38</v>
      </c>
      <c r="AE99" t="s">
        <v>49</v>
      </c>
      <c r="AF99" t="s">
        <v>75</v>
      </c>
      <c r="AG99">
        <v>6</v>
      </c>
      <c r="AH99">
        <v>5</v>
      </c>
      <c r="AI99" t="s">
        <v>51</v>
      </c>
      <c r="AJ99" t="s">
        <v>51</v>
      </c>
      <c r="AK99" t="s">
        <v>51</v>
      </c>
    </row>
    <row r="100" spans="1:37" x14ac:dyDescent="0.2">
      <c r="A100">
        <v>64042</v>
      </c>
      <c r="B100" t="s">
        <v>37</v>
      </c>
      <c r="C100" t="s">
        <v>38</v>
      </c>
      <c r="D100" t="s">
        <v>270</v>
      </c>
      <c r="E100" t="s">
        <v>40</v>
      </c>
      <c r="G100" s="4">
        <v>43948.665740740741</v>
      </c>
      <c r="H100" s="4">
        <v>43948.665810185185</v>
      </c>
      <c r="I100" t="s">
        <v>75</v>
      </c>
      <c r="J100" s="5">
        <v>6</v>
      </c>
      <c r="K100" t="s">
        <v>38</v>
      </c>
      <c r="M100">
        <v>64049</v>
      </c>
      <c r="N100" t="s">
        <v>286</v>
      </c>
      <c r="O100" t="s">
        <v>287</v>
      </c>
      <c r="P100" t="s">
        <v>38</v>
      </c>
      <c r="Q100" t="s">
        <v>50</v>
      </c>
      <c r="R100">
        <v>0</v>
      </c>
      <c r="S100" t="s">
        <v>45</v>
      </c>
      <c r="T100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100">
        <v>64050</v>
      </c>
      <c r="V100" t="s">
        <v>38</v>
      </c>
      <c r="W100" t="s">
        <v>50</v>
      </c>
      <c r="X100">
        <v>0</v>
      </c>
      <c r="Y100">
        <v>0</v>
      </c>
      <c r="Z100" t="s">
        <v>46</v>
      </c>
      <c r="AA100">
        <v>64051</v>
      </c>
      <c r="AB100" t="s">
        <v>288</v>
      </c>
      <c r="AC100" t="s">
        <v>68</v>
      </c>
      <c r="AD100" t="s">
        <v>38</v>
      </c>
      <c r="AE100" t="s">
        <v>49</v>
      </c>
      <c r="AF100" t="s">
        <v>50</v>
      </c>
      <c r="AG100">
        <v>0</v>
      </c>
      <c r="AH100">
        <v>0</v>
      </c>
      <c r="AI100" t="s">
        <v>51</v>
      </c>
      <c r="AJ100" t="s">
        <v>51</v>
      </c>
      <c r="AK100" t="s">
        <v>51</v>
      </c>
    </row>
    <row r="101" spans="1:37" x14ac:dyDescent="0.2">
      <c r="A101">
        <v>64042</v>
      </c>
      <c r="B101" t="s">
        <v>37</v>
      </c>
      <c r="C101" t="s">
        <v>38</v>
      </c>
      <c r="D101" t="s">
        <v>270</v>
      </c>
      <c r="E101" t="s">
        <v>40</v>
      </c>
      <c r="G101" s="4">
        <v>43948.665740740741</v>
      </c>
      <c r="H101" s="4">
        <v>43948.665810185185</v>
      </c>
      <c r="I101" t="s">
        <v>75</v>
      </c>
      <c r="J101" s="5">
        <v>6</v>
      </c>
      <c r="K101" t="s">
        <v>38</v>
      </c>
      <c r="M101">
        <v>64046</v>
      </c>
      <c r="N101" t="s">
        <v>289</v>
      </c>
      <c r="O101" t="s">
        <v>290</v>
      </c>
      <c r="P101" t="s">
        <v>38</v>
      </c>
      <c r="Q101" t="s">
        <v>50</v>
      </c>
      <c r="R101">
        <v>0</v>
      </c>
      <c r="S101" t="s">
        <v>45</v>
      </c>
      <c r="T101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101">
        <v>64047</v>
      </c>
      <c r="V101" t="s">
        <v>38</v>
      </c>
      <c r="W101" t="s">
        <v>50</v>
      </c>
      <c r="X101">
        <v>0</v>
      </c>
      <c r="Y101">
        <v>0</v>
      </c>
      <c r="Z101" t="s">
        <v>46</v>
      </c>
      <c r="AA101">
        <v>64048</v>
      </c>
      <c r="AB101" t="s">
        <v>291</v>
      </c>
      <c r="AC101" t="s">
        <v>68</v>
      </c>
      <c r="AD101" t="s">
        <v>38</v>
      </c>
      <c r="AE101" t="s">
        <v>49</v>
      </c>
      <c r="AF101" t="s">
        <v>50</v>
      </c>
      <c r="AG101">
        <v>0</v>
      </c>
      <c r="AH101">
        <v>0</v>
      </c>
      <c r="AI101" t="s">
        <v>51</v>
      </c>
      <c r="AJ101" t="s">
        <v>51</v>
      </c>
      <c r="AK101" t="s">
        <v>51</v>
      </c>
    </row>
    <row r="102" spans="1:37" x14ac:dyDescent="0.2">
      <c r="A102">
        <v>64042</v>
      </c>
      <c r="B102" t="s">
        <v>37</v>
      </c>
      <c r="C102" t="s">
        <v>38</v>
      </c>
      <c r="D102" t="s">
        <v>270</v>
      </c>
      <c r="E102" t="s">
        <v>40</v>
      </c>
      <c r="G102" s="4">
        <v>43948.665740740741</v>
      </c>
      <c r="H102" s="4">
        <v>43948.665810185185</v>
      </c>
      <c r="I102" t="s">
        <v>75</v>
      </c>
      <c r="J102" s="5">
        <v>6</v>
      </c>
      <c r="K102" t="s">
        <v>38</v>
      </c>
      <c r="M102">
        <v>64043</v>
      </c>
      <c r="N102" t="s">
        <v>292</v>
      </c>
      <c r="O102" t="s">
        <v>293</v>
      </c>
      <c r="P102" t="s">
        <v>38</v>
      </c>
      <c r="Q102" t="s">
        <v>50</v>
      </c>
      <c r="R102">
        <v>0</v>
      </c>
      <c r="S102" t="s">
        <v>45</v>
      </c>
      <c r="T102" t="str" s="2">
        <f>=HYPERLINK("http://demo.enginatics.com:80/ecc/user/applications/log/64042.log","http://demo.enginatics.com:80/ecc/user/applications/log/64042.log")</f>
        <v>"http://demo.enginatics.com:80/ecc/user/applications/log/64042.log")</v>
      </c>
      <c r="U102">
        <v>64044</v>
      </c>
      <c r="V102" t="s">
        <v>38</v>
      </c>
      <c r="W102" t="s">
        <v>50</v>
      </c>
      <c r="X102">
        <v>0</v>
      </c>
      <c r="Y102">
        <v>0</v>
      </c>
      <c r="Z102" t="s">
        <v>46</v>
      </c>
      <c r="AA102">
        <v>64045</v>
      </c>
      <c r="AB102" t="s">
        <v>294</v>
      </c>
      <c r="AC102" t="s">
        <v>68</v>
      </c>
      <c r="AD102" t="s">
        <v>38</v>
      </c>
      <c r="AE102" t="s">
        <v>49</v>
      </c>
      <c r="AF102" t="s">
        <v>50</v>
      </c>
      <c r="AG102">
        <v>0</v>
      </c>
      <c r="AH102">
        <v>0</v>
      </c>
      <c r="AI102" t="s">
        <v>51</v>
      </c>
      <c r="AJ102" t="s">
        <v>51</v>
      </c>
      <c r="AK102" t="s">
        <v>51</v>
      </c>
    </row>
    <row r="103" spans="1:37" x14ac:dyDescent="0.2">
      <c r="A103">
        <v>64035</v>
      </c>
      <c r="B103" t="s">
        <v>37</v>
      </c>
      <c r="C103" t="s">
        <v>38</v>
      </c>
      <c r="D103" t="s">
        <v>295</v>
      </c>
      <c r="E103" t="s">
        <v>296</v>
      </c>
      <c r="G103" s="4">
        <v>43948.663865740741</v>
      </c>
      <c r="H103" s="4">
        <v>43948.663877314815</v>
      </c>
      <c r="I103" t="s">
        <v>50</v>
      </c>
      <c r="J103" s="5">
        <v>.9999999999999999999999999999999999999996</v>
      </c>
      <c r="K103" t="s">
        <v>38</v>
      </c>
      <c r="M103">
        <v>64037</v>
      </c>
      <c r="N103" t="s">
        <v>296</v>
      </c>
      <c r="O103" t="s">
        <v>297</v>
      </c>
      <c r="P103" t="s">
        <v>38</v>
      </c>
      <c r="Q103" t="s">
        <v>50</v>
      </c>
      <c r="R103">
        <v>0</v>
      </c>
      <c r="S103" t="s">
        <v>45</v>
      </c>
      <c r="T103" t="str" s="2">
        <f>=HYPERLINK("http://demo.enginatics.com:80/ecc/user/applications/log/64035.log","http://demo.enginatics.com:80/ecc/user/applications/log/64035.log")</f>
        <v>"http://demo.enginatics.com:80/ecc/user/applications/log/64035.log")</v>
      </c>
      <c r="U103">
        <v>64038</v>
      </c>
      <c r="V103" t="s">
        <v>38</v>
      </c>
      <c r="W103" t="s">
        <v>50</v>
      </c>
      <c r="X103">
        <v>0</v>
      </c>
      <c r="Y103">
        <v>0</v>
      </c>
      <c r="Z103" t="s">
        <v>46</v>
      </c>
      <c r="AA103">
        <v>64039</v>
      </c>
      <c r="AB103" t="s">
        <v>298</v>
      </c>
      <c r="AC103" t="s">
        <v>68</v>
      </c>
      <c r="AD103" t="s">
        <v>38</v>
      </c>
      <c r="AE103" t="s">
        <v>49</v>
      </c>
      <c r="AF103" t="s">
        <v>50</v>
      </c>
      <c r="AG103">
        <v>0</v>
      </c>
      <c r="AH103">
        <v>0</v>
      </c>
      <c r="AI103" t="s">
        <v>51</v>
      </c>
      <c r="AJ103" t="s">
        <v>51</v>
      </c>
      <c r="AK103" t="s">
        <v>51</v>
      </c>
    </row>
    <row r="104" spans="1:37" x14ac:dyDescent="0.2">
      <c r="A104">
        <v>64032</v>
      </c>
      <c r="B104" t="s">
        <v>37</v>
      </c>
      <c r="C104" t="s">
        <v>38</v>
      </c>
      <c r="D104" t="s">
        <v>295</v>
      </c>
      <c r="E104" t="s">
        <v>299</v>
      </c>
      <c r="G104" s="4">
        <v>43948.663831018519</v>
      </c>
      <c r="H104" s="4">
        <v>43948.663946759259</v>
      </c>
      <c r="I104" t="s">
        <v>300</v>
      </c>
      <c r="J104" s="5">
        <v>10.00000000000000000000000000000000000002</v>
      </c>
      <c r="K104" t="s">
        <v>38</v>
      </c>
      <c r="M104">
        <v>64033</v>
      </c>
      <c r="N104" t="s">
        <v>299</v>
      </c>
      <c r="O104" t="s">
        <v>301</v>
      </c>
      <c r="P104" t="s">
        <v>38</v>
      </c>
      <c r="Q104" t="s">
        <v>300</v>
      </c>
      <c r="R104">
        <v>10.00000000000000000000000000000000000002</v>
      </c>
      <c r="S104" t="s">
        <v>45</v>
      </c>
      <c r="T104" t="str" s="2">
        <f>=HYPERLINK("http://demo.enginatics.com:80/ecc/user/applications/log/64032.log","http://demo.enginatics.com:80/ecc/user/applications/log/64032.log")</f>
        <v>"http://demo.enginatics.com:80/ecc/user/applications/log/64032.log")</v>
      </c>
      <c r="U104">
        <v>64034</v>
      </c>
      <c r="V104" t="s">
        <v>38</v>
      </c>
      <c r="W104" t="s">
        <v>300</v>
      </c>
      <c r="X104">
        <v>10.00000000000000000000000000000000000002</v>
      </c>
      <c r="Y104">
        <v>10</v>
      </c>
      <c r="Z104" t="s">
        <v>46</v>
      </c>
      <c r="AA104">
        <v>64041</v>
      </c>
      <c r="AB104" t="s">
        <v>302</v>
      </c>
      <c r="AC104" t="s">
        <v>68</v>
      </c>
      <c r="AD104" t="s">
        <v>38</v>
      </c>
      <c r="AE104" t="s">
        <v>49</v>
      </c>
      <c r="AF104" t="s">
        <v>50</v>
      </c>
      <c r="AG104">
        <v>0</v>
      </c>
      <c r="AH104">
        <v>0</v>
      </c>
      <c r="AI104" t="s">
        <v>51</v>
      </c>
      <c r="AJ104" t="s">
        <v>51</v>
      </c>
      <c r="AK104" t="s">
        <v>51</v>
      </c>
    </row>
    <row r="105" spans="1:37" x14ac:dyDescent="0.2">
      <c r="A105">
        <v>64032</v>
      </c>
      <c r="B105" t="s">
        <v>37</v>
      </c>
      <c r="C105" t="s">
        <v>38</v>
      </c>
      <c r="D105" t="s">
        <v>295</v>
      </c>
      <c r="E105" t="s">
        <v>299</v>
      </c>
      <c r="G105" s="4">
        <v>43948.663831018519</v>
      </c>
      <c r="H105" s="4">
        <v>43948.663946759259</v>
      </c>
      <c r="I105" t="s">
        <v>300</v>
      </c>
      <c r="J105" s="5">
        <v>10.00000000000000000000000000000000000002</v>
      </c>
      <c r="K105" t="s">
        <v>38</v>
      </c>
      <c r="M105">
        <v>64033</v>
      </c>
      <c r="N105" t="s">
        <v>299</v>
      </c>
      <c r="O105" t="s">
        <v>301</v>
      </c>
      <c r="P105" t="s">
        <v>38</v>
      </c>
      <c r="Q105" t="s">
        <v>300</v>
      </c>
      <c r="R105">
        <v>10.00000000000000000000000000000000000002</v>
      </c>
      <c r="S105" t="s">
        <v>45</v>
      </c>
      <c r="T105" t="str" s="2">
        <f>=HYPERLINK("http://demo.enginatics.com:80/ecc/user/applications/log/64032.log","http://demo.enginatics.com:80/ecc/user/applications/log/64032.log")</f>
        <v>"http://demo.enginatics.com:80/ecc/user/applications/log/64032.log")</v>
      </c>
      <c r="U105">
        <v>64034</v>
      </c>
      <c r="V105" t="s">
        <v>38</v>
      </c>
      <c r="W105" t="s">
        <v>300</v>
      </c>
      <c r="X105">
        <v>10.00000000000000000000000000000000000002</v>
      </c>
      <c r="Y105">
        <v>10</v>
      </c>
      <c r="Z105" t="s">
        <v>46</v>
      </c>
      <c r="AA105">
        <v>64040</v>
      </c>
      <c r="AB105" t="s">
        <v>303</v>
      </c>
      <c r="AC105" t="s">
        <v>56</v>
      </c>
      <c r="AD105" t="s">
        <v>38</v>
      </c>
      <c r="AE105" t="s">
        <v>49</v>
      </c>
      <c r="AF105" t="s">
        <v>50</v>
      </c>
      <c r="AG105">
        <v>0</v>
      </c>
      <c r="AH105">
        <v>0</v>
      </c>
      <c r="AI105" t="s">
        <v>51</v>
      </c>
      <c r="AJ105" t="s">
        <v>51</v>
      </c>
      <c r="AK105" t="s">
        <v>51</v>
      </c>
    </row>
    <row r="106" spans="1:37" x14ac:dyDescent="0.2">
      <c r="A106">
        <v>64027</v>
      </c>
      <c r="B106" t="s">
        <v>37</v>
      </c>
      <c r="C106" t="s">
        <v>38</v>
      </c>
      <c r="D106" t="s">
        <v>295</v>
      </c>
      <c r="E106" t="s">
        <v>304</v>
      </c>
      <c r="G106" s="4">
        <v>43948.663703703704</v>
      </c>
      <c r="H106" s="4">
        <v>43948.663715277778</v>
      </c>
      <c r="I106" t="s">
        <v>50</v>
      </c>
      <c r="J106" s="5">
        <v>.9999999999999999999999999999999999999996</v>
      </c>
      <c r="K106" t="s">
        <v>38</v>
      </c>
      <c r="M106">
        <v>64028</v>
      </c>
      <c r="N106" t="s">
        <v>304</v>
      </c>
      <c r="O106" t="s">
        <v>305</v>
      </c>
      <c r="P106" t="s">
        <v>38</v>
      </c>
      <c r="Q106" t="s">
        <v>50</v>
      </c>
      <c r="R106">
        <v>.9999999999999999999999999999999999999996</v>
      </c>
      <c r="S106" t="s">
        <v>45</v>
      </c>
      <c r="T106" t="str" s="2">
        <f>=HYPERLINK("http://demo.enginatics.com:80/ecc/user/applications/log/64027.log","http://demo.enginatics.com:80/ecc/user/applications/log/64027.log")</f>
        <v>"http://demo.enginatics.com:80/ecc/user/applications/log/64027.log")</v>
      </c>
      <c r="U106">
        <v>64029</v>
      </c>
      <c r="V106" t="s">
        <v>38</v>
      </c>
      <c r="W106" t="s">
        <v>50</v>
      </c>
      <c r="X106">
        <v>.9999999999999999999999999999999999999996</v>
      </c>
      <c r="Y106">
        <v>1</v>
      </c>
      <c r="Z106" t="s">
        <v>46</v>
      </c>
      <c r="AA106">
        <v>64030</v>
      </c>
      <c r="AB106" t="s">
        <v>306</v>
      </c>
      <c r="AC106" t="s">
        <v>68</v>
      </c>
      <c r="AD106" t="s">
        <v>38</v>
      </c>
      <c r="AE106" t="s">
        <v>49</v>
      </c>
      <c r="AF106" t="s">
        <v>50</v>
      </c>
      <c r="AG106">
        <v>0</v>
      </c>
      <c r="AH106">
        <v>0</v>
      </c>
      <c r="AI106" t="s">
        <v>51</v>
      </c>
      <c r="AJ106" t="s">
        <v>51</v>
      </c>
      <c r="AK106" t="s">
        <v>51</v>
      </c>
    </row>
    <row r="107" spans="1:37" x14ac:dyDescent="0.2">
      <c r="A107">
        <v>64020</v>
      </c>
      <c r="B107" t="s">
        <v>37</v>
      </c>
      <c r="C107" t="s">
        <v>38</v>
      </c>
      <c r="D107" t="s">
        <v>307</v>
      </c>
      <c r="E107" t="s">
        <v>40</v>
      </c>
      <c r="G107" s="4">
        <v>43948.663564814815</v>
      </c>
      <c r="H107" s="4">
        <v>43948.663877314815</v>
      </c>
      <c r="I107" t="s">
        <v>308</v>
      </c>
      <c r="J107" s="5">
        <v>27</v>
      </c>
      <c r="K107" t="s">
        <v>38</v>
      </c>
      <c r="M107">
        <v>64024</v>
      </c>
      <c r="N107" t="s">
        <v>309</v>
      </c>
      <c r="O107" t="s">
        <v>310</v>
      </c>
      <c r="P107" t="s">
        <v>38</v>
      </c>
      <c r="Q107" t="s">
        <v>308</v>
      </c>
      <c r="R107">
        <v>27</v>
      </c>
      <c r="S107" t="s">
        <v>45</v>
      </c>
      <c r="T107" t="str" s="2">
        <f>=HYPERLINK("http://demo.enginatics.com:80/ecc/user/applications/log/64020.log","http://demo.enginatics.com:80/ecc/user/applications/log/64020.log")</f>
        <v>"http://demo.enginatics.com:80/ecc/user/applications/log/64020.log")</v>
      </c>
      <c r="U107">
        <v>64025</v>
      </c>
      <c r="V107" t="s">
        <v>38</v>
      </c>
      <c r="W107" t="s">
        <v>308</v>
      </c>
      <c r="X107">
        <v>27</v>
      </c>
      <c r="Y107">
        <v>0</v>
      </c>
      <c r="Z107" t="s">
        <v>46</v>
      </c>
      <c r="AA107">
        <v>64036</v>
      </c>
      <c r="AB107" t="s">
        <v>311</v>
      </c>
      <c r="AC107" t="s">
        <v>56</v>
      </c>
      <c r="AD107" t="s">
        <v>38</v>
      </c>
      <c r="AE107" t="s">
        <v>49</v>
      </c>
      <c r="AF107" t="s">
        <v>50</v>
      </c>
      <c r="AG107">
        <v>0</v>
      </c>
      <c r="AH107">
        <v>0</v>
      </c>
      <c r="AI107" t="s">
        <v>51</v>
      </c>
      <c r="AJ107" t="s">
        <v>51</v>
      </c>
      <c r="AK107" t="s">
        <v>51</v>
      </c>
    </row>
    <row r="108" spans="1:37" x14ac:dyDescent="0.2">
      <c r="A108">
        <v>64020</v>
      </c>
      <c r="B108" t="s">
        <v>37</v>
      </c>
      <c r="C108" t="s">
        <v>38</v>
      </c>
      <c r="D108" t="s">
        <v>307</v>
      </c>
      <c r="E108" t="s">
        <v>40</v>
      </c>
      <c r="G108" s="4">
        <v>43948.663564814815</v>
      </c>
      <c r="H108" s="4">
        <v>43948.663877314815</v>
      </c>
      <c r="I108" t="s">
        <v>308</v>
      </c>
      <c r="J108" s="5">
        <v>27</v>
      </c>
      <c r="K108" t="s">
        <v>38</v>
      </c>
      <c r="M108">
        <v>64024</v>
      </c>
      <c r="N108" t="s">
        <v>309</v>
      </c>
      <c r="O108" t="s">
        <v>310</v>
      </c>
      <c r="P108" t="s">
        <v>38</v>
      </c>
      <c r="Q108" t="s">
        <v>308</v>
      </c>
      <c r="R108">
        <v>27</v>
      </c>
      <c r="S108" t="s">
        <v>45</v>
      </c>
      <c r="T108" t="str" s="2">
        <f>=HYPERLINK("http://demo.enginatics.com:80/ecc/user/applications/log/64020.log","http://demo.enginatics.com:80/ecc/user/applications/log/64020.log")</f>
        <v>"http://demo.enginatics.com:80/ecc/user/applications/log/64020.log")</v>
      </c>
      <c r="U108">
        <v>64025</v>
      </c>
      <c r="V108" t="s">
        <v>38</v>
      </c>
      <c r="W108" t="s">
        <v>308</v>
      </c>
      <c r="X108">
        <v>27</v>
      </c>
      <c r="Y108">
        <v>0</v>
      </c>
      <c r="Z108" t="s">
        <v>46</v>
      </c>
      <c r="AA108">
        <v>64031</v>
      </c>
      <c r="AB108" t="s">
        <v>312</v>
      </c>
      <c r="AC108" t="s">
        <v>97</v>
      </c>
      <c r="AD108" t="s">
        <v>38</v>
      </c>
      <c r="AE108" t="s">
        <v>49</v>
      </c>
      <c r="AF108" t="s">
        <v>313</v>
      </c>
      <c r="AG108">
        <v>13</v>
      </c>
      <c r="AH108">
        <v>12</v>
      </c>
      <c r="AI108" t="s">
        <v>51</v>
      </c>
      <c r="AJ108" t="s">
        <v>51</v>
      </c>
      <c r="AK108" t="s">
        <v>51</v>
      </c>
    </row>
    <row r="109" spans="1:37" x14ac:dyDescent="0.2">
      <c r="A109">
        <v>64020</v>
      </c>
      <c r="B109" t="s">
        <v>37</v>
      </c>
      <c r="C109" t="s">
        <v>38</v>
      </c>
      <c r="D109" t="s">
        <v>307</v>
      </c>
      <c r="E109" t="s">
        <v>40</v>
      </c>
      <c r="G109" s="4">
        <v>43948.663564814815</v>
      </c>
      <c r="H109" s="4">
        <v>43948.663877314815</v>
      </c>
      <c r="I109" t="s">
        <v>308</v>
      </c>
      <c r="J109" s="5">
        <v>27</v>
      </c>
      <c r="K109" t="s">
        <v>38</v>
      </c>
      <c r="M109">
        <v>64024</v>
      </c>
      <c r="N109" t="s">
        <v>309</v>
      </c>
      <c r="O109" t="s">
        <v>310</v>
      </c>
      <c r="P109" t="s">
        <v>38</v>
      </c>
      <c r="Q109" t="s">
        <v>308</v>
      </c>
      <c r="R109">
        <v>27</v>
      </c>
      <c r="S109" t="s">
        <v>45</v>
      </c>
      <c r="T109" t="str" s="2">
        <f>=HYPERLINK("http://demo.enginatics.com:80/ecc/user/applications/log/64020.log","http://demo.enginatics.com:80/ecc/user/applications/log/64020.log")</f>
        <v>"http://demo.enginatics.com:80/ecc/user/applications/log/64020.log")</v>
      </c>
      <c r="U109">
        <v>64025</v>
      </c>
      <c r="V109" t="s">
        <v>38</v>
      </c>
      <c r="W109" t="s">
        <v>308</v>
      </c>
      <c r="X109">
        <v>27</v>
      </c>
      <c r="Y109">
        <v>0</v>
      </c>
      <c r="Z109" t="s">
        <v>46</v>
      </c>
      <c r="AA109">
        <v>64026</v>
      </c>
      <c r="AB109" t="s">
        <v>314</v>
      </c>
      <c r="AC109" t="s">
        <v>97</v>
      </c>
      <c r="AD109" t="s">
        <v>38</v>
      </c>
      <c r="AE109" t="s">
        <v>49</v>
      </c>
      <c r="AF109" t="s">
        <v>315</v>
      </c>
      <c r="AG109">
        <v>14</v>
      </c>
      <c r="AH109">
        <v>12</v>
      </c>
      <c r="AI109" t="s">
        <v>51</v>
      </c>
      <c r="AJ109" t="s">
        <v>51</v>
      </c>
      <c r="AK109" t="s">
        <v>51</v>
      </c>
    </row>
    <row r="110" spans="1:37" x14ac:dyDescent="0.2">
      <c r="A110">
        <v>64020</v>
      </c>
      <c r="B110" t="s">
        <v>37</v>
      </c>
      <c r="C110" t="s">
        <v>38</v>
      </c>
      <c r="D110" t="s">
        <v>307</v>
      </c>
      <c r="E110" t="s">
        <v>40</v>
      </c>
      <c r="G110" s="4">
        <v>43948.663564814815</v>
      </c>
      <c r="H110" s="4">
        <v>43948.663877314815</v>
      </c>
      <c r="I110" t="s">
        <v>308</v>
      </c>
      <c r="J110" s="5">
        <v>27</v>
      </c>
      <c r="K110" t="s">
        <v>38</v>
      </c>
      <c r="M110">
        <v>64021</v>
      </c>
      <c r="N110" t="s">
        <v>316</v>
      </c>
      <c r="O110" t="s">
        <v>317</v>
      </c>
      <c r="P110" t="s">
        <v>38</v>
      </c>
      <c r="Q110" t="s">
        <v>50</v>
      </c>
      <c r="R110">
        <v>0</v>
      </c>
      <c r="S110" t="s">
        <v>45</v>
      </c>
      <c r="T110" t="str" s="2">
        <f>=HYPERLINK("http://demo.enginatics.com:80/ecc/user/applications/log/64020.log","http://demo.enginatics.com:80/ecc/user/applications/log/64020.log")</f>
        <v>"http://demo.enginatics.com:80/ecc/user/applications/log/64020.log")</v>
      </c>
      <c r="U110">
        <v>64022</v>
      </c>
      <c r="V110" t="s">
        <v>38</v>
      </c>
      <c r="W110" t="s">
        <v>50</v>
      </c>
      <c r="X110">
        <v>0</v>
      </c>
      <c r="Y110">
        <v>0</v>
      </c>
      <c r="Z110" t="s">
        <v>46</v>
      </c>
      <c r="AA110">
        <v>64023</v>
      </c>
      <c r="AB110" t="s">
        <v>318</v>
      </c>
      <c r="AC110" t="s">
        <v>97</v>
      </c>
      <c r="AD110" t="s">
        <v>38</v>
      </c>
      <c r="AE110" t="s">
        <v>49</v>
      </c>
      <c r="AF110" t="s">
        <v>50</v>
      </c>
      <c r="AG110">
        <v>0</v>
      </c>
      <c r="AH110">
        <v>0</v>
      </c>
      <c r="AI110" t="s">
        <v>51</v>
      </c>
      <c r="AJ110" t="s">
        <v>51</v>
      </c>
      <c r="AK110" t="s">
        <v>51</v>
      </c>
    </row>
    <row r="111" spans="1:37" x14ac:dyDescent="0.2">
      <c r="A111">
        <v>63996</v>
      </c>
      <c r="B111" t="s">
        <v>37</v>
      </c>
      <c r="C111" t="s">
        <v>38</v>
      </c>
      <c r="D111" t="s">
        <v>253</v>
      </c>
      <c r="E111" t="s">
        <v>319</v>
      </c>
      <c r="G111" s="4">
        <v>43948.66318287037</v>
      </c>
      <c r="H111" s="4">
        <v>43948.663217592593</v>
      </c>
      <c r="I111" t="s">
        <v>85</v>
      </c>
      <c r="J111" s="5">
        <v>3</v>
      </c>
      <c r="K111" t="s">
        <v>38</v>
      </c>
      <c r="M111">
        <v>63997</v>
      </c>
      <c r="N111" t="s">
        <v>319</v>
      </c>
      <c r="O111" t="s">
        <v>320</v>
      </c>
      <c r="P111" t="s">
        <v>38</v>
      </c>
      <c r="Q111" t="s">
        <v>85</v>
      </c>
      <c r="R111">
        <v>3</v>
      </c>
      <c r="S111" t="s">
        <v>45</v>
      </c>
      <c r="T111" t="str" s="2">
        <f>=HYPERLINK("http://demo.enginatics.com:80/ecc/user/applications/log/63996.log","http://demo.enginatics.com:80/ecc/user/applications/log/63996.log")</f>
        <v>"http://demo.enginatics.com:80/ecc/user/applications/log/63996.log")</v>
      </c>
      <c r="U111">
        <v>63998</v>
      </c>
      <c r="V111" t="s">
        <v>38</v>
      </c>
      <c r="W111" t="s">
        <v>85</v>
      </c>
      <c r="X111">
        <v>3</v>
      </c>
      <c r="Y111">
        <v>2</v>
      </c>
      <c r="Z111" t="s">
        <v>46</v>
      </c>
      <c r="AA111">
        <v>64000</v>
      </c>
      <c r="AB111" t="s">
        <v>321</v>
      </c>
      <c r="AC111" t="s">
        <v>68</v>
      </c>
      <c r="AD111" t="s">
        <v>38</v>
      </c>
      <c r="AE111" t="s">
        <v>49</v>
      </c>
      <c r="AF111" t="s">
        <v>50</v>
      </c>
      <c r="AG111">
        <v>0</v>
      </c>
      <c r="AH111">
        <v>0</v>
      </c>
      <c r="AI111" t="s">
        <v>51</v>
      </c>
      <c r="AJ111" t="s">
        <v>51</v>
      </c>
      <c r="AK111" t="s">
        <v>51</v>
      </c>
    </row>
    <row r="112" spans="1:37" x14ac:dyDescent="0.2">
      <c r="A112">
        <v>63996</v>
      </c>
      <c r="B112" t="s">
        <v>37</v>
      </c>
      <c r="C112" t="s">
        <v>38</v>
      </c>
      <c r="D112" t="s">
        <v>253</v>
      </c>
      <c r="E112" t="s">
        <v>319</v>
      </c>
      <c r="G112" s="4">
        <v>43948.66318287037</v>
      </c>
      <c r="H112" s="4">
        <v>43948.663217592593</v>
      </c>
      <c r="I112" t="s">
        <v>85</v>
      </c>
      <c r="J112" s="5">
        <v>3</v>
      </c>
      <c r="K112" t="s">
        <v>38</v>
      </c>
      <c r="M112">
        <v>63997</v>
      </c>
      <c r="N112" t="s">
        <v>319</v>
      </c>
      <c r="O112" t="s">
        <v>320</v>
      </c>
      <c r="P112" t="s">
        <v>38</v>
      </c>
      <c r="Q112" t="s">
        <v>85</v>
      </c>
      <c r="R112">
        <v>3</v>
      </c>
      <c r="S112" t="s">
        <v>45</v>
      </c>
      <c r="T112" t="str" s="2">
        <f>=HYPERLINK("http://demo.enginatics.com:80/ecc/user/applications/log/63996.log","http://demo.enginatics.com:80/ecc/user/applications/log/63996.log")</f>
        <v>"http://demo.enginatics.com:80/ecc/user/applications/log/63996.log")</v>
      </c>
      <c r="U112">
        <v>63998</v>
      </c>
      <c r="V112" t="s">
        <v>38</v>
      </c>
      <c r="W112" t="s">
        <v>85</v>
      </c>
      <c r="X112">
        <v>3</v>
      </c>
      <c r="Y112">
        <v>2</v>
      </c>
      <c r="Z112" t="s">
        <v>46</v>
      </c>
      <c r="AA112">
        <v>63999</v>
      </c>
      <c r="AB112" t="s">
        <v>322</v>
      </c>
      <c r="AC112" t="s">
        <v>56</v>
      </c>
      <c r="AD112" t="s">
        <v>38</v>
      </c>
      <c r="AE112" t="s">
        <v>49</v>
      </c>
      <c r="AF112" t="s">
        <v>50</v>
      </c>
      <c r="AG112">
        <v>0</v>
      </c>
      <c r="AH112">
        <v>0</v>
      </c>
      <c r="AI112" t="s">
        <v>51</v>
      </c>
      <c r="AJ112" t="s">
        <v>51</v>
      </c>
      <c r="AK112" t="s">
        <v>51</v>
      </c>
    </row>
    <row r="113" spans="1:37" x14ac:dyDescent="0.2">
      <c r="A113">
        <v>63984</v>
      </c>
      <c r="B113" t="s">
        <v>37</v>
      </c>
      <c r="C113" t="s">
        <v>38</v>
      </c>
      <c r="D113" t="s">
        <v>323</v>
      </c>
      <c r="E113" t="s">
        <v>40</v>
      </c>
      <c r="G113" s="4">
        <v>43948.663171296296</v>
      </c>
      <c r="H113" s="4">
        <v>43948.663368055556</v>
      </c>
      <c r="I113" t="s">
        <v>324</v>
      </c>
      <c r="J113" s="5">
        <v>16.99999999999999999999999999999999999998</v>
      </c>
      <c r="K113" t="s">
        <v>38</v>
      </c>
      <c r="M113">
        <v>64017</v>
      </c>
      <c r="N113" t="s">
        <v>325</v>
      </c>
      <c r="O113" t="s">
        <v>326</v>
      </c>
      <c r="P113" t="s">
        <v>38</v>
      </c>
      <c r="Q113" t="s">
        <v>50</v>
      </c>
      <c r="R113">
        <v>0</v>
      </c>
      <c r="S113" t="s">
        <v>45</v>
      </c>
      <c r="T113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3">
        <v>64018</v>
      </c>
      <c r="V113" t="s">
        <v>38</v>
      </c>
      <c r="W113" t="s">
        <v>50</v>
      </c>
      <c r="X113">
        <v>0</v>
      </c>
      <c r="Y113">
        <v>0</v>
      </c>
      <c r="Z113" t="s">
        <v>46</v>
      </c>
      <c r="AA113">
        <v>64019</v>
      </c>
      <c r="AB113" t="s">
        <v>327</v>
      </c>
      <c r="AC113" t="s">
        <v>97</v>
      </c>
      <c r="AD113" t="s">
        <v>38</v>
      </c>
      <c r="AE113" t="s">
        <v>49</v>
      </c>
      <c r="AF113" t="s">
        <v>50</v>
      </c>
      <c r="AG113">
        <v>0</v>
      </c>
      <c r="AH113">
        <v>0</v>
      </c>
      <c r="AI113" t="s">
        <v>51</v>
      </c>
      <c r="AJ113" t="s">
        <v>51</v>
      </c>
      <c r="AK113" t="s">
        <v>51</v>
      </c>
    </row>
    <row r="114" spans="1:37" x14ac:dyDescent="0.2">
      <c r="A114">
        <v>63984</v>
      </c>
      <c r="B114" t="s">
        <v>37</v>
      </c>
      <c r="C114" t="s">
        <v>38</v>
      </c>
      <c r="D114" t="s">
        <v>323</v>
      </c>
      <c r="E114" t="s">
        <v>40</v>
      </c>
      <c r="G114" s="4">
        <v>43948.663171296296</v>
      </c>
      <c r="H114" s="4">
        <v>43948.663368055556</v>
      </c>
      <c r="I114" t="s">
        <v>324</v>
      </c>
      <c r="J114" s="5">
        <v>16.99999999999999999999999999999999999998</v>
      </c>
      <c r="K114" t="s">
        <v>38</v>
      </c>
      <c r="M114">
        <v>64010</v>
      </c>
      <c r="N114" t="s">
        <v>328</v>
      </c>
      <c r="O114" t="s">
        <v>329</v>
      </c>
      <c r="P114" t="s">
        <v>38</v>
      </c>
      <c r="Q114" t="s">
        <v>50</v>
      </c>
      <c r="R114">
        <v>.9999999999999999999999999999999999999996</v>
      </c>
      <c r="S114" t="s">
        <v>45</v>
      </c>
      <c r="T114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4">
        <v>64011</v>
      </c>
      <c r="V114" t="s">
        <v>38</v>
      </c>
      <c r="W114" t="s">
        <v>50</v>
      </c>
      <c r="X114">
        <v>.9999999999999999999999999999999999999996</v>
      </c>
      <c r="Y114">
        <v>0</v>
      </c>
      <c r="Z114" t="s">
        <v>46</v>
      </c>
      <c r="AA114">
        <v>64016</v>
      </c>
      <c r="AB114" t="s">
        <v>330</v>
      </c>
      <c r="AC114" t="s">
        <v>97</v>
      </c>
      <c r="AD114" t="s">
        <v>38</v>
      </c>
      <c r="AE114" t="s">
        <v>49</v>
      </c>
      <c r="AF114" t="s">
        <v>50</v>
      </c>
      <c r="AG114">
        <v>0</v>
      </c>
      <c r="AH114">
        <v>0</v>
      </c>
      <c r="AI114" t="s">
        <v>51</v>
      </c>
      <c r="AJ114" t="s">
        <v>51</v>
      </c>
      <c r="AK114" t="s">
        <v>51</v>
      </c>
    </row>
    <row r="115" spans="1:37" x14ac:dyDescent="0.2">
      <c r="A115">
        <v>63984</v>
      </c>
      <c r="B115" t="s">
        <v>37</v>
      </c>
      <c r="C115" t="s">
        <v>38</v>
      </c>
      <c r="D115" t="s">
        <v>323</v>
      </c>
      <c r="E115" t="s">
        <v>40</v>
      </c>
      <c r="G115" s="4">
        <v>43948.663171296296</v>
      </c>
      <c r="H115" s="4">
        <v>43948.663368055556</v>
      </c>
      <c r="I115" t="s">
        <v>324</v>
      </c>
      <c r="J115" s="5">
        <v>16.99999999999999999999999999999999999998</v>
      </c>
      <c r="K115" t="s">
        <v>38</v>
      </c>
      <c r="M115">
        <v>64010</v>
      </c>
      <c r="N115" t="s">
        <v>328</v>
      </c>
      <c r="O115" t="s">
        <v>329</v>
      </c>
      <c r="P115" t="s">
        <v>38</v>
      </c>
      <c r="Q115" t="s">
        <v>50</v>
      </c>
      <c r="R115">
        <v>.9999999999999999999999999999999999999996</v>
      </c>
      <c r="S115" t="s">
        <v>45</v>
      </c>
      <c r="T115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5">
        <v>64011</v>
      </c>
      <c r="V115" t="s">
        <v>38</v>
      </c>
      <c r="W115" t="s">
        <v>50</v>
      </c>
      <c r="X115">
        <v>.9999999999999999999999999999999999999996</v>
      </c>
      <c r="Y115">
        <v>0</v>
      </c>
      <c r="Z115" t="s">
        <v>46</v>
      </c>
      <c r="AA115">
        <v>64015</v>
      </c>
      <c r="AB115" t="s">
        <v>331</v>
      </c>
      <c r="AC115" t="s">
        <v>97</v>
      </c>
      <c r="AD115" t="s">
        <v>38</v>
      </c>
      <c r="AE115" t="s">
        <v>49</v>
      </c>
      <c r="AF115" t="s">
        <v>50</v>
      </c>
      <c r="AG115">
        <v>0</v>
      </c>
      <c r="AH115">
        <v>0</v>
      </c>
      <c r="AI115" t="s">
        <v>51</v>
      </c>
      <c r="AJ115" t="s">
        <v>51</v>
      </c>
      <c r="AK115" t="s">
        <v>51</v>
      </c>
    </row>
    <row r="116" spans="1:37" x14ac:dyDescent="0.2">
      <c r="A116">
        <v>63984</v>
      </c>
      <c r="B116" t="s">
        <v>37</v>
      </c>
      <c r="C116" t="s">
        <v>38</v>
      </c>
      <c r="D116" t="s">
        <v>323</v>
      </c>
      <c r="E116" t="s">
        <v>40</v>
      </c>
      <c r="G116" s="4">
        <v>43948.663171296296</v>
      </c>
      <c r="H116" s="4">
        <v>43948.663368055556</v>
      </c>
      <c r="I116" t="s">
        <v>324</v>
      </c>
      <c r="J116" s="5">
        <v>16.99999999999999999999999999999999999998</v>
      </c>
      <c r="K116" t="s">
        <v>38</v>
      </c>
      <c r="M116">
        <v>64010</v>
      </c>
      <c r="N116" t="s">
        <v>328</v>
      </c>
      <c r="O116" t="s">
        <v>329</v>
      </c>
      <c r="P116" t="s">
        <v>38</v>
      </c>
      <c r="Q116" t="s">
        <v>50</v>
      </c>
      <c r="R116">
        <v>.9999999999999999999999999999999999999996</v>
      </c>
      <c r="S116" t="s">
        <v>45</v>
      </c>
      <c r="T116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6">
        <v>64011</v>
      </c>
      <c r="V116" t="s">
        <v>38</v>
      </c>
      <c r="W116" t="s">
        <v>50</v>
      </c>
      <c r="X116">
        <v>.9999999999999999999999999999999999999996</v>
      </c>
      <c r="Y116">
        <v>0</v>
      </c>
      <c r="Z116" t="s">
        <v>46</v>
      </c>
      <c r="AA116">
        <v>64014</v>
      </c>
      <c r="AB116" t="s">
        <v>332</v>
      </c>
      <c r="AC116" t="s">
        <v>97</v>
      </c>
      <c r="AD116" t="s">
        <v>38</v>
      </c>
      <c r="AE116" t="s">
        <v>49</v>
      </c>
      <c r="AF116" t="s">
        <v>50</v>
      </c>
      <c r="AG116">
        <v>0</v>
      </c>
      <c r="AH116">
        <v>0</v>
      </c>
      <c r="AI116" t="s">
        <v>51</v>
      </c>
      <c r="AJ116" t="s">
        <v>51</v>
      </c>
      <c r="AK116" t="s">
        <v>51</v>
      </c>
    </row>
    <row r="117" spans="1:37" x14ac:dyDescent="0.2">
      <c r="A117">
        <v>63984</v>
      </c>
      <c r="B117" t="s">
        <v>37</v>
      </c>
      <c r="C117" t="s">
        <v>38</v>
      </c>
      <c r="D117" t="s">
        <v>323</v>
      </c>
      <c r="E117" t="s">
        <v>40</v>
      </c>
      <c r="G117" s="4">
        <v>43948.663171296296</v>
      </c>
      <c r="H117" s="4">
        <v>43948.663368055556</v>
      </c>
      <c r="I117" t="s">
        <v>324</v>
      </c>
      <c r="J117" s="5">
        <v>16.99999999999999999999999999999999999998</v>
      </c>
      <c r="K117" t="s">
        <v>38</v>
      </c>
      <c r="M117">
        <v>64010</v>
      </c>
      <c r="N117" t="s">
        <v>328</v>
      </c>
      <c r="O117" t="s">
        <v>329</v>
      </c>
      <c r="P117" t="s">
        <v>38</v>
      </c>
      <c r="Q117" t="s">
        <v>50</v>
      </c>
      <c r="R117">
        <v>.9999999999999999999999999999999999999996</v>
      </c>
      <c r="S117" t="s">
        <v>45</v>
      </c>
      <c r="T117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7">
        <v>64011</v>
      </c>
      <c r="V117" t="s">
        <v>38</v>
      </c>
      <c r="W117" t="s">
        <v>50</v>
      </c>
      <c r="X117">
        <v>.9999999999999999999999999999999999999996</v>
      </c>
      <c r="Y117">
        <v>0</v>
      </c>
      <c r="Z117" t="s">
        <v>46</v>
      </c>
      <c r="AA117">
        <v>64013</v>
      </c>
      <c r="AB117" t="s">
        <v>333</v>
      </c>
      <c r="AC117" t="s">
        <v>97</v>
      </c>
      <c r="AD117" t="s">
        <v>38</v>
      </c>
      <c r="AE117" t="s">
        <v>49</v>
      </c>
      <c r="AF117" t="s">
        <v>50</v>
      </c>
      <c r="AG117">
        <v>.9999999999999999999999999999999999999996</v>
      </c>
      <c r="AH117">
        <v>0</v>
      </c>
      <c r="AI117" t="s">
        <v>51</v>
      </c>
      <c r="AJ117" t="s">
        <v>51</v>
      </c>
      <c r="AK117" t="s">
        <v>51</v>
      </c>
    </row>
    <row r="118" spans="1:37" x14ac:dyDescent="0.2">
      <c r="A118">
        <v>63984</v>
      </c>
      <c r="B118" t="s">
        <v>37</v>
      </c>
      <c r="C118" t="s">
        <v>38</v>
      </c>
      <c r="D118" t="s">
        <v>323</v>
      </c>
      <c r="E118" t="s">
        <v>40</v>
      </c>
      <c r="G118" s="4">
        <v>43948.663171296296</v>
      </c>
      <c r="H118" s="4">
        <v>43948.663368055556</v>
      </c>
      <c r="I118" t="s">
        <v>324</v>
      </c>
      <c r="J118" s="5">
        <v>16.99999999999999999999999999999999999998</v>
      </c>
      <c r="K118" t="s">
        <v>38</v>
      </c>
      <c r="M118">
        <v>64010</v>
      </c>
      <c r="N118" t="s">
        <v>328</v>
      </c>
      <c r="O118" t="s">
        <v>329</v>
      </c>
      <c r="P118" t="s">
        <v>38</v>
      </c>
      <c r="Q118" t="s">
        <v>50</v>
      </c>
      <c r="R118">
        <v>.9999999999999999999999999999999999999996</v>
      </c>
      <c r="S118" t="s">
        <v>45</v>
      </c>
      <c r="T118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8">
        <v>64011</v>
      </c>
      <c r="V118" t="s">
        <v>38</v>
      </c>
      <c r="W118" t="s">
        <v>50</v>
      </c>
      <c r="X118">
        <v>.9999999999999999999999999999999999999996</v>
      </c>
      <c r="Y118">
        <v>0</v>
      </c>
      <c r="Z118" t="s">
        <v>46</v>
      </c>
      <c r="AA118">
        <v>64012</v>
      </c>
      <c r="AB118" t="s">
        <v>334</v>
      </c>
      <c r="AC118" t="s">
        <v>97</v>
      </c>
      <c r="AD118" t="s">
        <v>38</v>
      </c>
      <c r="AE118" t="s">
        <v>49</v>
      </c>
      <c r="AF118" t="s">
        <v>50</v>
      </c>
      <c r="AG118">
        <v>0</v>
      </c>
      <c r="AH118">
        <v>0</v>
      </c>
      <c r="AI118" t="s">
        <v>51</v>
      </c>
      <c r="AJ118" t="s">
        <v>51</v>
      </c>
      <c r="AK118" t="s">
        <v>51</v>
      </c>
    </row>
    <row r="119" spans="1:37" x14ac:dyDescent="0.2">
      <c r="A119">
        <v>63984</v>
      </c>
      <c r="B119" t="s">
        <v>37</v>
      </c>
      <c r="C119" t="s">
        <v>38</v>
      </c>
      <c r="D119" t="s">
        <v>323</v>
      </c>
      <c r="E119" t="s">
        <v>40</v>
      </c>
      <c r="G119" s="4">
        <v>43948.663171296296</v>
      </c>
      <c r="H119" s="4">
        <v>43948.663368055556</v>
      </c>
      <c r="I119" t="s">
        <v>324</v>
      </c>
      <c r="J119" s="5">
        <v>16.99999999999999999999999999999999999998</v>
      </c>
      <c r="K119" t="s">
        <v>38</v>
      </c>
      <c r="M119">
        <v>64002</v>
      </c>
      <c r="N119" t="s">
        <v>335</v>
      </c>
      <c r="O119" t="s">
        <v>336</v>
      </c>
      <c r="P119" t="s">
        <v>38</v>
      </c>
      <c r="Q119" t="s">
        <v>337</v>
      </c>
      <c r="R119">
        <v>11.00000000000000000000000000000000000002</v>
      </c>
      <c r="S119" t="s">
        <v>45</v>
      </c>
      <c r="T119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19">
        <v>64003</v>
      </c>
      <c r="V119" t="s">
        <v>38</v>
      </c>
      <c r="W119" t="s">
        <v>337</v>
      </c>
      <c r="X119">
        <v>11.00000000000000000000000000000000000002</v>
      </c>
      <c r="Y119">
        <v>0</v>
      </c>
      <c r="Z119" t="s">
        <v>46</v>
      </c>
      <c r="AA119">
        <v>64009</v>
      </c>
      <c r="AB119" t="s">
        <v>338</v>
      </c>
      <c r="AC119" t="s">
        <v>97</v>
      </c>
      <c r="AD119" t="s">
        <v>38</v>
      </c>
      <c r="AE119" t="s">
        <v>49</v>
      </c>
      <c r="AF119" t="s">
        <v>50</v>
      </c>
      <c r="AG119">
        <v>0</v>
      </c>
      <c r="AH119">
        <v>0</v>
      </c>
      <c r="AI119" t="s">
        <v>51</v>
      </c>
      <c r="AJ119" t="s">
        <v>51</v>
      </c>
      <c r="AK119" t="s">
        <v>51</v>
      </c>
    </row>
    <row r="120" spans="1:37" x14ac:dyDescent="0.2">
      <c r="A120">
        <v>63984</v>
      </c>
      <c r="B120" t="s">
        <v>37</v>
      </c>
      <c r="C120" t="s">
        <v>38</v>
      </c>
      <c r="D120" t="s">
        <v>323</v>
      </c>
      <c r="E120" t="s">
        <v>40</v>
      </c>
      <c r="G120" s="4">
        <v>43948.663171296296</v>
      </c>
      <c r="H120" s="4">
        <v>43948.663368055556</v>
      </c>
      <c r="I120" t="s">
        <v>324</v>
      </c>
      <c r="J120" s="5">
        <v>16.99999999999999999999999999999999999998</v>
      </c>
      <c r="K120" t="s">
        <v>38</v>
      </c>
      <c r="M120">
        <v>64002</v>
      </c>
      <c r="N120" t="s">
        <v>335</v>
      </c>
      <c r="O120" t="s">
        <v>336</v>
      </c>
      <c r="P120" t="s">
        <v>38</v>
      </c>
      <c r="Q120" t="s">
        <v>337</v>
      </c>
      <c r="R120">
        <v>11.00000000000000000000000000000000000002</v>
      </c>
      <c r="S120" t="s">
        <v>45</v>
      </c>
      <c r="T120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0">
        <v>64003</v>
      </c>
      <c r="V120" t="s">
        <v>38</v>
      </c>
      <c r="W120" t="s">
        <v>337</v>
      </c>
      <c r="X120">
        <v>11.00000000000000000000000000000000000002</v>
      </c>
      <c r="Y120">
        <v>0</v>
      </c>
      <c r="Z120" t="s">
        <v>46</v>
      </c>
      <c r="AA120">
        <v>64008</v>
      </c>
      <c r="AB120" t="s">
        <v>339</v>
      </c>
      <c r="AC120" t="s">
        <v>97</v>
      </c>
      <c r="AD120" t="s">
        <v>38</v>
      </c>
      <c r="AE120" t="s">
        <v>49</v>
      </c>
      <c r="AF120" t="s">
        <v>50</v>
      </c>
      <c r="AG120">
        <v>.9999999999999999999999999999999999999996</v>
      </c>
      <c r="AH120">
        <v>0</v>
      </c>
      <c r="AI120" t="s">
        <v>51</v>
      </c>
      <c r="AJ120" t="s">
        <v>51</v>
      </c>
      <c r="AK120" t="s">
        <v>51</v>
      </c>
    </row>
    <row r="121" spans="1:37" x14ac:dyDescent="0.2">
      <c r="A121">
        <v>63984</v>
      </c>
      <c r="B121" t="s">
        <v>37</v>
      </c>
      <c r="C121" t="s">
        <v>38</v>
      </c>
      <c r="D121" t="s">
        <v>323</v>
      </c>
      <c r="E121" t="s">
        <v>40</v>
      </c>
      <c r="G121" s="4">
        <v>43948.663171296296</v>
      </c>
      <c r="H121" s="4">
        <v>43948.663368055556</v>
      </c>
      <c r="I121" t="s">
        <v>324</v>
      </c>
      <c r="J121" s="5">
        <v>16.99999999999999999999999999999999999998</v>
      </c>
      <c r="K121" t="s">
        <v>38</v>
      </c>
      <c r="M121">
        <v>64002</v>
      </c>
      <c r="N121" t="s">
        <v>335</v>
      </c>
      <c r="O121" t="s">
        <v>336</v>
      </c>
      <c r="P121" t="s">
        <v>38</v>
      </c>
      <c r="Q121" t="s">
        <v>337</v>
      </c>
      <c r="R121">
        <v>11.00000000000000000000000000000000000002</v>
      </c>
      <c r="S121" t="s">
        <v>45</v>
      </c>
      <c r="T121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1">
        <v>64003</v>
      </c>
      <c r="V121" t="s">
        <v>38</v>
      </c>
      <c r="W121" t="s">
        <v>337</v>
      </c>
      <c r="X121">
        <v>11.00000000000000000000000000000000000002</v>
      </c>
      <c r="Y121">
        <v>0</v>
      </c>
      <c r="Z121" t="s">
        <v>46</v>
      </c>
      <c r="AA121">
        <v>64007</v>
      </c>
      <c r="AB121" t="s">
        <v>340</v>
      </c>
      <c r="AC121" t="s">
        <v>97</v>
      </c>
      <c r="AD121" t="s">
        <v>38</v>
      </c>
      <c r="AE121" t="s">
        <v>49</v>
      </c>
      <c r="AF121" t="s">
        <v>50</v>
      </c>
      <c r="AG121">
        <v>0</v>
      </c>
      <c r="AH121">
        <v>0</v>
      </c>
      <c r="AI121" t="s">
        <v>51</v>
      </c>
      <c r="AJ121" t="s">
        <v>51</v>
      </c>
      <c r="AK121" t="s">
        <v>51</v>
      </c>
    </row>
    <row r="122" spans="1:37" x14ac:dyDescent="0.2">
      <c r="A122">
        <v>63984</v>
      </c>
      <c r="B122" t="s">
        <v>37</v>
      </c>
      <c r="C122" t="s">
        <v>38</v>
      </c>
      <c r="D122" t="s">
        <v>323</v>
      </c>
      <c r="E122" t="s">
        <v>40</v>
      </c>
      <c r="G122" s="4">
        <v>43948.663171296296</v>
      </c>
      <c r="H122" s="4">
        <v>43948.663368055556</v>
      </c>
      <c r="I122" t="s">
        <v>324</v>
      </c>
      <c r="J122" s="5">
        <v>16.99999999999999999999999999999999999998</v>
      </c>
      <c r="K122" t="s">
        <v>38</v>
      </c>
      <c r="M122">
        <v>64002</v>
      </c>
      <c r="N122" t="s">
        <v>335</v>
      </c>
      <c r="O122" t="s">
        <v>336</v>
      </c>
      <c r="P122" t="s">
        <v>38</v>
      </c>
      <c r="Q122" t="s">
        <v>337</v>
      </c>
      <c r="R122">
        <v>11.00000000000000000000000000000000000002</v>
      </c>
      <c r="S122" t="s">
        <v>45</v>
      </c>
      <c r="T122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2">
        <v>64003</v>
      </c>
      <c r="V122" t="s">
        <v>38</v>
      </c>
      <c r="W122" t="s">
        <v>337</v>
      </c>
      <c r="X122">
        <v>11.00000000000000000000000000000000000002</v>
      </c>
      <c r="Y122">
        <v>0</v>
      </c>
      <c r="Z122" t="s">
        <v>46</v>
      </c>
      <c r="AA122">
        <v>64006</v>
      </c>
      <c r="AB122" t="s">
        <v>341</v>
      </c>
      <c r="AC122" t="s">
        <v>97</v>
      </c>
      <c r="AD122" t="s">
        <v>38</v>
      </c>
      <c r="AE122" t="s">
        <v>49</v>
      </c>
      <c r="AF122" t="s">
        <v>88</v>
      </c>
      <c r="AG122">
        <v>2</v>
      </c>
      <c r="AH122">
        <v>1</v>
      </c>
      <c r="AI122" t="s">
        <v>51</v>
      </c>
      <c r="AJ122" t="s">
        <v>51</v>
      </c>
      <c r="AK122" t="s">
        <v>51</v>
      </c>
    </row>
    <row r="123" spans="1:37" x14ac:dyDescent="0.2">
      <c r="A123">
        <v>63984</v>
      </c>
      <c r="B123" t="s">
        <v>37</v>
      </c>
      <c r="C123" t="s">
        <v>38</v>
      </c>
      <c r="D123" t="s">
        <v>323</v>
      </c>
      <c r="E123" t="s">
        <v>40</v>
      </c>
      <c r="G123" s="4">
        <v>43948.663171296296</v>
      </c>
      <c r="H123" s="4">
        <v>43948.663368055556</v>
      </c>
      <c r="I123" t="s">
        <v>324</v>
      </c>
      <c r="J123" s="5">
        <v>16.99999999999999999999999999999999999998</v>
      </c>
      <c r="K123" t="s">
        <v>38</v>
      </c>
      <c r="M123">
        <v>64002</v>
      </c>
      <c r="N123" t="s">
        <v>335</v>
      </c>
      <c r="O123" t="s">
        <v>336</v>
      </c>
      <c r="P123" t="s">
        <v>38</v>
      </c>
      <c r="Q123" t="s">
        <v>337</v>
      </c>
      <c r="R123">
        <v>11.00000000000000000000000000000000000002</v>
      </c>
      <c r="S123" t="s">
        <v>45</v>
      </c>
      <c r="T123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3">
        <v>64003</v>
      </c>
      <c r="V123" t="s">
        <v>38</v>
      </c>
      <c r="W123" t="s">
        <v>337</v>
      </c>
      <c r="X123">
        <v>11.00000000000000000000000000000000000002</v>
      </c>
      <c r="Y123">
        <v>0</v>
      </c>
      <c r="Z123" t="s">
        <v>46</v>
      </c>
      <c r="AA123">
        <v>64005</v>
      </c>
      <c r="AB123" t="s">
        <v>342</v>
      </c>
      <c r="AC123" t="s">
        <v>97</v>
      </c>
      <c r="AD123" t="s">
        <v>38</v>
      </c>
      <c r="AE123" t="s">
        <v>49</v>
      </c>
      <c r="AF123" t="s">
        <v>75</v>
      </c>
      <c r="AG123">
        <v>6</v>
      </c>
      <c r="AH123">
        <v>6</v>
      </c>
      <c r="AI123" t="s">
        <v>51</v>
      </c>
      <c r="AJ123" t="s">
        <v>51</v>
      </c>
      <c r="AK123" t="s">
        <v>51</v>
      </c>
    </row>
    <row r="124" spans="1:37" x14ac:dyDescent="0.2">
      <c r="A124">
        <v>63984</v>
      </c>
      <c r="B124" t="s">
        <v>37</v>
      </c>
      <c r="C124" t="s">
        <v>38</v>
      </c>
      <c r="D124" t="s">
        <v>323</v>
      </c>
      <c r="E124" t="s">
        <v>40</v>
      </c>
      <c r="G124" s="4">
        <v>43948.663171296296</v>
      </c>
      <c r="H124" s="4">
        <v>43948.663368055556</v>
      </c>
      <c r="I124" t="s">
        <v>324</v>
      </c>
      <c r="J124" s="5">
        <v>16.99999999999999999999999999999999999998</v>
      </c>
      <c r="K124" t="s">
        <v>38</v>
      </c>
      <c r="M124">
        <v>64002</v>
      </c>
      <c r="N124" t="s">
        <v>335</v>
      </c>
      <c r="O124" t="s">
        <v>336</v>
      </c>
      <c r="P124" t="s">
        <v>38</v>
      </c>
      <c r="Q124" t="s">
        <v>337</v>
      </c>
      <c r="R124">
        <v>11.00000000000000000000000000000000000002</v>
      </c>
      <c r="S124" t="s">
        <v>45</v>
      </c>
      <c r="T124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4">
        <v>64003</v>
      </c>
      <c r="V124" t="s">
        <v>38</v>
      </c>
      <c r="W124" t="s">
        <v>337</v>
      </c>
      <c r="X124">
        <v>11.00000000000000000000000000000000000002</v>
      </c>
      <c r="Y124">
        <v>0</v>
      </c>
      <c r="Z124" t="s">
        <v>46</v>
      </c>
      <c r="AA124">
        <v>64004</v>
      </c>
      <c r="AB124" t="s">
        <v>343</v>
      </c>
      <c r="AC124" t="s">
        <v>97</v>
      </c>
      <c r="AD124" t="s">
        <v>38</v>
      </c>
      <c r="AE124" t="s">
        <v>49</v>
      </c>
      <c r="AF124" t="s">
        <v>50</v>
      </c>
      <c r="AG124">
        <v>.9999999999999999999999999999999999999996</v>
      </c>
      <c r="AH124">
        <v>1</v>
      </c>
      <c r="AI124" t="s">
        <v>51</v>
      </c>
      <c r="AJ124" t="s">
        <v>51</v>
      </c>
      <c r="AK124" t="s">
        <v>51</v>
      </c>
    </row>
    <row r="125" spans="1:37" x14ac:dyDescent="0.2">
      <c r="A125">
        <v>63984</v>
      </c>
      <c r="B125" t="s">
        <v>37</v>
      </c>
      <c r="C125" t="s">
        <v>38</v>
      </c>
      <c r="D125" t="s">
        <v>323</v>
      </c>
      <c r="E125" t="s">
        <v>40</v>
      </c>
      <c r="G125" s="4">
        <v>43948.663171296296</v>
      </c>
      <c r="H125" s="4">
        <v>43948.663368055556</v>
      </c>
      <c r="I125" t="s">
        <v>324</v>
      </c>
      <c r="J125" s="5">
        <v>16.99999999999999999999999999999999999998</v>
      </c>
      <c r="K125" t="s">
        <v>38</v>
      </c>
      <c r="M125">
        <v>63993</v>
      </c>
      <c r="N125" t="s">
        <v>344</v>
      </c>
      <c r="O125" t="s">
        <v>345</v>
      </c>
      <c r="P125" t="s">
        <v>38</v>
      </c>
      <c r="Q125" t="s">
        <v>44</v>
      </c>
      <c r="R125">
        <v>4</v>
      </c>
      <c r="S125" t="s">
        <v>45</v>
      </c>
      <c r="T125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5">
        <v>63994</v>
      </c>
      <c r="V125" t="s">
        <v>38</v>
      </c>
      <c r="W125" t="s">
        <v>44</v>
      </c>
      <c r="X125">
        <v>4</v>
      </c>
      <c r="Y125">
        <v>0</v>
      </c>
      <c r="Z125" t="s">
        <v>46</v>
      </c>
      <c r="AA125">
        <v>64001</v>
      </c>
      <c r="AB125" t="s">
        <v>346</v>
      </c>
      <c r="AC125" t="s">
        <v>56</v>
      </c>
      <c r="AD125" t="s">
        <v>38</v>
      </c>
      <c r="AE125" t="s">
        <v>49</v>
      </c>
      <c r="AF125" t="s">
        <v>50</v>
      </c>
      <c r="AG125">
        <v>0</v>
      </c>
      <c r="AH125">
        <v>0</v>
      </c>
      <c r="AI125" t="s">
        <v>51</v>
      </c>
      <c r="AJ125" t="s">
        <v>51</v>
      </c>
      <c r="AK125" t="s">
        <v>51</v>
      </c>
    </row>
    <row r="126" spans="1:37" x14ac:dyDescent="0.2">
      <c r="A126">
        <v>63984</v>
      </c>
      <c r="B126" t="s">
        <v>37</v>
      </c>
      <c r="C126" t="s">
        <v>38</v>
      </c>
      <c r="D126" t="s">
        <v>323</v>
      </c>
      <c r="E126" t="s">
        <v>40</v>
      </c>
      <c r="G126" s="4">
        <v>43948.663171296296</v>
      </c>
      <c r="H126" s="4">
        <v>43948.663368055556</v>
      </c>
      <c r="I126" t="s">
        <v>324</v>
      </c>
      <c r="J126" s="5">
        <v>16.99999999999999999999999999999999999998</v>
      </c>
      <c r="K126" t="s">
        <v>38</v>
      </c>
      <c r="M126">
        <v>63993</v>
      </c>
      <c r="N126" t="s">
        <v>344</v>
      </c>
      <c r="O126" t="s">
        <v>345</v>
      </c>
      <c r="P126" t="s">
        <v>38</v>
      </c>
      <c r="Q126" t="s">
        <v>44</v>
      </c>
      <c r="R126">
        <v>4</v>
      </c>
      <c r="S126" t="s">
        <v>45</v>
      </c>
      <c r="T126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6">
        <v>63994</v>
      </c>
      <c r="V126" t="s">
        <v>38</v>
      </c>
      <c r="W126" t="s">
        <v>44</v>
      </c>
      <c r="X126">
        <v>4</v>
      </c>
      <c r="Y126">
        <v>0</v>
      </c>
      <c r="Z126" t="s">
        <v>46</v>
      </c>
      <c r="AA126">
        <v>63995</v>
      </c>
      <c r="AB126" t="s">
        <v>347</v>
      </c>
      <c r="AC126" t="s">
        <v>97</v>
      </c>
      <c r="AD126" t="s">
        <v>38</v>
      </c>
      <c r="AE126" t="s">
        <v>348</v>
      </c>
      <c r="AF126" t="s">
        <v>44</v>
      </c>
      <c r="AG126">
        <v>4</v>
      </c>
      <c r="AH126">
        <v>1</v>
      </c>
      <c r="AI126" t="s">
        <v>349</v>
      </c>
      <c r="AJ126" t="s">
        <v>51</v>
      </c>
      <c r="AK126" t="s">
        <v>349</v>
      </c>
    </row>
    <row r="127" spans="1:37" x14ac:dyDescent="0.2">
      <c r="A127">
        <v>63984</v>
      </c>
      <c r="B127" t="s">
        <v>37</v>
      </c>
      <c r="C127" t="s">
        <v>38</v>
      </c>
      <c r="D127" t="s">
        <v>323</v>
      </c>
      <c r="E127" t="s">
        <v>40</v>
      </c>
      <c r="G127" s="4">
        <v>43948.663171296296</v>
      </c>
      <c r="H127" s="4">
        <v>43948.663368055556</v>
      </c>
      <c r="I127" t="s">
        <v>324</v>
      </c>
      <c r="J127" s="5">
        <v>16.99999999999999999999999999999999999998</v>
      </c>
      <c r="K127" t="s">
        <v>38</v>
      </c>
      <c r="M127">
        <v>63990</v>
      </c>
      <c r="N127" t="s">
        <v>350</v>
      </c>
      <c r="O127" t="s">
        <v>351</v>
      </c>
      <c r="P127" t="s">
        <v>38</v>
      </c>
      <c r="Q127" t="s">
        <v>50</v>
      </c>
      <c r="R127">
        <v>0</v>
      </c>
      <c r="S127" t="s">
        <v>45</v>
      </c>
      <c r="T127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7">
        <v>63991</v>
      </c>
      <c r="V127" t="s">
        <v>38</v>
      </c>
      <c r="W127" t="s">
        <v>50</v>
      </c>
      <c r="X127">
        <v>0</v>
      </c>
      <c r="Y127">
        <v>0</v>
      </c>
      <c r="Z127" t="s">
        <v>46</v>
      </c>
      <c r="AA127">
        <v>63992</v>
      </c>
      <c r="AB127" t="s">
        <v>352</v>
      </c>
      <c r="AC127" t="s">
        <v>97</v>
      </c>
      <c r="AD127" t="s">
        <v>38</v>
      </c>
      <c r="AE127" t="s">
        <v>49</v>
      </c>
      <c r="AF127" t="s">
        <v>50</v>
      </c>
      <c r="AG127">
        <v>0</v>
      </c>
      <c r="AH127">
        <v>0</v>
      </c>
      <c r="AI127" t="s">
        <v>51</v>
      </c>
      <c r="AJ127" t="s">
        <v>51</v>
      </c>
      <c r="AK127" t="s">
        <v>51</v>
      </c>
    </row>
    <row r="128" spans="1:37" x14ac:dyDescent="0.2">
      <c r="A128">
        <v>63984</v>
      </c>
      <c r="B128" t="s">
        <v>37</v>
      </c>
      <c r="C128" t="s">
        <v>38</v>
      </c>
      <c r="D128" t="s">
        <v>323</v>
      </c>
      <c r="E128" t="s">
        <v>40</v>
      </c>
      <c r="G128" s="4">
        <v>43948.663171296296</v>
      </c>
      <c r="H128" s="4">
        <v>43948.663368055556</v>
      </c>
      <c r="I128" t="s">
        <v>324</v>
      </c>
      <c r="J128" s="5">
        <v>16.99999999999999999999999999999999999998</v>
      </c>
      <c r="K128" t="s">
        <v>38</v>
      </c>
      <c r="M128">
        <v>63985</v>
      </c>
      <c r="N128" t="s">
        <v>353</v>
      </c>
      <c r="O128" t="s">
        <v>354</v>
      </c>
      <c r="P128" t="s">
        <v>38</v>
      </c>
      <c r="Q128" t="s">
        <v>50</v>
      </c>
      <c r="R128">
        <v>.9999999999999999999999999999999999999996</v>
      </c>
      <c r="S128" t="s">
        <v>45</v>
      </c>
      <c r="T128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8">
        <v>63986</v>
      </c>
      <c r="V128" t="s">
        <v>38</v>
      </c>
      <c r="W128" t="s">
        <v>50</v>
      </c>
      <c r="X128">
        <v>.9999999999999999999999999999999999999996</v>
      </c>
      <c r="Y128">
        <v>0</v>
      </c>
      <c r="Z128" t="s">
        <v>46</v>
      </c>
      <c r="AA128">
        <v>63989</v>
      </c>
      <c r="AB128" t="s">
        <v>355</v>
      </c>
      <c r="AC128" t="s">
        <v>97</v>
      </c>
      <c r="AD128" t="s">
        <v>38</v>
      </c>
      <c r="AE128" t="s">
        <v>49</v>
      </c>
      <c r="AF128" t="s">
        <v>50</v>
      </c>
      <c r="AG128">
        <v>0</v>
      </c>
      <c r="AH128">
        <v>0</v>
      </c>
      <c r="AI128" t="s">
        <v>51</v>
      </c>
      <c r="AJ128" t="s">
        <v>51</v>
      </c>
      <c r="AK128" t="s">
        <v>51</v>
      </c>
    </row>
    <row r="129" spans="1:37" x14ac:dyDescent="0.2">
      <c r="A129">
        <v>63984</v>
      </c>
      <c r="B129" t="s">
        <v>37</v>
      </c>
      <c r="C129" t="s">
        <v>38</v>
      </c>
      <c r="D129" t="s">
        <v>323</v>
      </c>
      <c r="E129" t="s">
        <v>40</v>
      </c>
      <c r="G129" s="4">
        <v>43948.663171296296</v>
      </c>
      <c r="H129" s="4">
        <v>43948.663368055556</v>
      </c>
      <c r="I129" t="s">
        <v>324</v>
      </c>
      <c r="J129" s="5">
        <v>16.99999999999999999999999999999999999998</v>
      </c>
      <c r="K129" t="s">
        <v>38</v>
      </c>
      <c r="M129">
        <v>63985</v>
      </c>
      <c r="N129" t="s">
        <v>353</v>
      </c>
      <c r="O129" t="s">
        <v>354</v>
      </c>
      <c r="P129" t="s">
        <v>38</v>
      </c>
      <c r="Q129" t="s">
        <v>50</v>
      </c>
      <c r="R129">
        <v>.9999999999999999999999999999999999999996</v>
      </c>
      <c r="S129" t="s">
        <v>45</v>
      </c>
      <c r="T129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29">
        <v>63986</v>
      </c>
      <c r="V129" t="s">
        <v>38</v>
      </c>
      <c r="W129" t="s">
        <v>50</v>
      </c>
      <c r="X129">
        <v>.9999999999999999999999999999999999999996</v>
      </c>
      <c r="Y129">
        <v>0</v>
      </c>
      <c r="Z129" t="s">
        <v>46</v>
      </c>
      <c r="AA129">
        <v>63988</v>
      </c>
      <c r="AB129" t="s">
        <v>356</v>
      </c>
      <c r="AC129" t="s">
        <v>97</v>
      </c>
      <c r="AD129" t="s">
        <v>38</v>
      </c>
      <c r="AE129" t="s">
        <v>49</v>
      </c>
      <c r="AF129" t="s">
        <v>50</v>
      </c>
      <c r="AG129">
        <v>.9999999999999999999999999999999999999996</v>
      </c>
      <c r="AH129">
        <v>0</v>
      </c>
      <c r="AI129" t="s">
        <v>51</v>
      </c>
      <c r="AJ129" t="s">
        <v>51</v>
      </c>
      <c r="AK129" t="s">
        <v>51</v>
      </c>
    </row>
    <row r="130" spans="1:37" x14ac:dyDescent="0.2">
      <c r="A130">
        <v>63984</v>
      </c>
      <c r="B130" t="s">
        <v>37</v>
      </c>
      <c r="C130" t="s">
        <v>38</v>
      </c>
      <c r="D130" t="s">
        <v>323</v>
      </c>
      <c r="E130" t="s">
        <v>40</v>
      </c>
      <c r="G130" s="4">
        <v>43948.663171296296</v>
      </c>
      <c r="H130" s="4">
        <v>43948.663368055556</v>
      </c>
      <c r="I130" t="s">
        <v>324</v>
      </c>
      <c r="J130" s="5">
        <v>16.99999999999999999999999999999999999998</v>
      </c>
      <c r="K130" t="s">
        <v>38</v>
      </c>
      <c r="M130">
        <v>63985</v>
      </c>
      <c r="N130" t="s">
        <v>353</v>
      </c>
      <c r="O130" t="s">
        <v>354</v>
      </c>
      <c r="P130" t="s">
        <v>38</v>
      </c>
      <c r="Q130" t="s">
        <v>50</v>
      </c>
      <c r="R130">
        <v>.9999999999999999999999999999999999999996</v>
      </c>
      <c r="S130" t="s">
        <v>45</v>
      </c>
      <c r="T130" t="str" s="2">
        <f>=HYPERLINK("http://demo.enginatics.com:80/ecc/user/applications/log/63984.log","http://demo.enginatics.com:80/ecc/user/applications/log/63984.log")</f>
        <v>"http://demo.enginatics.com:80/ecc/user/applications/log/63984.log")</v>
      </c>
      <c r="U130">
        <v>63986</v>
      </c>
      <c r="V130" t="s">
        <v>38</v>
      </c>
      <c r="W130" t="s">
        <v>50</v>
      </c>
      <c r="X130">
        <v>.9999999999999999999999999999999999999996</v>
      </c>
      <c r="Y130">
        <v>0</v>
      </c>
      <c r="Z130" t="s">
        <v>46</v>
      </c>
      <c r="AA130">
        <v>63987</v>
      </c>
      <c r="AB130" t="s">
        <v>357</v>
      </c>
      <c r="AC130" t="s">
        <v>97</v>
      </c>
      <c r="AD130" t="s">
        <v>38</v>
      </c>
      <c r="AE130" t="s">
        <v>49</v>
      </c>
      <c r="AF130" t="s">
        <v>50</v>
      </c>
      <c r="AG130">
        <v>0</v>
      </c>
      <c r="AH130">
        <v>0</v>
      </c>
      <c r="AI130" t="s">
        <v>51</v>
      </c>
      <c r="AJ130" t="s">
        <v>51</v>
      </c>
      <c r="AK130" t="s">
        <v>51</v>
      </c>
    </row>
    <row r="131" spans="1:37" x14ac:dyDescent="0.2">
      <c r="A131">
        <v>63980</v>
      </c>
      <c r="B131" t="s">
        <v>37</v>
      </c>
      <c r="C131" t="s">
        <v>38</v>
      </c>
      <c r="D131" t="s">
        <v>253</v>
      </c>
      <c r="E131" t="s">
        <v>358</v>
      </c>
      <c r="G131" s="4">
        <v>43948.663078703704</v>
      </c>
      <c r="H131" s="4">
        <v>43948.663078703704</v>
      </c>
      <c r="I131" t="s">
        <v>50</v>
      </c>
      <c r="J131" s="5">
        <v>0</v>
      </c>
      <c r="K131" t="s">
        <v>38</v>
      </c>
      <c r="M131">
        <v>63981</v>
      </c>
      <c r="N131" t="s">
        <v>358</v>
      </c>
      <c r="O131" t="s">
        <v>359</v>
      </c>
      <c r="P131" t="s">
        <v>38</v>
      </c>
      <c r="Q131" t="s">
        <v>50</v>
      </c>
      <c r="R131">
        <v>0</v>
      </c>
      <c r="S131" t="s">
        <v>45</v>
      </c>
      <c r="T131" t="str" s="2">
        <f>=HYPERLINK("http://demo.enginatics.com:80/ecc/user/applications/log/63980.log","http://demo.enginatics.com:80/ecc/user/applications/log/63980.log")</f>
        <v>"http://demo.enginatics.com:80/ecc/user/applications/log/63980.log")</v>
      </c>
      <c r="U131">
        <v>63982</v>
      </c>
      <c r="V131" t="s">
        <v>38</v>
      </c>
      <c r="W131" t="s">
        <v>50</v>
      </c>
      <c r="X131">
        <v>0</v>
      </c>
      <c r="Y131">
        <v>0</v>
      </c>
      <c r="Z131" t="s">
        <v>46</v>
      </c>
      <c r="AA131">
        <v>63983</v>
      </c>
      <c r="AB131" t="s">
        <v>360</v>
      </c>
      <c r="AC131" t="s">
        <v>68</v>
      </c>
      <c r="AD131" t="s">
        <v>38</v>
      </c>
      <c r="AE131" t="s">
        <v>49</v>
      </c>
      <c r="AF131" t="s">
        <v>50</v>
      </c>
      <c r="AG131">
        <v>0</v>
      </c>
      <c r="AH131">
        <v>0</v>
      </c>
      <c r="AI131" t="s">
        <v>51</v>
      </c>
      <c r="AJ131" t="s">
        <v>51</v>
      </c>
      <c r="AK131" t="s">
        <v>51</v>
      </c>
    </row>
    <row r="132" spans="1:37" x14ac:dyDescent="0.2">
      <c r="A132">
        <v>63920</v>
      </c>
      <c r="B132" t="s">
        <v>37</v>
      </c>
      <c r="C132" t="s">
        <v>196</v>
      </c>
      <c r="D132" t="s">
        <v>361</v>
      </c>
      <c r="E132" t="s">
        <v>40</v>
      </c>
      <c r="G132" s="4">
        <v>43948.662476851852</v>
      </c>
      <c r="H132" s="4">
        <v>43948.662615740741</v>
      </c>
      <c r="I132" t="s">
        <v>236</v>
      </c>
      <c r="J132" s="5">
        <v>12.00000000000000000000000000000000000001</v>
      </c>
      <c r="K132" t="s">
        <v>196</v>
      </c>
      <c r="M132">
        <v>63978</v>
      </c>
      <c r="N132" t="s">
        <v>362</v>
      </c>
      <c r="O132" t="s">
        <v>363</v>
      </c>
      <c r="P132" t="s">
        <v>196</v>
      </c>
      <c r="Q132" t="s">
        <v>50</v>
      </c>
      <c r="R132">
        <v>0</v>
      </c>
      <c r="S132" t="s">
        <v>364</v>
      </c>
      <c r="T132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2">
        <v>63979</v>
      </c>
      <c r="V132" t="s">
        <v>196</v>
      </c>
      <c r="W132" t="s">
        <v>50</v>
      </c>
      <c r="X132">
        <v>0</v>
      </c>
      <c r="Y132">
        <v>0</v>
      </c>
      <c r="Z132" t="s">
        <v>365</v>
      </c>
    </row>
    <row r="133" spans="1:37" x14ac:dyDescent="0.2">
      <c r="A133">
        <v>63920</v>
      </c>
      <c r="B133" t="s">
        <v>37</v>
      </c>
      <c r="C133" t="s">
        <v>196</v>
      </c>
      <c r="D133" t="s">
        <v>361</v>
      </c>
      <c r="E133" t="s">
        <v>40</v>
      </c>
      <c r="G133" s="4">
        <v>43948.662476851852</v>
      </c>
      <c r="H133" s="4">
        <v>43948.662615740741</v>
      </c>
      <c r="I133" t="s">
        <v>236</v>
      </c>
      <c r="J133" s="5">
        <v>12.00000000000000000000000000000000000001</v>
      </c>
      <c r="K133" t="s">
        <v>196</v>
      </c>
      <c r="M133">
        <v>63974</v>
      </c>
      <c r="N133" t="s">
        <v>366</v>
      </c>
      <c r="O133" t="s">
        <v>367</v>
      </c>
      <c r="P133" t="s">
        <v>38</v>
      </c>
      <c r="Q133" t="s">
        <v>50</v>
      </c>
      <c r="R133">
        <v>0</v>
      </c>
      <c r="S133" t="s">
        <v>45</v>
      </c>
      <c r="T133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3">
        <v>63976</v>
      </c>
      <c r="V133" t="s">
        <v>38</v>
      </c>
      <c r="W133" t="s">
        <v>50</v>
      </c>
      <c r="X133">
        <v>0</v>
      </c>
      <c r="Y133">
        <v>0</v>
      </c>
      <c r="Z133" t="s">
        <v>46</v>
      </c>
      <c r="AA133">
        <v>63977</v>
      </c>
      <c r="AB133" t="s">
        <v>368</v>
      </c>
      <c r="AC133" t="s">
        <v>97</v>
      </c>
      <c r="AD133" t="s">
        <v>38</v>
      </c>
      <c r="AE133" t="s">
        <v>49</v>
      </c>
      <c r="AF133" t="s">
        <v>50</v>
      </c>
      <c r="AG133">
        <v>0</v>
      </c>
      <c r="AH133">
        <v>0</v>
      </c>
      <c r="AI133" t="s">
        <v>51</v>
      </c>
      <c r="AJ133" t="s">
        <v>51</v>
      </c>
      <c r="AK133" t="s">
        <v>51</v>
      </c>
    </row>
    <row r="134" spans="1:37" x14ac:dyDescent="0.2">
      <c r="A134">
        <v>63920</v>
      </c>
      <c r="B134" t="s">
        <v>37</v>
      </c>
      <c r="C134" t="s">
        <v>196</v>
      </c>
      <c r="D134" t="s">
        <v>361</v>
      </c>
      <c r="E134" t="s">
        <v>40</v>
      </c>
      <c r="G134" s="4">
        <v>43948.662476851852</v>
      </c>
      <c r="H134" s="4">
        <v>43948.662615740741</v>
      </c>
      <c r="I134" t="s">
        <v>236</v>
      </c>
      <c r="J134" s="5">
        <v>12.00000000000000000000000000000000000001</v>
      </c>
      <c r="K134" t="s">
        <v>196</v>
      </c>
      <c r="M134">
        <v>63971</v>
      </c>
      <c r="N134" t="s">
        <v>369</v>
      </c>
      <c r="O134" t="s">
        <v>345</v>
      </c>
      <c r="P134" t="s">
        <v>196</v>
      </c>
      <c r="Q134" t="s">
        <v>50</v>
      </c>
      <c r="R134">
        <v>0</v>
      </c>
      <c r="S134" t="s">
        <v>370</v>
      </c>
      <c r="T134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4">
        <v>63972</v>
      </c>
      <c r="V134" t="s">
        <v>196</v>
      </c>
      <c r="W134" t="s">
        <v>50</v>
      </c>
      <c r="X134">
        <v>0</v>
      </c>
      <c r="Y134">
        <v>0</v>
      </c>
      <c r="Z134" t="s">
        <v>371</v>
      </c>
    </row>
    <row r="135" spans="1:37" x14ac:dyDescent="0.2">
      <c r="A135">
        <v>63920</v>
      </c>
      <c r="B135" t="s">
        <v>37</v>
      </c>
      <c r="C135" t="s">
        <v>196</v>
      </c>
      <c r="D135" t="s">
        <v>361</v>
      </c>
      <c r="E135" t="s">
        <v>40</v>
      </c>
      <c r="G135" s="4">
        <v>43948.662476851852</v>
      </c>
      <c r="H135" s="4">
        <v>43948.662615740741</v>
      </c>
      <c r="I135" t="s">
        <v>236</v>
      </c>
      <c r="J135" s="5">
        <v>12.00000000000000000000000000000000000001</v>
      </c>
      <c r="K135" t="s">
        <v>196</v>
      </c>
      <c r="M135">
        <v>63963</v>
      </c>
      <c r="N135" t="s">
        <v>372</v>
      </c>
      <c r="O135" t="s">
        <v>373</v>
      </c>
      <c r="P135" t="s">
        <v>38</v>
      </c>
      <c r="Q135" t="s">
        <v>50</v>
      </c>
      <c r="R135">
        <v>0</v>
      </c>
      <c r="S135" t="s">
        <v>45</v>
      </c>
      <c r="T135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5">
        <v>63964</v>
      </c>
      <c r="V135" t="s">
        <v>38</v>
      </c>
      <c r="W135" t="s">
        <v>50</v>
      </c>
      <c r="X135">
        <v>0</v>
      </c>
      <c r="Y135">
        <v>0</v>
      </c>
      <c r="Z135" t="s">
        <v>46</v>
      </c>
      <c r="AA135">
        <v>63970</v>
      </c>
      <c r="AB135" t="s">
        <v>374</v>
      </c>
      <c r="AC135" t="s">
        <v>103</v>
      </c>
      <c r="AD135" t="s">
        <v>38</v>
      </c>
      <c r="AE135" t="s">
        <v>49</v>
      </c>
      <c r="AF135" t="s">
        <v>50</v>
      </c>
      <c r="AG135">
        <v>0</v>
      </c>
      <c r="AH135">
        <v>0</v>
      </c>
      <c r="AI135" t="s">
        <v>51</v>
      </c>
      <c r="AJ135" t="s">
        <v>51</v>
      </c>
      <c r="AK135" t="s">
        <v>51</v>
      </c>
    </row>
    <row r="136" spans="1:37" x14ac:dyDescent="0.2">
      <c r="A136">
        <v>63920</v>
      </c>
      <c r="B136" t="s">
        <v>37</v>
      </c>
      <c r="C136" t="s">
        <v>196</v>
      </c>
      <c r="D136" t="s">
        <v>361</v>
      </c>
      <c r="E136" t="s">
        <v>40</v>
      </c>
      <c r="G136" s="4">
        <v>43948.662476851852</v>
      </c>
      <c r="H136" s="4">
        <v>43948.662615740741</v>
      </c>
      <c r="I136" t="s">
        <v>236</v>
      </c>
      <c r="J136" s="5">
        <v>12.00000000000000000000000000000000000001</v>
      </c>
      <c r="K136" t="s">
        <v>196</v>
      </c>
      <c r="M136">
        <v>63963</v>
      </c>
      <c r="N136" t="s">
        <v>372</v>
      </c>
      <c r="O136" t="s">
        <v>373</v>
      </c>
      <c r="P136" t="s">
        <v>38</v>
      </c>
      <c r="Q136" t="s">
        <v>50</v>
      </c>
      <c r="R136">
        <v>0</v>
      </c>
      <c r="S136" t="s">
        <v>45</v>
      </c>
      <c r="T136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6">
        <v>63964</v>
      </c>
      <c r="V136" t="s">
        <v>38</v>
      </c>
      <c r="W136" t="s">
        <v>50</v>
      </c>
      <c r="X136">
        <v>0</v>
      </c>
      <c r="Y136">
        <v>0</v>
      </c>
      <c r="Z136" t="s">
        <v>46</v>
      </c>
      <c r="AA136">
        <v>63969</v>
      </c>
      <c r="AB136" t="s">
        <v>375</v>
      </c>
      <c r="AC136" t="s">
        <v>103</v>
      </c>
      <c r="AD136" t="s">
        <v>38</v>
      </c>
      <c r="AE136" t="s">
        <v>49</v>
      </c>
      <c r="AF136" t="s">
        <v>50</v>
      </c>
      <c r="AG136">
        <v>0</v>
      </c>
      <c r="AH136">
        <v>0</v>
      </c>
      <c r="AI136" t="s">
        <v>51</v>
      </c>
      <c r="AJ136" t="s">
        <v>51</v>
      </c>
      <c r="AK136" t="s">
        <v>51</v>
      </c>
    </row>
    <row r="137" spans="1:37" x14ac:dyDescent="0.2">
      <c r="A137">
        <v>63920</v>
      </c>
      <c r="B137" t="s">
        <v>37</v>
      </c>
      <c r="C137" t="s">
        <v>196</v>
      </c>
      <c r="D137" t="s">
        <v>361</v>
      </c>
      <c r="E137" t="s">
        <v>40</v>
      </c>
      <c r="G137" s="4">
        <v>43948.662476851852</v>
      </c>
      <c r="H137" s="4">
        <v>43948.662615740741</v>
      </c>
      <c r="I137" t="s">
        <v>236</v>
      </c>
      <c r="J137" s="5">
        <v>12.00000000000000000000000000000000000001</v>
      </c>
      <c r="K137" t="s">
        <v>196</v>
      </c>
      <c r="M137">
        <v>63963</v>
      </c>
      <c r="N137" t="s">
        <v>372</v>
      </c>
      <c r="O137" t="s">
        <v>373</v>
      </c>
      <c r="P137" t="s">
        <v>38</v>
      </c>
      <c r="Q137" t="s">
        <v>50</v>
      </c>
      <c r="R137">
        <v>0</v>
      </c>
      <c r="S137" t="s">
        <v>45</v>
      </c>
      <c r="T137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7">
        <v>63964</v>
      </c>
      <c r="V137" t="s">
        <v>38</v>
      </c>
      <c r="W137" t="s">
        <v>50</v>
      </c>
      <c r="X137">
        <v>0</v>
      </c>
      <c r="Y137">
        <v>0</v>
      </c>
      <c r="Z137" t="s">
        <v>46</v>
      </c>
      <c r="AA137">
        <v>63968</v>
      </c>
      <c r="AB137" t="s">
        <v>376</v>
      </c>
      <c r="AC137" t="s">
        <v>103</v>
      </c>
      <c r="AD137" t="s">
        <v>38</v>
      </c>
      <c r="AE137" t="s">
        <v>49</v>
      </c>
      <c r="AF137" t="s">
        <v>50</v>
      </c>
      <c r="AG137">
        <v>0</v>
      </c>
      <c r="AH137">
        <v>0</v>
      </c>
      <c r="AI137" t="s">
        <v>51</v>
      </c>
      <c r="AJ137" t="s">
        <v>51</v>
      </c>
      <c r="AK137" t="s">
        <v>51</v>
      </c>
    </row>
    <row r="138" spans="1:37" x14ac:dyDescent="0.2">
      <c r="A138">
        <v>63920</v>
      </c>
      <c r="B138" t="s">
        <v>37</v>
      </c>
      <c r="C138" t="s">
        <v>196</v>
      </c>
      <c r="D138" t="s">
        <v>361</v>
      </c>
      <c r="E138" t="s">
        <v>40</v>
      </c>
      <c r="G138" s="4">
        <v>43948.662476851852</v>
      </c>
      <c r="H138" s="4">
        <v>43948.662615740741</v>
      </c>
      <c r="I138" t="s">
        <v>236</v>
      </c>
      <c r="J138" s="5">
        <v>12.00000000000000000000000000000000000001</v>
      </c>
      <c r="K138" t="s">
        <v>196</v>
      </c>
      <c r="M138">
        <v>63963</v>
      </c>
      <c r="N138" t="s">
        <v>372</v>
      </c>
      <c r="O138" t="s">
        <v>373</v>
      </c>
      <c r="P138" t="s">
        <v>38</v>
      </c>
      <c r="Q138" t="s">
        <v>50</v>
      </c>
      <c r="R138">
        <v>0</v>
      </c>
      <c r="S138" t="s">
        <v>45</v>
      </c>
      <c r="T138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8">
        <v>63964</v>
      </c>
      <c r="V138" t="s">
        <v>38</v>
      </c>
      <c r="W138" t="s">
        <v>50</v>
      </c>
      <c r="X138">
        <v>0</v>
      </c>
      <c r="Y138">
        <v>0</v>
      </c>
      <c r="Z138" t="s">
        <v>46</v>
      </c>
      <c r="AA138">
        <v>63967</v>
      </c>
      <c r="AB138" t="s">
        <v>377</v>
      </c>
      <c r="AC138" t="s">
        <v>103</v>
      </c>
      <c r="AD138" t="s">
        <v>38</v>
      </c>
      <c r="AE138" t="s">
        <v>49</v>
      </c>
      <c r="AF138" t="s">
        <v>50</v>
      </c>
      <c r="AG138">
        <v>0</v>
      </c>
      <c r="AH138">
        <v>0</v>
      </c>
      <c r="AI138" t="s">
        <v>51</v>
      </c>
      <c r="AJ138" t="s">
        <v>51</v>
      </c>
      <c r="AK138" t="s">
        <v>51</v>
      </c>
    </row>
    <row r="139" spans="1:37" x14ac:dyDescent="0.2">
      <c r="A139">
        <v>63920</v>
      </c>
      <c r="B139" t="s">
        <v>37</v>
      </c>
      <c r="C139" t="s">
        <v>196</v>
      </c>
      <c r="D139" t="s">
        <v>361</v>
      </c>
      <c r="E139" t="s">
        <v>40</v>
      </c>
      <c r="G139" s="4">
        <v>43948.662476851852</v>
      </c>
      <c r="H139" s="4">
        <v>43948.662615740741</v>
      </c>
      <c r="I139" t="s">
        <v>236</v>
      </c>
      <c r="J139" s="5">
        <v>12.00000000000000000000000000000000000001</v>
      </c>
      <c r="K139" t="s">
        <v>196</v>
      </c>
      <c r="M139">
        <v>63963</v>
      </c>
      <c r="N139" t="s">
        <v>372</v>
      </c>
      <c r="O139" t="s">
        <v>373</v>
      </c>
      <c r="P139" t="s">
        <v>38</v>
      </c>
      <c r="Q139" t="s">
        <v>50</v>
      </c>
      <c r="R139">
        <v>0</v>
      </c>
      <c r="S139" t="s">
        <v>45</v>
      </c>
      <c r="T139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39">
        <v>63964</v>
      </c>
      <c r="V139" t="s">
        <v>38</v>
      </c>
      <c r="W139" t="s">
        <v>50</v>
      </c>
      <c r="X139">
        <v>0</v>
      </c>
      <c r="Y139">
        <v>0</v>
      </c>
      <c r="Z139" t="s">
        <v>46</v>
      </c>
      <c r="AA139">
        <v>63966</v>
      </c>
      <c r="AB139" t="s">
        <v>378</v>
      </c>
      <c r="AC139" t="s">
        <v>103</v>
      </c>
      <c r="AD139" t="s">
        <v>38</v>
      </c>
      <c r="AE139" t="s">
        <v>49</v>
      </c>
      <c r="AF139" t="s">
        <v>50</v>
      </c>
      <c r="AG139">
        <v>0</v>
      </c>
      <c r="AH139">
        <v>0</v>
      </c>
      <c r="AI139" t="s">
        <v>51</v>
      </c>
      <c r="AJ139" t="s">
        <v>51</v>
      </c>
      <c r="AK139" t="s">
        <v>51</v>
      </c>
    </row>
    <row r="140" spans="1:37" x14ac:dyDescent="0.2">
      <c r="A140">
        <v>63920</v>
      </c>
      <c r="B140" t="s">
        <v>37</v>
      </c>
      <c r="C140" t="s">
        <v>196</v>
      </c>
      <c r="D140" t="s">
        <v>361</v>
      </c>
      <c r="E140" t="s">
        <v>40</v>
      </c>
      <c r="G140" s="4">
        <v>43948.662476851852</v>
      </c>
      <c r="H140" s="4">
        <v>43948.662615740741</v>
      </c>
      <c r="I140" t="s">
        <v>236</v>
      </c>
      <c r="J140" s="5">
        <v>12.00000000000000000000000000000000000001</v>
      </c>
      <c r="K140" t="s">
        <v>196</v>
      </c>
      <c r="M140">
        <v>63963</v>
      </c>
      <c r="N140" t="s">
        <v>372</v>
      </c>
      <c r="O140" t="s">
        <v>373</v>
      </c>
      <c r="P140" t="s">
        <v>38</v>
      </c>
      <c r="Q140" t="s">
        <v>50</v>
      </c>
      <c r="R140">
        <v>0</v>
      </c>
      <c r="S140" t="s">
        <v>45</v>
      </c>
      <c r="T140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0">
        <v>63964</v>
      </c>
      <c r="V140" t="s">
        <v>38</v>
      </c>
      <c r="W140" t="s">
        <v>50</v>
      </c>
      <c r="X140">
        <v>0</v>
      </c>
      <c r="Y140">
        <v>0</v>
      </c>
      <c r="Z140" t="s">
        <v>46</v>
      </c>
      <c r="AA140">
        <v>63965</v>
      </c>
      <c r="AB140" t="s">
        <v>379</v>
      </c>
      <c r="AC140" t="s">
        <v>103</v>
      </c>
      <c r="AD140" t="s">
        <v>38</v>
      </c>
      <c r="AE140" t="s">
        <v>49</v>
      </c>
      <c r="AF140" t="s">
        <v>50</v>
      </c>
      <c r="AG140">
        <v>0</v>
      </c>
      <c r="AH140">
        <v>0</v>
      </c>
      <c r="AI140" t="s">
        <v>51</v>
      </c>
      <c r="AJ140" t="s">
        <v>51</v>
      </c>
      <c r="AK140" t="s">
        <v>51</v>
      </c>
    </row>
    <row r="141" spans="1:37" x14ac:dyDescent="0.2">
      <c r="A141">
        <v>63920</v>
      </c>
      <c r="B141" t="s">
        <v>37</v>
      </c>
      <c r="C141" t="s">
        <v>196</v>
      </c>
      <c r="D141" t="s">
        <v>361</v>
      </c>
      <c r="E141" t="s">
        <v>40</v>
      </c>
      <c r="G141" s="4">
        <v>43948.662476851852</v>
      </c>
      <c r="H141" s="4">
        <v>43948.662615740741</v>
      </c>
      <c r="I141" t="s">
        <v>236</v>
      </c>
      <c r="J141" s="5">
        <v>12.00000000000000000000000000000000000001</v>
      </c>
      <c r="K141" t="s">
        <v>196</v>
      </c>
      <c r="M141">
        <v>63955</v>
      </c>
      <c r="N141" t="s">
        <v>380</v>
      </c>
      <c r="O141" t="s">
        <v>381</v>
      </c>
      <c r="P141" t="s">
        <v>38</v>
      </c>
      <c r="Q141" t="s">
        <v>50</v>
      </c>
      <c r="R141">
        <v>.9999999999999999999999999999999999999996</v>
      </c>
      <c r="S141" t="s">
        <v>45</v>
      </c>
      <c r="T141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1">
        <v>63956</v>
      </c>
      <c r="V141" t="s">
        <v>38</v>
      </c>
      <c r="W141" t="s">
        <v>50</v>
      </c>
      <c r="X141">
        <v>.9999999999999999999999999999999999999996</v>
      </c>
      <c r="Y141">
        <v>0</v>
      </c>
      <c r="Z141" t="s">
        <v>46</v>
      </c>
      <c r="AA141">
        <v>63962</v>
      </c>
      <c r="AB141" t="s">
        <v>382</v>
      </c>
      <c r="AC141" t="s">
        <v>103</v>
      </c>
      <c r="AD141" t="s">
        <v>38</v>
      </c>
      <c r="AE141" t="s">
        <v>49</v>
      </c>
      <c r="AF141" t="s">
        <v>50</v>
      </c>
      <c r="AG141">
        <v>0</v>
      </c>
      <c r="AH141">
        <v>0</v>
      </c>
      <c r="AI141" t="s">
        <v>51</v>
      </c>
      <c r="AJ141" t="s">
        <v>51</v>
      </c>
      <c r="AK141" t="s">
        <v>51</v>
      </c>
    </row>
    <row r="142" spans="1:37" x14ac:dyDescent="0.2">
      <c r="A142">
        <v>63920</v>
      </c>
      <c r="B142" t="s">
        <v>37</v>
      </c>
      <c r="C142" t="s">
        <v>196</v>
      </c>
      <c r="D142" t="s">
        <v>361</v>
      </c>
      <c r="E142" t="s">
        <v>40</v>
      </c>
      <c r="G142" s="4">
        <v>43948.662476851852</v>
      </c>
      <c r="H142" s="4">
        <v>43948.662615740741</v>
      </c>
      <c r="I142" t="s">
        <v>236</v>
      </c>
      <c r="J142" s="5">
        <v>12.00000000000000000000000000000000000001</v>
      </c>
      <c r="K142" t="s">
        <v>196</v>
      </c>
      <c r="M142">
        <v>63955</v>
      </c>
      <c r="N142" t="s">
        <v>380</v>
      </c>
      <c r="O142" t="s">
        <v>381</v>
      </c>
      <c r="P142" t="s">
        <v>38</v>
      </c>
      <c r="Q142" t="s">
        <v>50</v>
      </c>
      <c r="R142">
        <v>.9999999999999999999999999999999999999996</v>
      </c>
      <c r="S142" t="s">
        <v>45</v>
      </c>
      <c r="T142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2">
        <v>63956</v>
      </c>
      <c r="V142" t="s">
        <v>38</v>
      </c>
      <c r="W142" t="s">
        <v>50</v>
      </c>
      <c r="X142">
        <v>.9999999999999999999999999999999999999996</v>
      </c>
      <c r="Y142">
        <v>0</v>
      </c>
      <c r="Z142" t="s">
        <v>46</v>
      </c>
      <c r="AA142">
        <v>63961</v>
      </c>
      <c r="AB142" t="s">
        <v>383</v>
      </c>
      <c r="AC142" t="s">
        <v>103</v>
      </c>
      <c r="AD142" t="s">
        <v>38</v>
      </c>
      <c r="AE142" t="s">
        <v>49</v>
      </c>
      <c r="AF142" t="s">
        <v>50</v>
      </c>
      <c r="AG142">
        <v>0</v>
      </c>
      <c r="AH142">
        <v>0</v>
      </c>
      <c r="AI142" t="s">
        <v>51</v>
      </c>
      <c r="AJ142" t="s">
        <v>51</v>
      </c>
      <c r="AK142" t="s">
        <v>51</v>
      </c>
    </row>
    <row r="143" spans="1:37" x14ac:dyDescent="0.2">
      <c r="A143">
        <v>63920</v>
      </c>
      <c r="B143" t="s">
        <v>37</v>
      </c>
      <c r="C143" t="s">
        <v>196</v>
      </c>
      <c r="D143" t="s">
        <v>361</v>
      </c>
      <c r="E143" t="s">
        <v>40</v>
      </c>
      <c r="G143" s="4">
        <v>43948.662476851852</v>
      </c>
      <c r="H143" s="4">
        <v>43948.662615740741</v>
      </c>
      <c r="I143" t="s">
        <v>236</v>
      </c>
      <c r="J143" s="5">
        <v>12.00000000000000000000000000000000000001</v>
      </c>
      <c r="K143" t="s">
        <v>196</v>
      </c>
      <c r="M143">
        <v>63955</v>
      </c>
      <c r="N143" t="s">
        <v>380</v>
      </c>
      <c r="O143" t="s">
        <v>381</v>
      </c>
      <c r="P143" t="s">
        <v>38</v>
      </c>
      <c r="Q143" t="s">
        <v>50</v>
      </c>
      <c r="R143">
        <v>.9999999999999999999999999999999999999996</v>
      </c>
      <c r="S143" t="s">
        <v>45</v>
      </c>
      <c r="T143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3">
        <v>63956</v>
      </c>
      <c r="V143" t="s">
        <v>38</v>
      </c>
      <c r="W143" t="s">
        <v>50</v>
      </c>
      <c r="X143">
        <v>.9999999999999999999999999999999999999996</v>
      </c>
      <c r="Y143">
        <v>0</v>
      </c>
      <c r="Z143" t="s">
        <v>46</v>
      </c>
      <c r="AA143">
        <v>63960</v>
      </c>
      <c r="AB143" t="s">
        <v>384</v>
      </c>
      <c r="AC143" t="s">
        <v>103</v>
      </c>
      <c r="AD143" t="s">
        <v>38</v>
      </c>
      <c r="AE143" t="s">
        <v>49</v>
      </c>
      <c r="AF143" t="s">
        <v>50</v>
      </c>
      <c r="AG143">
        <v>0</v>
      </c>
      <c r="AH143">
        <v>0</v>
      </c>
      <c r="AI143" t="s">
        <v>51</v>
      </c>
      <c r="AJ143" t="s">
        <v>51</v>
      </c>
      <c r="AK143" t="s">
        <v>51</v>
      </c>
    </row>
    <row r="144" spans="1:37" x14ac:dyDescent="0.2">
      <c r="A144">
        <v>63920</v>
      </c>
      <c r="B144" t="s">
        <v>37</v>
      </c>
      <c r="C144" t="s">
        <v>196</v>
      </c>
      <c r="D144" t="s">
        <v>361</v>
      </c>
      <c r="E144" t="s">
        <v>40</v>
      </c>
      <c r="G144" s="4">
        <v>43948.662476851852</v>
      </c>
      <c r="H144" s="4">
        <v>43948.662615740741</v>
      </c>
      <c r="I144" t="s">
        <v>236</v>
      </c>
      <c r="J144" s="5">
        <v>12.00000000000000000000000000000000000001</v>
      </c>
      <c r="K144" t="s">
        <v>196</v>
      </c>
      <c r="M144">
        <v>63955</v>
      </c>
      <c r="N144" t="s">
        <v>380</v>
      </c>
      <c r="O144" t="s">
        <v>381</v>
      </c>
      <c r="P144" t="s">
        <v>38</v>
      </c>
      <c r="Q144" t="s">
        <v>50</v>
      </c>
      <c r="R144">
        <v>.9999999999999999999999999999999999999996</v>
      </c>
      <c r="S144" t="s">
        <v>45</v>
      </c>
      <c r="T144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4">
        <v>63956</v>
      </c>
      <c r="V144" t="s">
        <v>38</v>
      </c>
      <c r="W144" t="s">
        <v>50</v>
      </c>
      <c r="X144">
        <v>.9999999999999999999999999999999999999996</v>
      </c>
      <c r="Y144">
        <v>0</v>
      </c>
      <c r="Z144" t="s">
        <v>46</v>
      </c>
      <c r="AA144">
        <v>63959</v>
      </c>
      <c r="AB144" t="s">
        <v>385</v>
      </c>
      <c r="AC144" t="s">
        <v>103</v>
      </c>
      <c r="AD144" t="s">
        <v>38</v>
      </c>
      <c r="AE144" t="s">
        <v>49</v>
      </c>
      <c r="AF144" t="s">
        <v>50</v>
      </c>
      <c r="AG144">
        <v>0</v>
      </c>
      <c r="AH144">
        <v>0</v>
      </c>
      <c r="AI144" t="s">
        <v>51</v>
      </c>
      <c r="AJ144" t="s">
        <v>51</v>
      </c>
      <c r="AK144" t="s">
        <v>51</v>
      </c>
    </row>
    <row r="145" spans="1:37" x14ac:dyDescent="0.2">
      <c r="A145">
        <v>63920</v>
      </c>
      <c r="B145" t="s">
        <v>37</v>
      </c>
      <c r="C145" t="s">
        <v>196</v>
      </c>
      <c r="D145" t="s">
        <v>361</v>
      </c>
      <c r="E145" t="s">
        <v>40</v>
      </c>
      <c r="G145" s="4">
        <v>43948.662476851852</v>
      </c>
      <c r="H145" s="4">
        <v>43948.662615740741</v>
      </c>
      <c r="I145" t="s">
        <v>236</v>
      </c>
      <c r="J145" s="5">
        <v>12.00000000000000000000000000000000000001</v>
      </c>
      <c r="K145" t="s">
        <v>196</v>
      </c>
      <c r="M145">
        <v>63955</v>
      </c>
      <c r="N145" t="s">
        <v>380</v>
      </c>
      <c r="O145" t="s">
        <v>381</v>
      </c>
      <c r="P145" t="s">
        <v>38</v>
      </c>
      <c r="Q145" t="s">
        <v>50</v>
      </c>
      <c r="R145">
        <v>.9999999999999999999999999999999999999996</v>
      </c>
      <c r="S145" t="s">
        <v>45</v>
      </c>
      <c r="T145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5">
        <v>63956</v>
      </c>
      <c r="V145" t="s">
        <v>38</v>
      </c>
      <c r="W145" t="s">
        <v>50</v>
      </c>
      <c r="X145">
        <v>.9999999999999999999999999999999999999996</v>
      </c>
      <c r="Y145">
        <v>0</v>
      </c>
      <c r="Z145" t="s">
        <v>46</v>
      </c>
      <c r="AA145">
        <v>63958</v>
      </c>
      <c r="AB145" t="s">
        <v>386</v>
      </c>
      <c r="AC145" t="s">
        <v>103</v>
      </c>
      <c r="AD145" t="s">
        <v>38</v>
      </c>
      <c r="AE145" t="s">
        <v>49</v>
      </c>
      <c r="AF145" t="s">
        <v>50</v>
      </c>
      <c r="AG145">
        <v>0</v>
      </c>
      <c r="AH145">
        <v>0</v>
      </c>
      <c r="AI145" t="s">
        <v>51</v>
      </c>
      <c r="AJ145" t="s">
        <v>51</v>
      </c>
      <c r="AK145" t="s">
        <v>51</v>
      </c>
    </row>
    <row r="146" spans="1:37" x14ac:dyDescent="0.2">
      <c r="A146">
        <v>63920</v>
      </c>
      <c r="B146" t="s">
        <v>37</v>
      </c>
      <c r="C146" t="s">
        <v>196</v>
      </c>
      <c r="D146" t="s">
        <v>361</v>
      </c>
      <c r="E146" t="s">
        <v>40</v>
      </c>
      <c r="G146" s="4">
        <v>43948.662476851852</v>
      </c>
      <c r="H146" s="4">
        <v>43948.662615740741</v>
      </c>
      <c r="I146" t="s">
        <v>236</v>
      </c>
      <c r="J146" s="5">
        <v>12.00000000000000000000000000000000000001</v>
      </c>
      <c r="K146" t="s">
        <v>196</v>
      </c>
      <c r="M146">
        <v>63955</v>
      </c>
      <c r="N146" t="s">
        <v>380</v>
      </c>
      <c r="O146" t="s">
        <v>381</v>
      </c>
      <c r="P146" t="s">
        <v>38</v>
      </c>
      <c r="Q146" t="s">
        <v>50</v>
      </c>
      <c r="R146">
        <v>.9999999999999999999999999999999999999996</v>
      </c>
      <c r="S146" t="s">
        <v>45</v>
      </c>
      <c r="T146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6">
        <v>63956</v>
      </c>
      <c r="V146" t="s">
        <v>38</v>
      </c>
      <c r="W146" t="s">
        <v>50</v>
      </c>
      <c r="X146">
        <v>.9999999999999999999999999999999999999996</v>
      </c>
      <c r="Y146">
        <v>0</v>
      </c>
      <c r="Z146" t="s">
        <v>46</v>
      </c>
      <c r="AA146">
        <v>63957</v>
      </c>
      <c r="AB146" t="s">
        <v>387</v>
      </c>
      <c r="AC146" t="s">
        <v>103</v>
      </c>
      <c r="AD146" t="s">
        <v>38</v>
      </c>
      <c r="AE146" t="s">
        <v>49</v>
      </c>
      <c r="AF146" t="s">
        <v>50</v>
      </c>
      <c r="AG146">
        <v>0</v>
      </c>
      <c r="AH146">
        <v>0</v>
      </c>
      <c r="AI146" t="s">
        <v>51</v>
      </c>
      <c r="AJ146" t="s">
        <v>51</v>
      </c>
      <c r="AK146" t="s">
        <v>51</v>
      </c>
    </row>
    <row r="147" spans="1:37" x14ac:dyDescent="0.2">
      <c r="A147">
        <v>63920</v>
      </c>
      <c r="B147" t="s">
        <v>37</v>
      </c>
      <c r="C147" t="s">
        <v>196</v>
      </c>
      <c r="D147" t="s">
        <v>361</v>
      </c>
      <c r="E147" t="s">
        <v>40</v>
      </c>
      <c r="G147" s="4">
        <v>43948.662476851852</v>
      </c>
      <c r="H147" s="4">
        <v>43948.662615740741</v>
      </c>
      <c r="I147" t="s">
        <v>236</v>
      </c>
      <c r="J147" s="5">
        <v>12.00000000000000000000000000000000000001</v>
      </c>
      <c r="K147" t="s">
        <v>196</v>
      </c>
      <c r="M147">
        <v>63952</v>
      </c>
      <c r="N147" t="s">
        <v>388</v>
      </c>
      <c r="O147" t="s">
        <v>389</v>
      </c>
      <c r="P147" t="s">
        <v>38</v>
      </c>
      <c r="Q147" t="s">
        <v>50</v>
      </c>
      <c r="R147">
        <v>0</v>
      </c>
      <c r="S147" t="s">
        <v>45</v>
      </c>
      <c r="T147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7">
        <v>63953</v>
      </c>
      <c r="V147" t="s">
        <v>38</v>
      </c>
      <c r="W147" t="s">
        <v>50</v>
      </c>
      <c r="X147">
        <v>0</v>
      </c>
      <c r="Y147">
        <v>0</v>
      </c>
      <c r="Z147" t="s">
        <v>46</v>
      </c>
      <c r="AA147">
        <v>63954</v>
      </c>
      <c r="AB147" t="s">
        <v>390</v>
      </c>
      <c r="AC147" t="s">
        <v>97</v>
      </c>
      <c r="AD147" t="s">
        <v>38</v>
      </c>
      <c r="AE147" t="s">
        <v>49</v>
      </c>
      <c r="AF147" t="s">
        <v>50</v>
      </c>
      <c r="AG147">
        <v>0</v>
      </c>
      <c r="AH147">
        <v>0</v>
      </c>
      <c r="AI147" t="s">
        <v>51</v>
      </c>
      <c r="AJ147" t="s">
        <v>51</v>
      </c>
      <c r="AK147" t="s">
        <v>51</v>
      </c>
    </row>
    <row r="148" spans="1:37" x14ac:dyDescent="0.2">
      <c r="A148">
        <v>63920</v>
      </c>
      <c r="B148" t="s">
        <v>37</v>
      </c>
      <c r="C148" t="s">
        <v>196</v>
      </c>
      <c r="D148" t="s">
        <v>361</v>
      </c>
      <c r="E148" t="s">
        <v>40</v>
      </c>
      <c r="G148" s="4">
        <v>43948.662476851852</v>
      </c>
      <c r="H148" s="4">
        <v>43948.662615740741</v>
      </c>
      <c r="I148" t="s">
        <v>236</v>
      </c>
      <c r="J148" s="5">
        <v>12.00000000000000000000000000000000000001</v>
      </c>
      <c r="K148" t="s">
        <v>196</v>
      </c>
      <c r="M148">
        <v>63950</v>
      </c>
      <c r="N148" t="s">
        <v>391</v>
      </c>
      <c r="O148" t="s">
        <v>392</v>
      </c>
      <c r="P148" t="s">
        <v>196</v>
      </c>
      <c r="Q148" t="s">
        <v>50</v>
      </c>
      <c r="R148">
        <v>.9999999999999999999999999999999999999996</v>
      </c>
      <c r="S148" t="s">
        <v>393</v>
      </c>
      <c r="T148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8">
        <v>63951</v>
      </c>
      <c r="V148" t="s">
        <v>196</v>
      </c>
      <c r="W148" t="s">
        <v>50</v>
      </c>
      <c r="X148">
        <v>0</v>
      </c>
      <c r="Y148">
        <v>0</v>
      </c>
      <c r="Z148" t="s">
        <v>394</v>
      </c>
    </row>
    <row r="149" spans="1:37" x14ac:dyDescent="0.2">
      <c r="A149">
        <v>63920</v>
      </c>
      <c r="B149" t="s">
        <v>37</v>
      </c>
      <c r="C149" t="s">
        <v>196</v>
      </c>
      <c r="D149" t="s">
        <v>361</v>
      </c>
      <c r="E149" t="s">
        <v>40</v>
      </c>
      <c r="G149" s="4">
        <v>43948.662476851852</v>
      </c>
      <c r="H149" s="4">
        <v>43948.662615740741</v>
      </c>
      <c r="I149" t="s">
        <v>236</v>
      </c>
      <c r="J149" s="5">
        <v>12.00000000000000000000000000000000000001</v>
      </c>
      <c r="K149" t="s">
        <v>196</v>
      </c>
      <c r="M149">
        <v>63947</v>
      </c>
      <c r="N149" t="s">
        <v>395</v>
      </c>
      <c r="O149" t="s">
        <v>396</v>
      </c>
      <c r="P149" t="s">
        <v>38</v>
      </c>
      <c r="Q149" t="s">
        <v>50</v>
      </c>
      <c r="R149">
        <v>0</v>
      </c>
      <c r="S149" t="s">
        <v>45</v>
      </c>
      <c r="T149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49">
        <v>63948</v>
      </c>
      <c r="V149" t="s">
        <v>38</v>
      </c>
      <c r="W149" t="s">
        <v>50</v>
      </c>
      <c r="X149">
        <v>0</v>
      </c>
      <c r="Y149">
        <v>0</v>
      </c>
      <c r="Z149" t="s">
        <v>46</v>
      </c>
      <c r="AA149">
        <v>63949</v>
      </c>
      <c r="AB149" t="s">
        <v>397</v>
      </c>
      <c r="AC149" t="s">
        <v>97</v>
      </c>
      <c r="AD149" t="s">
        <v>38</v>
      </c>
      <c r="AE149" t="s">
        <v>49</v>
      </c>
      <c r="AF149" t="s">
        <v>50</v>
      </c>
      <c r="AG149">
        <v>0</v>
      </c>
      <c r="AH149">
        <v>0</v>
      </c>
      <c r="AI149" t="s">
        <v>51</v>
      </c>
      <c r="AJ149" t="s">
        <v>51</v>
      </c>
      <c r="AK149" t="s">
        <v>51</v>
      </c>
    </row>
    <row r="150" spans="1:37" x14ac:dyDescent="0.2">
      <c r="A150">
        <v>63920</v>
      </c>
      <c r="B150" t="s">
        <v>37</v>
      </c>
      <c r="C150" t="s">
        <v>196</v>
      </c>
      <c r="D150" t="s">
        <v>361</v>
      </c>
      <c r="E150" t="s">
        <v>40</v>
      </c>
      <c r="G150" s="4">
        <v>43948.662476851852</v>
      </c>
      <c r="H150" s="4">
        <v>43948.662615740741</v>
      </c>
      <c r="I150" t="s">
        <v>236</v>
      </c>
      <c r="J150" s="5">
        <v>12.00000000000000000000000000000000000001</v>
      </c>
      <c r="K150" t="s">
        <v>196</v>
      </c>
      <c r="M150">
        <v>63944</v>
      </c>
      <c r="N150" t="s">
        <v>398</v>
      </c>
      <c r="O150" t="s">
        <v>399</v>
      </c>
      <c r="P150" t="s">
        <v>38</v>
      </c>
      <c r="Q150" t="s">
        <v>50</v>
      </c>
      <c r="R150">
        <v>0</v>
      </c>
      <c r="S150" t="s">
        <v>45</v>
      </c>
      <c r="T150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0">
        <v>63945</v>
      </c>
      <c r="V150" t="s">
        <v>38</v>
      </c>
      <c r="W150" t="s">
        <v>50</v>
      </c>
      <c r="X150">
        <v>0</v>
      </c>
      <c r="Y150">
        <v>0</v>
      </c>
      <c r="Z150" t="s">
        <v>46</v>
      </c>
      <c r="AA150">
        <v>63946</v>
      </c>
      <c r="AB150" t="s">
        <v>400</v>
      </c>
      <c r="AC150" t="s">
        <v>97</v>
      </c>
      <c r="AD150" t="s">
        <v>38</v>
      </c>
      <c r="AE150" t="s">
        <v>49</v>
      </c>
      <c r="AF150" t="s">
        <v>50</v>
      </c>
      <c r="AG150">
        <v>0</v>
      </c>
      <c r="AH150">
        <v>0</v>
      </c>
      <c r="AI150" t="s">
        <v>51</v>
      </c>
      <c r="AJ150" t="s">
        <v>51</v>
      </c>
      <c r="AK150" t="s">
        <v>51</v>
      </c>
    </row>
    <row r="151" spans="1:37" x14ac:dyDescent="0.2">
      <c r="A151">
        <v>63920</v>
      </c>
      <c r="B151" t="s">
        <v>37</v>
      </c>
      <c r="C151" t="s">
        <v>196</v>
      </c>
      <c r="D151" t="s">
        <v>361</v>
      </c>
      <c r="E151" t="s">
        <v>40</v>
      </c>
      <c r="G151" s="4">
        <v>43948.662476851852</v>
      </c>
      <c r="H151" s="4">
        <v>43948.662615740741</v>
      </c>
      <c r="I151" t="s">
        <v>236</v>
      </c>
      <c r="J151" s="5">
        <v>12.00000000000000000000000000000000000001</v>
      </c>
      <c r="K151" t="s">
        <v>196</v>
      </c>
      <c r="M151">
        <v>63937</v>
      </c>
      <c r="N151" t="s">
        <v>401</v>
      </c>
      <c r="O151" t="s">
        <v>402</v>
      </c>
      <c r="P151" t="s">
        <v>38</v>
      </c>
      <c r="Q151" t="s">
        <v>88</v>
      </c>
      <c r="R151">
        <v>2</v>
      </c>
      <c r="S151" t="s">
        <v>45</v>
      </c>
      <c r="T151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1">
        <v>63938</v>
      </c>
      <c r="V151" t="s">
        <v>38</v>
      </c>
      <c r="W151" t="s">
        <v>88</v>
      </c>
      <c r="X151">
        <v>2</v>
      </c>
      <c r="Y151">
        <v>0</v>
      </c>
      <c r="Z151" t="s">
        <v>46</v>
      </c>
      <c r="AA151">
        <v>63943</v>
      </c>
      <c r="AB151" t="s">
        <v>403</v>
      </c>
      <c r="AC151" t="s">
        <v>103</v>
      </c>
      <c r="AD151" t="s">
        <v>38</v>
      </c>
      <c r="AE151" t="s">
        <v>49</v>
      </c>
      <c r="AF151" t="s">
        <v>50</v>
      </c>
      <c r="AG151">
        <v>0</v>
      </c>
      <c r="AH151">
        <v>0</v>
      </c>
      <c r="AI151" t="s">
        <v>51</v>
      </c>
      <c r="AJ151" t="s">
        <v>51</v>
      </c>
      <c r="AK151" t="s">
        <v>51</v>
      </c>
    </row>
    <row r="152" spans="1:37" x14ac:dyDescent="0.2">
      <c r="A152">
        <v>63920</v>
      </c>
      <c r="B152" t="s">
        <v>37</v>
      </c>
      <c r="C152" t="s">
        <v>196</v>
      </c>
      <c r="D152" t="s">
        <v>361</v>
      </c>
      <c r="E152" t="s">
        <v>40</v>
      </c>
      <c r="G152" s="4">
        <v>43948.662476851852</v>
      </c>
      <c r="H152" s="4">
        <v>43948.662615740741</v>
      </c>
      <c r="I152" t="s">
        <v>236</v>
      </c>
      <c r="J152" s="5">
        <v>12.00000000000000000000000000000000000001</v>
      </c>
      <c r="K152" t="s">
        <v>196</v>
      </c>
      <c r="M152">
        <v>63937</v>
      </c>
      <c r="N152" t="s">
        <v>401</v>
      </c>
      <c r="O152" t="s">
        <v>402</v>
      </c>
      <c r="P152" t="s">
        <v>38</v>
      </c>
      <c r="Q152" t="s">
        <v>88</v>
      </c>
      <c r="R152">
        <v>2</v>
      </c>
      <c r="S152" t="s">
        <v>45</v>
      </c>
      <c r="T152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2">
        <v>63938</v>
      </c>
      <c r="V152" t="s">
        <v>38</v>
      </c>
      <c r="W152" t="s">
        <v>88</v>
      </c>
      <c r="X152">
        <v>2</v>
      </c>
      <c r="Y152">
        <v>0</v>
      </c>
      <c r="Z152" t="s">
        <v>46</v>
      </c>
      <c r="AA152">
        <v>63942</v>
      </c>
      <c r="AB152" t="s">
        <v>404</v>
      </c>
      <c r="AC152" t="s">
        <v>103</v>
      </c>
      <c r="AD152" t="s">
        <v>38</v>
      </c>
      <c r="AE152" t="s">
        <v>49</v>
      </c>
      <c r="AF152" t="s">
        <v>50</v>
      </c>
      <c r="AG152">
        <v>0</v>
      </c>
      <c r="AH152">
        <v>0</v>
      </c>
      <c r="AI152" t="s">
        <v>51</v>
      </c>
      <c r="AJ152" t="s">
        <v>51</v>
      </c>
      <c r="AK152" t="s">
        <v>51</v>
      </c>
    </row>
    <row r="153" spans="1:37" x14ac:dyDescent="0.2">
      <c r="A153">
        <v>63920</v>
      </c>
      <c r="B153" t="s">
        <v>37</v>
      </c>
      <c r="C153" t="s">
        <v>196</v>
      </c>
      <c r="D153" t="s">
        <v>361</v>
      </c>
      <c r="E153" t="s">
        <v>40</v>
      </c>
      <c r="G153" s="4">
        <v>43948.662476851852</v>
      </c>
      <c r="H153" s="4">
        <v>43948.662615740741</v>
      </c>
      <c r="I153" t="s">
        <v>236</v>
      </c>
      <c r="J153" s="5">
        <v>12.00000000000000000000000000000000000001</v>
      </c>
      <c r="K153" t="s">
        <v>196</v>
      </c>
      <c r="M153">
        <v>63937</v>
      </c>
      <c r="N153" t="s">
        <v>401</v>
      </c>
      <c r="O153" t="s">
        <v>402</v>
      </c>
      <c r="P153" t="s">
        <v>38</v>
      </c>
      <c r="Q153" t="s">
        <v>88</v>
      </c>
      <c r="R153">
        <v>2</v>
      </c>
      <c r="S153" t="s">
        <v>45</v>
      </c>
      <c r="T153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3">
        <v>63938</v>
      </c>
      <c r="V153" t="s">
        <v>38</v>
      </c>
      <c r="W153" t="s">
        <v>88</v>
      </c>
      <c r="X153">
        <v>2</v>
      </c>
      <c r="Y153">
        <v>0</v>
      </c>
      <c r="Z153" t="s">
        <v>46</v>
      </c>
      <c r="AA153">
        <v>63941</v>
      </c>
      <c r="AB153" t="s">
        <v>405</v>
      </c>
      <c r="AC153" t="s">
        <v>103</v>
      </c>
      <c r="AD153" t="s">
        <v>38</v>
      </c>
      <c r="AE153" t="s">
        <v>49</v>
      </c>
      <c r="AF153" t="s">
        <v>88</v>
      </c>
      <c r="AG153">
        <v>2</v>
      </c>
      <c r="AH153">
        <v>0</v>
      </c>
      <c r="AI153" t="s">
        <v>51</v>
      </c>
      <c r="AJ153" t="s">
        <v>51</v>
      </c>
      <c r="AK153" t="s">
        <v>51</v>
      </c>
    </row>
    <row r="154" spans="1:37" x14ac:dyDescent="0.2">
      <c r="A154">
        <v>63920</v>
      </c>
      <c r="B154" t="s">
        <v>37</v>
      </c>
      <c r="C154" t="s">
        <v>196</v>
      </c>
      <c r="D154" t="s">
        <v>361</v>
      </c>
      <c r="E154" t="s">
        <v>40</v>
      </c>
      <c r="G154" s="4">
        <v>43948.662476851852</v>
      </c>
      <c r="H154" s="4">
        <v>43948.662615740741</v>
      </c>
      <c r="I154" t="s">
        <v>236</v>
      </c>
      <c r="J154" s="5">
        <v>12.00000000000000000000000000000000000001</v>
      </c>
      <c r="K154" t="s">
        <v>196</v>
      </c>
      <c r="M154">
        <v>63937</v>
      </c>
      <c r="N154" t="s">
        <v>401</v>
      </c>
      <c r="O154" t="s">
        <v>402</v>
      </c>
      <c r="P154" t="s">
        <v>38</v>
      </c>
      <c r="Q154" t="s">
        <v>88</v>
      </c>
      <c r="R154">
        <v>2</v>
      </c>
      <c r="S154" t="s">
        <v>45</v>
      </c>
      <c r="T154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4">
        <v>63938</v>
      </c>
      <c r="V154" t="s">
        <v>38</v>
      </c>
      <c r="W154" t="s">
        <v>88</v>
      </c>
      <c r="X154">
        <v>2</v>
      </c>
      <c r="Y154">
        <v>0</v>
      </c>
      <c r="Z154" t="s">
        <v>46</v>
      </c>
      <c r="AA154">
        <v>63940</v>
      </c>
      <c r="AB154" t="s">
        <v>406</v>
      </c>
      <c r="AC154" t="s">
        <v>103</v>
      </c>
      <c r="AD154" t="s">
        <v>38</v>
      </c>
      <c r="AE154" t="s">
        <v>49</v>
      </c>
      <c r="AF154" t="s">
        <v>50</v>
      </c>
      <c r="AG154">
        <v>0</v>
      </c>
      <c r="AH154">
        <v>0</v>
      </c>
      <c r="AI154" t="s">
        <v>51</v>
      </c>
      <c r="AJ154" t="s">
        <v>51</v>
      </c>
      <c r="AK154" t="s">
        <v>51</v>
      </c>
    </row>
    <row r="155" spans="1:37" x14ac:dyDescent="0.2">
      <c r="A155">
        <v>63920</v>
      </c>
      <c r="B155" t="s">
        <v>37</v>
      </c>
      <c r="C155" t="s">
        <v>196</v>
      </c>
      <c r="D155" t="s">
        <v>361</v>
      </c>
      <c r="E155" t="s">
        <v>40</v>
      </c>
      <c r="G155" s="4">
        <v>43948.662476851852</v>
      </c>
      <c r="H155" s="4">
        <v>43948.662615740741</v>
      </c>
      <c r="I155" t="s">
        <v>236</v>
      </c>
      <c r="J155" s="5">
        <v>12.00000000000000000000000000000000000001</v>
      </c>
      <c r="K155" t="s">
        <v>196</v>
      </c>
      <c r="M155">
        <v>63937</v>
      </c>
      <c r="N155" t="s">
        <v>401</v>
      </c>
      <c r="O155" t="s">
        <v>402</v>
      </c>
      <c r="P155" t="s">
        <v>38</v>
      </c>
      <c r="Q155" t="s">
        <v>88</v>
      </c>
      <c r="R155">
        <v>2</v>
      </c>
      <c r="S155" t="s">
        <v>45</v>
      </c>
      <c r="T155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5">
        <v>63938</v>
      </c>
      <c r="V155" t="s">
        <v>38</v>
      </c>
      <c r="W155" t="s">
        <v>88</v>
      </c>
      <c r="X155">
        <v>2</v>
      </c>
      <c r="Y155">
        <v>0</v>
      </c>
      <c r="Z155" t="s">
        <v>46</v>
      </c>
      <c r="AA155">
        <v>63939</v>
      </c>
      <c r="AB155" t="s">
        <v>407</v>
      </c>
      <c r="AC155" t="s">
        <v>103</v>
      </c>
      <c r="AD155" t="s">
        <v>38</v>
      </c>
      <c r="AE155" t="s">
        <v>49</v>
      </c>
      <c r="AF155" t="s">
        <v>50</v>
      </c>
      <c r="AG155">
        <v>0</v>
      </c>
      <c r="AH155">
        <v>0</v>
      </c>
      <c r="AI155" t="s">
        <v>51</v>
      </c>
      <c r="AJ155" t="s">
        <v>51</v>
      </c>
      <c r="AK155" t="s">
        <v>51</v>
      </c>
    </row>
    <row r="156" spans="1:37" x14ac:dyDescent="0.2">
      <c r="A156">
        <v>63920</v>
      </c>
      <c r="B156" t="s">
        <v>37</v>
      </c>
      <c r="C156" t="s">
        <v>196</v>
      </c>
      <c r="D156" t="s">
        <v>361</v>
      </c>
      <c r="E156" t="s">
        <v>40</v>
      </c>
      <c r="G156" s="4">
        <v>43948.662476851852</v>
      </c>
      <c r="H156" s="4">
        <v>43948.662615740741</v>
      </c>
      <c r="I156" t="s">
        <v>236</v>
      </c>
      <c r="J156" s="5">
        <v>12.00000000000000000000000000000000000001</v>
      </c>
      <c r="K156" t="s">
        <v>196</v>
      </c>
      <c r="M156">
        <v>63935</v>
      </c>
      <c r="N156" t="s">
        <v>408</v>
      </c>
      <c r="O156" t="s">
        <v>409</v>
      </c>
      <c r="P156" t="s">
        <v>196</v>
      </c>
      <c r="Q156" t="s">
        <v>50</v>
      </c>
      <c r="R156">
        <v>0</v>
      </c>
      <c r="S156" t="s">
        <v>410</v>
      </c>
      <c r="T156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6">
        <v>63936</v>
      </c>
      <c r="V156" t="s">
        <v>196</v>
      </c>
      <c r="W156" t="s">
        <v>50</v>
      </c>
      <c r="X156">
        <v>0</v>
      </c>
      <c r="Y156">
        <v>0</v>
      </c>
      <c r="Z156" t="s">
        <v>411</v>
      </c>
    </row>
    <row r="157" spans="1:37" x14ac:dyDescent="0.2">
      <c r="A157">
        <v>63920</v>
      </c>
      <c r="B157" t="s">
        <v>37</v>
      </c>
      <c r="C157" t="s">
        <v>196</v>
      </c>
      <c r="D157" t="s">
        <v>361</v>
      </c>
      <c r="E157" t="s">
        <v>40</v>
      </c>
      <c r="G157" s="4">
        <v>43948.662476851852</v>
      </c>
      <c r="H157" s="4">
        <v>43948.662615740741</v>
      </c>
      <c r="I157" t="s">
        <v>236</v>
      </c>
      <c r="J157" s="5">
        <v>12.00000000000000000000000000000000000001</v>
      </c>
      <c r="K157" t="s">
        <v>196</v>
      </c>
      <c r="M157">
        <v>63932</v>
      </c>
      <c r="N157" t="s">
        <v>412</v>
      </c>
      <c r="O157" t="s">
        <v>413</v>
      </c>
      <c r="P157" t="s">
        <v>38</v>
      </c>
      <c r="Q157" t="s">
        <v>50</v>
      </c>
      <c r="R157">
        <v>0</v>
      </c>
      <c r="S157" t="s">
        <v>45</v>
      </c>
      <c r="T157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7">
        <v>63933</v>
      </c>
      <c r="V157" t="s">
        <v>38</v>
      </c>
      <c r="W157" t="s">
        <v>50</v>
      </c>
      <c r="X157">
        <v>0</v>
      </c>
      <c r="Y157">
        <v>0</v>
      </c>
      <c r="Z157" t="s">
        <v>46</v>
      </c>
      <c r="AA157">
        <v>63934</v>
      </c>
      <c r="AB157" t="s">
        <v>414</v>
      </c>
      <c r="AC157" t="s">
        <v>97</v>
      </c>
      <c r="AD157" t="s">
        <v>38</v>
      </c>
      <c r="AE157" t="s">
        <v>49</v>
      </c>
      <c r="AF157" t="s">
        <v>50</v>
      </c>
      <c r="AG157">
        <v>0</v>
      </c>
      <c r="AH157">
        <v>0</v>
      </c>
      <c r="AI157" t="s">
        <v>51</v>
      </c>
      <c r="AJ157" t="s">
        <v>51</v>
      </c>
      <c r="AK157" t="s">
        <v>51</v>
      </c>
    </row>
    <row r="158" spans="1:37" x14ac:dyDescent="0.2">
      <c r="A158">
        <v>63920</v>
      </c>
      <c r="B158" t="s">
        <v>37</v>
      </c>
      <c r="C158" t="s">
        <v>196</v>
      </c>
      <c r="D158" t="s">
        <v>361</v>
      </c>
      <c r="E158" t="s">
        <v>40</v>
      </c>
      <c r="G158" s="4">
        <v>43948.662476851852</v>
      </c>
      <c r="H158" s="4">
        <v>43948.662615740741</v>
      </c>
      <c r="I158" t="s">
        <v>236</v>
      </c>
      <c r="J158" s="5">
        <v>12.00000000000000000000000000000000000001</v>
      </c>
      <c r="K158" t="s">
        <v>196</v>
      </c>
      <c r="M158">
        <v>63928</v>
      </c>
      <c r="N158" t="s">
        <v>415</v>
      </c>
      <c r="O158" t="s">
        <v>416</v>
      </c>
      <c r="P158" t="s">
        <v>38</v>
      </c>
      <c r="Q158" t="s">
        <v>50</v>
      </c>
      <c r="R158">
        <v>.9999999999999999999999999999999999999996</v>
      </c>
      <c r="S158" t="s">
        <v>45</v>
      </c>
      <c r="T158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8">
        <v>63929</v>
      </c>
      <c r="V158" t="s">
        <v>38</v>
      </c>
      <c r="W158" t="s">
        <v>50</v>
      </c>
      <c r="X158">
        <v>.9999999999999999999999999999999999999996</v>
      </c>
      <c r="Y158">
        <v>0</v>
      </c>
      <c r="Z158" t="s">
        <v>46</v>
      </c>
      <c r="AA158">
        <v>63931</v>
      </c>
      <c r="AB158" t="s">
        <v>417</v>
      </c>
      <c r="AC158" t="s">
        <v>56</v>
      </c>
      <c r="AD158" t="s">
        <v>38</v>
      </c>
      <c r="AE158" t="s">
        <v>49</v>
      </c>
      <c r="AF158" t="s">
        <v>50</v>
      </c>
      <c r="AG158">
        <v>.9999999999999999999999999999999999999996</v>
      </c>
      <c r="AH158">
        <v>0</v>
      </c>
      <c r="AI158" t="s">
        <v>51</v>
      </c>
      <c r="AJ158" t="s">
        <v>51</v>
      </c>
      <c r="AK158" t="s">
        <v>51</v>
      </c>
    </row>
    <row r="159" spans="1:37" x14ac:dyDescent="0.2">
      <c r="A159">
        <v>63920</v>
      </c>
      <c r="B159" t="s">
        <v>37</v>
      </c>
      <c r="C159" t="s">
        <v>196</v>
      </c>
      <c r="D159" t="s">
        <v>361</v>
      </c>
      <c r="E159" t="s">
        <v>40</v>
      </c>
      <c r="G159" s="4">
        <v>43948.662476851852</v>
      </c>
      <c r="H159" s="4">
        <v>43948.662615740741</v>
      </c>
      <c r="I159" t="s">
        <v>236</v>
      </c>
      <c r="J159" s="5">
        <v>12.00000000000000000000000000000000000001</v>
      </c>
      <c r="K159" t="s">
        <v>196</v>
      </c>
      <c r="M159">
        <v>63928</v>
      </c>
      <c r="N159" t="s">
        <v>415</v>
      </c>
      <c r="O159" t="s">
        <v>416</v>
      </c>
      <c r="P159" t="s">
        <v>38</v>
      </c>
      <c r="Q159" t="s">
        <v>50</v>
      </c>
      <c r="R159">
        <v>.9999999999999999999999999999999999999996</v>
      </c>
      <c r="S159" t="s">
        <v>45</v>
      </c>
      <c r="T159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59">
        <v>63929</v>
      </c>
      <c r="V159" t="s">
        <v>38</v>
      </c>
      <c r="W159" t="s">
        <v>50</v>
      </c>
      <c r="X159">
        <v>.9999999999999999999999999999999999999996</v>
      </c>
      <c r="Y159">
        <v>0</v>
      </c>
      <c r="Z159" t="s">
        <v>46</v>
      </c>
      <c r="AA159">
        <v>63930</v>
      </c>
      <c r="AB159" t="s">
        <v>418</v>
      </c>
      <c r="AC159" t="s">
        <v>97</v>
      </c>
      <c r="AD159" t="s">
        <v>38</v>
      </c>
      <c r="AE159" t="s">
        <v>49</v>
      </c>
      <c r="AF159" t="s">
        <v>50</v>
      </c>
      <c r="AG159">
        <v>0</v>
      </c>
      <c r="AH159">
        <v>0</v>
      </c>
      <c r="AI159" t="s">
        <v>51</v>
      </c>
      <c r="AJ159" t="s">
        <v>51</v>
      </c>
      <c r="AK159" t="s">
        <v>51</v>
      </c>
    </row>
    <row r="160" spans="1:37" x14ac:dyDescent="0.2">
      <c r="A160">
        <v>63920</v>
      </c>
      <c r="B160" t="s">
        <v>37</v>
      </c>
      <c r="C160" t="s">
        <v>196</v>
      </c>
      <c r="D160" t="s">
        <v>361</v>
      </c>
      <c r="E160" t="s">
        <v>40</v>
      </c>
      <c r="G160" s="4">
        <v>43948.662476851852</v>
      </c>
      <c r="H160" s="4">
        <v>43948.662615740741</v>
      </c>
      <c r="I160" t="s">
        <v>236</v>
      </c>
      <c r="J160" s="5">
        <v>12.00000000000000000000000000000000000001</v>
      </c>
      <c r="K160" t="s">
        <v>196</v>
      </c>
      <c r="M160">
        <v>63924</v>
      </c>
      <c r="N160" t="s">
        <v>419</v>
      </c>
      <c r="O160" t="s">
        <v>420</v>
      </c>
      <c r="P160" t="s">
        <v>196</v>
      </c>
      <c r="Q160" t="s">
        <v>78</v>
      </c>
      <c r="R160">
        <v>5</v>
      </c>
      <c r="S160" t="s">
        <v>421</v>
      </c>
      <c r="T160" t="str" s="2">
        <f>=HYPERLINK("http://demo.enginatics.com:80/ecc/user/applications/log/63920.log","http://demo.enginatics.com:80/ecc/user/applications/log/63920.log")</f>
        <v>"http://demo.enginatics.com:80/ecc/user/applications/log/63920.log")</v>
      </c>
      <c r="U160">
        <v>63927</v>
      </c>
      <c r="V160" t="s">
        <v>196</v>
      </c>
      <c r="W160" t="s">
        <v>78</v>
      </c>
      <c r="X160">
        <v>5</v>
      </c>
      <c r="Y160">
        <v>0</v>
      </c>
      <c r="Z160" t="s">
        <v>422</v>
      </c>
    </row>
    <row r="161" spans="1:37" x14ac:dyDescent="0.2">
      <c r="A161">
        <v>63904</v>
      </c>
      <c r="B161" t="s">
        <v>37</v>
      </c>
      <c r="C161" t="s">
        <v>38</v>
      </c>
      <c r="D161" t="s">
        <v>295</v>
      </c>
      <c r="E161" t="s">
        <v>40</v>
      </c>
      <c r="G161" s="4">
        <v>43948.662418981481</v>
      </c>
      <c r="H161" s="4">
        <v>43948.662615740741</v>
      </c>
      <c r="I161" t="s">
        <v>324</v>
      </c>
      <c r="J161" s="5">
        <v>16.99999999999999999999999999999999999998</v>
      </c>
      <c r="K161" t="s">
        <v>38</v>
      </c>
      <c r="M161">
        <v>63925</v>
      </c>
      <c r="N161" t="s">
        <v>299</v>
      </c>
      <c r="O161" t="s">
        <v>301</v>
      </c>
      <c r="P161" t="s">
        <v>38</v>
      </c>
      <c r="Q161" t="s">
        <v>236</v>
      </c>
      <c r="R161">
        <v>12.00000000000000000000000000000000000001</v>
      </c>
      <c r="S161" t="s">
        <v>45</v>
      </c>
      <c r="T161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1">
        <v>63926</v>
      </c>
      <c r="V161" t="s">
        <v>38</v>
      </c>
      <c r="W161" t="s">
        <v>236</v>
      </c>
      <c r="X161">
        <v>12.00000000000000000000000000000000000001</v>
      </c>
      <c r="Y161">
        <v>11</v>
      </c>
      <c r="Z161" t="s">
        <v>46</v>
      </c>
      <c r="AA161">
        <v>63975</v>
      </c>
      <c r="AB161" t="s">
        <v>302</v>
      </c>
      <c r="AC161" t="s">
        <v>68</v>
      </c>
      <c r="AD161" t="s">
        <v>38</v>
      </c>
      <c r="AE161" t="s">
        <v>49</v>
      </c>
      <c r="AF161" t="s">
        <v>50</v>
      </c>
      <c r="AG161">
        <v>0</v>
      </c>
      <c r="AH161">
        <v>0</v>
      </c>
      <c r="AI161" t="s">
        <v>51</v>
      </c>
      <c r="AJ161" t="s">
        <v>51</v>
      </c>
      <c r="AK161" t="s">
        <v>51</v>
      </c>
    </row>
    <row r="162" spans="1:37" x14ac:dyDescent="0.2">
      <c r="A162">
        <v>63904</v>
      </c>
      <c r="B162" t="s">
        <v>37</v>
      </c>
      <c r="C162" t="s">
        <v>38</v>
      </c>
      <c r="D162" t="s">
        <v>295</v>
      </c>
      <c r="E162" t="s">
        <v>40</v>
      </c>
      <c r="G162" s="4">
        <v>43948.662418981481</v>
      </c>
      <c r="H162" s="4">
        <v>43948.662615740741</v>
      </c>
      <c r="I162" t="s">
        <v>324</v>
      </c>
      <c r="J162" s="5">
        <v>16.99999999999999999999999999999999999998</v>
      </c>
      <c r="K162" t="s">
        <v>38</v>
      </c>
      <c r="M162">
        <v>63925</v>
      </c>
      <c r="N162" t="s">
        <v>299</v>
      </c>
      <c r="O162" t="s">
        <v>301</v>
      </c>
      <c r="P162" t="s">
        <v>38</v>
      </c>
      <c r="Q162" t="s">
        <v>236</v>
      </c>
      <c r="R162">
        <v>12.00000000000000000000000000000000000001</v>
      </c>
      <c r="S162" t="s">
        <v>45</v>
      </c>
      <c r="T162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2">
        <v>63926</v>
      </c>
      <c r="V162" t="s">
        <v>38</v>
      </c>
      <c r="W162" t="s">
        <v>236</v>
      </c>
      <c r="X162">
        <v>12.00000000000000000000000000000000000001</v>
      </c>
      <c r="Y162">
        <v>11</v>
      </c>
      <c r="Z162" t="s">
        <v>46</v>
      </c>
      <c r="AA162">
        <v>63973</v>
      </c>
      <c r="AB162" t="s">
        <v>303</v>
      </c>
      <c r="AC162" t="s">
        <v>56</v>
      </c>
      <c r="AD162" t="s">
        <v>38</v>
      </c>
      <c r="AE162" t="s">
        <v>49</v>
      </c>
      <c r="AF162" t="s">
        <v>50</v>
      </c>
      <c r="AG162">
        <v>0</v>
      </c>
      <c r="AH162">
        <v>0</v>
      </c>
      <c r="AI162" t="s">
        <v>51</v>
      </c>
      <c r="AJ162" t="s">
        <v>51</v>
      </c>
      <c r="AK162" t="s">
        <v>51</v>
      </c>
    </row>
    <row r="163" spans="1:37" x14ac:dyDescent="0.2">
      <c r="A163">
        <v>63904</v>
      </c>
      <c r="B163" t="s">
        <v>37</v>
      </c>
      <c r="C163" t="s">
        <v>38</v>
      </c>
      <c r="D163" t="s">
        <v>295</v>
      </c>
      <c r="E163" t="s">
        <v>40</v>
      </c>
      <c r="G163" s="4">
        <v>43948.662418981481</v>
      </c>
      <c r="H163" s="4">
        <v>43948.662615740741</v>
      </c>
      <c r="I163" t="s">
        <v>324</v>
      </c>
      <c r="J163" s="5">
        <v>16.99999999999999999999999999999999999998</v>
      </c>
      <c r="K163" t="s">
        <v>38</v>
      </c>
      <c r="M163">
        <v>63921</v>
      </c>
      <c r="N163" t="s">
        <v>423</v>
      </c>
      <c r="O163" t="s">
        <v>424</v>
      </c>
      <c r="P163" t="s">
        <v>38</v>
      </c>
      <c r="Q163" t="s">
        <v>50</v>
      </c>
      <c r="R163">
        <v>0</v>
      </c>
      <c r="S163" t="s">
        <v>45</v>
      </c>
      <c r="T163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3">
        <v>63922</v>
      </c>
      <c r="V163" t="s">
        <v>38</v>
      </c>
      <c r="W163" t="s">
        <v>50</v>
      </c>
      <c r="X163">
        <v>0</v>
      </c>
      <c r="Y163">
        <v>0</v>
      </c>
      <c r="Z163" t="s">
        <v>46</v>
      </c>
      <c r="AA163">
        <v>63923</v>
      </c>
      <c r="AB163" t="s">
        <v>425</v>
      </c>
      <c r="AC163" t="s">
        <v>68</v>
      </c>
      <c r="AD163" t="s">
        <v>38</v>
      </c>
      <c r="AE163" t="s">
        <v>49</v>
      </c>
      <c r="AF163" t="s">
        <v>50</v>
      </c>
      <c r="AG163">
        <v>0</v>
      </c>
      <c r="AH163">
        <v>0</v>
      </c>
      <c r="AI163" t="s">
        <v>51</v>
      </c>
      <c r="AJ163" t="s">
        <v>51</v>
      </c>
      <c r="AK163" t="s">
        <v>51</v>
      </c>
    </row>
    <row r="164" spans="1:37" x14ac:dyDescent="0.2">
      <c r="A164">
        <v>63904</v>
      </c>
      <c r="B164" t="s">
        <v>37</v>
      </c>
      <c r="C164" t="s">
        <v>38</v>
      </c>
      <c r="D164" t="s">
        <v>295</v>
      </c>
      <c r="E164" t="s">
        <v>40</v>
      </c>
      <c r="G164" s="4">
        <v>43948.662418981481</v>
      </c>
      <c r="H164" s="4">
        <v>43948.662615740741</v>
      </c>
      <c r="I164" t="s">
        <v>324</v>
      </c>
      <c r="J164" s="5">
        <v>16.99999999999999999999999999999999999998</v>
      </c>
      <c r="K164" t="s">
        <v>38</v>
      </c>
      <c r="M164">
        <v>63917</v>
      </c>
      <c r="N164" t="s">
        <v>426</v>
      </c>
      <c r="O164" t="s">
        <v>427</v>
      </c>
      <c r="P164" t="s">
        <v>38</v>
      </c>
      <c r="Q164" t="s">
        <v>50</v>
      </c>
      <c r="R164">
        <v>0</v>
      </c>
      <c r="S164" t="s">
        <v>45</v>
      </c>
      <c r="T164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4">
        <v>63918</v>
      </c>
      <c r="V164" t="s">
        <v>38</v>
      </c>
      <c r="W164" t="s">
        <v>50</v>
      </c>
      <c r="X164">
        <v>0</v>
      </c>
      <c r="Y164">
        <v>0</v>
      </c>
      <c r="Z164" t="s">
        <v>46</v>
      </c>
      <c r="AA164">
        <v>63919</v>
      </c>
      <c r="AB164" t="s">
        <v>428</v>
      </c>
      <c r="AC164" t="s">
        <v>68</v>
      </c>
      <c r="AD164" t="s">
        <v>38</v>
      </c>
      <c r="AE164" t="s">
        <v>49</v>
      </c>
      <c r="AF164" t="s">
        <v>50</v>
      </c>
      <c r="AG164">
        <v>0</v>
      </c>
      <c r="AH164">
        <v>0</v>
      </c>
      <c r="AI164" t="s">
        <v>51</v>
      </c>
      <c r="AJ164" t="s">
        <v>51</v>
      </c>
      <c r="AK164" t="s">
        <v>51</v>
      </c>
    </row>
    <row r="165" spans="1:37" x14ac:dyDescent="0.2">
      <c r="A165">
        <v>63904</v>
      </c>
      <c r="B165" t="s">
        <v>37</v>
      </c>
      <c r="C165" t="s">
        <v>38</v>
      </c>
      <c r="D165" t="s">
        <v>295</v>
      </c>
      <c r="E165" t="s">
        <v>40</v>
      </c>
      <c r="G165" s="4">
        <v>43948.662418981481</v>
      </c>
      <c r="H165" s="4">
        <v>43948.662615740741</v>
      </c>
      <c r="I165" t="s">
        <v>324</v>
      </c>
      <c r="J165" s="5">
        <v>16.99999999999999999999999999999999999998</v>
      </c>
      <c r="K165" t="s">
        <v>38</v>
      </c>
      <c r="M165">
        <v>63914</v>
      </c>
      <c r="N165" t="s">
        <v>429</v>
      </c>
      <c r="O165" t="s">
        <v>430</v>
      </c>
      <c r="P165" t="s">
        <v>38</v>
      </c>
      <c r="Q165" t="s">
        <v>50</v>
      </c>
      <c r="R165">
        <v>0</v>
      </c>
      <c r="S165" t="s">
        <v>45</v>
      </c>
      <c r="T165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5">
        <v>63915</v>
      </c>
      <c r="V165" t="s">
        <v>38</v>
      </c>
      <c r="W165" t="s">
        <v>50</v>
      </c>
      <c r="X165">
        <v>0</v>
      </c>
      <c r="Y165">
        <v>0</v>
      </c>
      <c r="Z165" t="s">
        <v>46</v>
      </c>
      <c r="AA165">
        <v>63916</v>
      </c>
      <c r="AB165" t="s">
        <v>431</v>
      </c>
      <c r="AC165" t="s">
        <v>68</v>
      </c>
      <c r="AD165" t="s">
        <v>38</v>
      </c>
      <c r="AE165" t="s">
        <v>49</v>
      </c>
      <c r="AF165" t="s">
        <v>50</v>
      </c>
      <c r="AG165">
        <v>0</v>
      </c>
      <c r="AH165">
        <v>0</v>
      </c>
      <c r="AI165" t="s">
        <v>51</v>
      </c>
      <c r="AJ165" t="s">
        <v>51</v>
      </c>
      <c r="AK165" t="s">
        <v>51</v>
      </c>
    </row>
    <row r="166" spans="1:37" x14ac:dyDescent="0.2">
      <c r="A166">
        <v>63904</v>
      </c>
      <c r="B166" t="s">
        <v>37</v>
      </c>
      <c r="C166" t="s">
        <v>38</v>
      </c>
      <c r="D166" t="s">
        <v>295</v>
      </c>
      <c r="E166" t="s">
        <v>40</v>
      </c>
      <c r="G166" s="4">
        <v>43948.662418981481</v>
      </c>
      <c r="H166" s="4">
        <v>43948.662615740741</v>
      </c>
      <c r="I166" t="s">
        <v>324</v>
      </c>
      <c r="J166" s="5">
        <v>16.99999999999999999999999999999999999998</v>
      </c>
      <c r="K166" t="s">
        <v>38</v>
      </c>
      <c r="M166">
        <v>63911</v>
      </c>
      <c r="N166" t="s">
        <v>304</v>
      </c>
      <c r="O166" t="s">
        <v>305</v>
      </c>
      <c r="P166" t="s">
        <v>38</v>
      </c>
      <c r="Q166" t="s">
        <v>78</v>
      </c>
      <c r="R166">
        <v>5</v>
      </c>
      <c r="S166" t="s">
        <v>45</v>
      </c>
      <c r="T166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6">
        <v>63912</v>
      </c>
      <c r="V166" t="s">
        <v>38</v>
      </c>
      <c r="W166" t="s">
        <v>78</v>
      </c>
      <c r="X166">
        <v>5</v>
      </c>
      <c r="Y166">
        <v>1</v>
      </c>
      <c r="Z166" t="s">
        <v>46</v>
      </c>
      <c r="AA166">
        <v>63913</v>
      </c>
      <c r="AB166" t="s">
        <v>306</v>
      </c>
      <c r="AC166" t="s">
        <v>68</v>
      </c>
      <c r="AD166" t="s">
        <v>38</v>
      </c>
      <c r="AE166" t="s">
        <v>49</v>
      </c>
      <c r="AF166" t="s">
        <v>44</v>
      </c>
      <c r="AG166">
        <v>4</v>
      </c>
      <c r="AH166">
        <v>0</v>
      </c>
      <c r="AI166" t="s">
        <v>51</v>
      </c>
      <c r="AJ166" t="s">
        <v>51</v>
      </c>
      <c r="AK166" t="s">
        <v>51</v>
      </c>
    </row>
    <row r="167" spans="1:37" x14ac:dyDescent="0.2">
      <c r="A167">
        <v>63904</v>
      </c>
      <c r="B167" t="s">
        <v>37</v>
      </c>
      <c r="C167" t="s">
        <v>38</v>
      </c>
      <c r="D167" t="s">
        <v>295</v>
      </c>
      <c r="E167" t="s">
        <v>40</v>
      </c>
      <c r="G167" s="4">
        <v>43948.662418981481</v>
      </c>
      <c r="H167" s="4">
        <v>43948.662615740741</v>
      </c>
      <c r="I167" t="s">
        <v>324</v>
      </c>
      <c r="J167" s="5">
        <v>16.99999999999999999999999999999999999998</v>
      </c>
      <c r="K167" t="s">
        <v>38</v>
      </c>
      <c r="M167">
        <v>63908</v>
      </c>
      <c r="N167" t="s">
        <v>296</v>
      </c>
      <c r="O167" t="s">
        <v>297</v>
      </c>
      <c r="P167" t="s">
        <v>38</v>
      </c>
      <c r="Q167" t="s">
        <v>50</v>
      </c>
      <c r="R167">
        <v>0</v>
      </c>
      <c r="S167" t="s">
        <v>45</v>
      </c>
      <c r="T167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7">
        <v>63909</v>
      </c>
      <c r="V167" t="s">
        <v>38</v>
      </c>
      <c r="W167" t="s">
        <v>50</v>
      </c>
      <c r="X167">
        <v>0</v>
      </c>
      <c r="Y167">
        <v>0</v>
      </c>
      <c r="Z167" t="s">
        <v>46</v>
      </c>
      <c r="AA167">
        <v>63910</v>
      </c>
      <c r="AB167" t="s">
        <v>298</v>
      </c>
      <c r="AC167" t="s">
        <v>68</v>
      </c>
      <c r="AD167" t="s">
        <v>38</v>
      </c>
      <c r="AE167" t="s">
        <v>49</v>
      </c>
      <c r="AF167" t="s">
        <v>50</v>
      </c>
      <c r="AG167">
        <v>0</v>
      </c>
      <c r="AH167">
        <v>0</v>
      </c>
      <c r="AI167" t="s">
        <v>51</v>
      </c>
      <c r="AJ167" t="s">
        <v>51</v>
      </c>
      <c r="AK167" t="s">
        <v>51</v>
      </c>
    </row>
    <row r="168" spans="1:37" x14ac:dyDescent="0.2">
      <c r="A168">
        <v>63904</v>
      </c>
      <c r="B168" t="s">
        <v>37</v>
      </c>
      <c r="C168" t="s">
        <v>38</v>
      </c>
      <c r="D168" t="s">
        <v>295</v>
      </c>
      <c r="E168" t="s">
        <v>40</v>
      </c>
      <c r="G168" s="4">
        <v>43948.662418981481</v>
      </c>
      <c r="H168" s="4">
        <v>43948.662615740741</v>
      </c>
      <c r="I168" t="s">
        <v>324</v>
      </c>
      <c r="J168" s="5">
        <v>16.99999999999999999999999999999999999998</v>
      </c>
      <c r="K168" t="s">
        <v>38</v>
      </c>
      <c r="M168">
        <v>63905</v>
      </c>
      <c r="N168" t="s">
        <v>432</v>
      </c>
      <c r="O168" t="s">
        <v>433</v>
      </c>
      <c r="P168" t="s">
        <v>38</v>
      </c>
      <c r="Q168" t="s">
        <v>50</v>
      </c>
      <c r="R168">
        <v>0</v>
      </c>
      <c r="S168" t="s">
        <v>45</v>
      </c>
      <c r="T168" t="str" s="2">
        <f>=HYPERLINK("http://demo.enginatics.com:80/ecc/user/applications/log/63904.log","http://demo.enginatics.com:80/ecc/user/applications/log/63904.log")</f>
        <v>"http://demo.enginatics.com:80/ecc/user/applications/log/63904.log")</v>
      </c>
      <c r="U168">
        <v>63906</v>
      </c>
      <c r="V168" t="s">
        <v>38</v>
      </c>
      <c r="W168" t="s">
        <v>50</v>
      </c>
      <c r="X168">
        <v>0</v>
      </c>
      <c r="Y168">
        <v>0</v>
      </c>
      <c r="Z168" t="s">
        <v>46</v>
      </c>
      <c r="AA168">
        <v>63907</v>
      </c>
      <c r="AB168" t="s">
        <v>434</v>
      </c>
      <c r="AC168" t="s">
        <v>68</v>
      </c>
      <c r="AD168" t="s">
        <v>38</v>
      </c>
      <c r="AE168" t="s">
        <v>49</v>
      </c>
      <c r="AF168" t="s">
        <v>50</v>
      </c>
      <c r="AG168">
        <v>0</v>
      </c>
      <c r="AH168">
        <v>0</v>
      </c>
      <c r="AI168" t="s">
        <v>51</v>
      </c>
      <c r="AJ168" t="s">
        <v>51</v>
      </c>
      <c r="AK168" t="s">
        <v>51</v>
      </c>
    </row>
    <row r="169" spans="1:37" x14ac:dyDescent="0.2">
      <c r="A169">
        <v>63900</v>
      </c>
      <c r="B169" t="s">
        <v>37</v>
      </c>
      <c r="C169" t="s">
        <v>38</v>
      </c>
      <c r="D169" t="s">
        <v>295</v>
      </c>
      <c r="E169" t="s">
        <v>423</v>
      </c>
      <c r="G169" s="4">
        <v>43948.662280092593</v>
      </c>
      <c r="H169" s="4">
        <v>43948.662280092593</v>
      </c>
      <c r="I169" t="s">
        <v>50</v>
      </c>
      <c r="J169" s="5">
        <v>0</v>
      </c>
      <c r="K169" t="s">
        <v>38</v>
      </c>
      <c r="M169">
        <v>63901</v>
      </c>
      <c r="N169" t="s">
        <v>423</v>
      </c>
      <c r="O169" t="s">
        <v>424</v>
      </c>
      <c r="P169" t="s">
        <v>38</v>
      </c>
      <c r="Q169" t="s">
        <v>50</v>
      </c>
      <c r="R169">
        <v>0</v>
      </c>
      <c r="S169" t="s">
        <v>45</v>
      </c>
      <c r="T169" t="str" s="2">
        <f>=HYPERLINK("http://demo.enginatics.com:80/ecc/user/applications/log/63900.log","http://demo.enginatics.com:80/ecc/user/applications/log/63900.log")</f>
        <v>"http://demo.enginatics.com:80/ecc/user/applications/log/63900.log")</v>
      </c>
      <c r="U169">
        <v>63902</v>
      </c>
      <c r="V169" t="s">
        <v>38</v>
      </c>
      <c r="W169" t="s">
        <v>50</v>
      </c>
      <c r="X169">
        <v>0</v>
      </c>
      <c r="Y169">
        <v>0</v>
      </c>
      <c r="Z169" t="s">
        <v>46</v>
      </c>
      <c r="AA169">
        <v>63903</v>
      </c>
      <c r="AB169" t="s">
        <v>425</v>
      </c>
      <c r="AC169" t="s">
        <v>68</v>
      </c>
      <c r="AD169" t="s">
        <v>38</v>
      </c>
      <c r="AE169" t="s">
        <v>49</v>
      </c>
      <c r="AF169" t="s">
        <v>50</v>
      </c>
      <c r="AG169">
        <v>0</v>
      </c>
      <c r="AH169">
        <v>0</v>
      </c>
      <c r="AI169" t="s">
        <v>51</v>
      </c>
      <c r="AJ169" t="s">
        <v>51</v>
      </c>
      <c r="AK169" t="s">
        <v>51</v>
      </c>
    </row>
    <row r="170" spans="1:37" x14ac:dyDescent="0.2">
      <c r="A170">
        <v>63896</v>
      </c>
      <c r="B170" t="s">
        <v>37</v>
      </c>
      <c r="C170" t="s">
        <v>38</v>
      </c>
      <c r="D170" t="s">
        <v>295</v>
      </c>
      <c r="E170" t="s">
        <v>426</v>
      </c>
      <c r="G170" s="4">
        <v>43948.662268518519</v>
      </c>
      <c r="H170" s="4">
        <v>43948.662280092593</v>
      </c>
      <c r="I170" t="s">
        <v>50</v>
      </c>
      <c r="J170" s="5">
        <v>.9999999999999999999999999999999999999996</v>
      </c>
      <c r="K170" t="s">
        <v>38</v>
      </c>
      <c r="M170">
        <v>63897</v>
      </c>
      <c r="N170" t="s">
        <v>426</v>
      </c>
      <c r="O170" t="s">
        <v>427</v>
      </c>
      <c r="P170" t="s">
        <v>38</v>
      </c>
      <c r="Q170" t="s">
        <v>50</v>
      </c>
      <c r="R170">
        <v>.9999999999999999999999999999999999999996</v>
      </c>
      <c r="S170" t="s">
        <v>45</v>
      </c>
      <c r="T170" t="str" s="2">
        <f>=HYPERLINK("http://demo.enginatics.com:80/ecc/user/applications/log/63896.log","http://demo.enginatics.com:80/ecc/user/applications/log/63896.log")</f>
        <v>"http://demo.enginatics.com:80/ecc/user/applications/log/63896.log")</v>
      </c>
      <c r="U170">
        <v>63898</v>
      </c>
      <c r="V170" t="s">
        <v>38</v>
      </c>
      <c r="W170" t="s">
        <v>50</v>
      </c>
      <c r="X170">
        <v>.9999999999999999999999999999999999999996</v>
      </c>
      <c r="Y170">
        <v>0</v>
      </c>
      <c r="Z170" t="s">
        <v>46</v>
      </c>
      <c r="AA170">
        <v>63899</v>
      </c>
      <c r="AB170" t="s">
        <v>428</v>
      </c>
      <c r="AC170" t="s">
        <v>68</v>
      </c>
      <c r="AD170" t="s">
        <v>38</v>
      </c>
      <c r="AE170" t="s">
        <v>49</v>
      </c>
      <c r="AF170" t="s">
        <v>50</v>
      </c>
      <c r="AG170">
        <v>.9999999999999999999999999999999999999996</v>
      </c>
      <c r="AH170">
        <v>0</v>
      </c>
      <c r="AI170" t="s">
        <v>51</v>
      </c>
      <c r="AJ170" t="s">
        <v>51</v>
      </c>
      <c r="AK170" t="s">
        <v>51</v>
      </c>
    </row>
    <row r="171" spans="1:37" x14ac:dyDescent="0.2">
      <c r="A171">
        <v>63892</v>
      </c>
      <c r="B171" t="s">
        <v>37</v>
      </c>
      <c r="C171" t="s">
        <v>38</v>
      </c>
      <c r="D171" t="s">
        <v>295</v>
      </c>
      <c r="E171" t="s">
        <v>429</v>
      </c>
      <c r="G171" s="4">
        <v>43948.662268518519</v>
      </c>
      <c r="H171" s="4">
        <v>43948.662280092593</v>
      </c>
      <c r="I171" t="s">
        <v>50</v>
      </c>
      <c r="J171" s="5">
        <v>.9999999999999999999999999999999999999996</v>
      </c>
      <c r="K171" t="s">
        <v>38</v>
      </c>
      <c r="M171">
        <v>63893</v>
      </c>
      <c r="N171" t="s">
        <v>429</v>
      </c>
      <c r="O171" t="s">
        <v>430</v>
      </c>
      <c r="P171" t="s">
        <v>38</v>
      </c>
      <c r="Q171" t="s">
        <v>50</v>
      </c>
      <c r="R171">
        <v>.9999999999999999999999999999999999999996</v>
      </c>
      <c r="S171" t="s">
        <v>45</v>
      </c>
      <c r="T171" t="str" s="2">
        <f>=HYPERLINK("http://demo.enginatics.com:80/ecc/user/applications/log/63892.log","http://demo.enginatics.com:80/ecc/user/applications/log/63892.log")</f>
        <v>"http://demo.enginatics.com:80/ecc/user/applications/log/63892.log")</v>
      </c>
      <c r="U171">
        <v>63894</v>
      </c>
      <c r="V171" t="s">
        <v>38</v>
      </c>
      <c r="W171" t="s">
        <v>50</v>
      </c>
      <c r="X171">
        <v>.9999999999999999999999999999999999999996</v>
      </c>
      <c r="Y171">
        <v>0</v>
      </c>
      <c r="Z171" t="s">
        <v>46</v>
      </c>
      <c r="AA171">
        <v>63895</v>
      </c>
      <c r="AB171" t="s">
        <v>431</v>
      </c>
      <c r="AC171" t="s">
        <v>68</v>
      </c>
      <c r="AD171" t="s">
        <v>38</v>
      </c>
      <c r="AE171" t="s">
        <v>49</v>
      </c>
      <c r="AF171" t="s">
        <v>50</v>
      </c>
      <c r="AG171">
        <v>.9999999999999999999999999999999999999996</v>
      </c>
      <c r="AH171">
        <v>1</v>
      </c>
      <c r="AI171" t="s">
        <v>51</v>
      </c>
      <c r="AJ171" t="s">
        <v>51</v>
      </c>
      <c r="AK171" t="s">
        <v>51</v>
      </c>
    </row>
    <row r="172" spans="1:37" x14ac:dyDescent="0.2">
      <c r="A172">
        <v>63888</v>
      </c>
      <c r="B172" t="s">
        <v>37</v>
      </c>
      <c r="C172" t="s">
        <v>38</v>
      </c>
      <c r="D172" t="s">
        <v>295</v>
      </c>
      <c r="E172" t="s">
        <v>432</v>
      </c>
      <c r="G172" s="4">
        <v>43948.661608796296</v>
      </c>
      <c r="H172" s="4">
        <v>43948.661631944444</v>
      </c>
      <c r="I172" t="s">
        <v>88</v>
      </c>
      <c r="J172" s="5">
        <v>2</v>
      </c>
      <c r="K172" t="s">
        <v>38</v>
      </c>
      <c r="M172">
        <v>63889</v>
      </c>
      <c r="N172" t="s">
        <v>432</v>
      </c>
      <c r="O172" t="s">
        <v>433</v>
      </c>
      <c r="P172" t="s">
        <v>38</v>
      </c>
      <c r="Q172" t="s">
        <v>88</v>
      </c>
      <c r="R172">
        <v>2</v>
      </c>
      <c r="S172" t="s">
        <v>45</v>
      </c>
      <c r="T172" t="str" s="2">
        <f>=HYPERLINK("http://demo.enginatics.com:80/ecc/user/applications/log/63888.log","http://demo.enginatics.com:80/ecc/user/applications/log/63888.log")</f>
        <v>"http://demo.enginatics.com:80/ecc/user/applications/log/63888.log")</v>
      </c>
      <c r="U172">
        <v>63890</v>
      </c>
      <c r="V172" t="s">
        <v>38</v>
      </c>
      <c r="W172" t="s">
        <v>88</v>
      </c>
      <c r="X172">
        <v>2</v>
      </c>
      <c r="Y172">
        <v>0</v>
      </c>
      <c r="Z172" t="s">
        <v>46</v>
      </c>
      <c r="AA172">
        <v>63891</v>
      </c>
      <c r="AB172" t="s">
        <v>434</v>
      </c>
      <c r="AC172" t="s">
        <v>68</v>
      </c>
      <c r="AD172" t="s">
        <v>38</v>
      </c>
      <c r="AE172" t="s">
        <v>49</v>
      </c>
      <c r="AF172" t="s">
        <v>88</v>
      </c>
      <c r="AG172">
        <v>2</v>
      </c>
      <c r="AH172">
        <v>1</v>
      </c>
      <c r="AI172" t="s">
        <v>51</v>
      </c>
      <c r="AJ172" t="s">
        <v>51</v>
      </c>
      <c r="AK172" t="s">
        <v>51</v>
      </c>
    </row>
    <row r="173" spans="1:37" x14ac:dyDescent="0.2">
      <c r="A173">
        <v>63886</v>
      </c>
      <c r="B173" t="s">
        <v>37</v>
      </c>
      <c r="C173" t="s">
        <v>38</v>
      </c>
      <c r="D173" t="s">
        <v>83</v>
      </c>
      <c r="E173" t="s">
        <v>435</v>
      </c>
      <c r="G173" s="4">
        <v>43948.660717592593</v>
      </c>
      <c r="H173" s="4">
        <v>43948.660717592593</v>
      </c>
      <c r="I173" t="s">
        <v>50</v>
      </c>
      <c r="J173" s="5">
        <v>0</v>
      </c>
      <c r="K173" t="s">
        <v>38</v>
      </c>
      <c r="M173">
        <v>63887</v>
      </c>
      <c r="N173" t="s">
        <v>435</v>
      </c>
      <c r="O173" t="s">
        <v>436</v>
      </c>
      <c r="P173" t="s">
        <v>38</v>
      </c>
      <c r="Q173" t="s">
        <v>50</v>
      </c>
      <c r="R173">
        <v>0</v>
      </c>
      <c r="S173" t="s">
        <v>437</v>
      </c>
      <c r="T173" t="str" s="2">
        <f>=HYPERLINK("http://demo.enginatics.com:80/ecc/user/applications/log/63886.log","http://demo.enginatics.com:80/ecc/user/applications/log/63886.log")</f>
        <v>"http://demo.enginatics.com:80/ecc/user/applications/log/63886.log")</v>
      </c>
    </row>
    <row r="174" spans="1:37" x14ac:dyDescent="0.2">
      <c r="A174">
        <v>63879</v>
      </c>
      <c r="B174" t="s">
        <v>37</v>
      </c>
      <c r="C174" t="s">
        <v>38</v>
      </c>
      <c r="D174" t="s">
        <v>438</v>
      </c>
      <c r="E174" t="s">
        <v>40</v>
      </c>
      <c r="G174" s="4">
        <v>43948.659189814815</v>
      </c>
      <c r="H174" s="4">
        <v>43948.659189814815</v>
      </c>
      <c r="I174" t="s">
        <v>50</v>
      </c>
      <c r="J174" s="5">
        <v>0</v>
      </c>
      <c r="K174" t="s">
        <v>38</v>
      </c>
      <c r="M174">
        <v>63885</v>
      </c>
      <c r="N174" t="s">
        <v>439</v>
      </c>
      <c r="O174" t="s">
        <v>440</v>
      </c>
      <c r="P174" t="s">
        <v>38</v>
      </c>
      <c r="Q174" t="s">
        <v>50</v>
      </c>
      <c r="R174">
        <v>0</v>
      </c>
      <c r="S174" t="s">
        <v>441</v>
      </c>
      <c r="T174" t="str" s="2">
        <f>=HYPERLINK("http://demo.enginatics.com:80/ecc/user/applications/log/63879.log","http://demo.enginatics.com:80/ecc/user/applications/log/63879.log")</f>
        <v>"http://demo.enginatics.com:80/ecc/user/applications/log/63879.log")</v>
      </c>
    </row>
    <row r="175" spans="1:37" x14ac:dyDescent="0.2">
      <c r="A175">
        <v>63879</v>
      </c>
      <c r="B175" t="s">
        <v>37</v>
      </c>
      <c r="C175" t="s">
        <v>38</v>
      </c>
      <c r="D175" t="s">
        <v>438</v>
      </c>
      <c r="E175" t="s">
        <v>40</v>
      </c>
      <c r="G175" s="4">
        <v>43948.659189814815</v>
      </c>
      <c r="H175" s="4">
        <v>43948.659189814815</v>
      </c>
      <c r="I175" t="s">
        <v>50</v>
      </c>
      <c r="J175" s="5">
        <v>0</v>
      </c>
      <c r="K175" t="s">
        <v>38</v>
      </c>
      <c r="M175">
        <v>63884</v>
      </c>
      <c r="N175" t="s">
        <v>442</v>
      </c>
      <c r="O175" t="s">
        <v>443</v>
      </c>
      <c r="P175" t="s">
        <v>38</v>
      </c>
      <c r="Q175" t="s">
        <v>50</v>
      </c>
      <c r="R175">
        <v>0</v>
      </c>
      <c r="S175" t="s">
        <v>444</v>
      </c>
      <c r="T175" t="str" s="2">
        <f>=HYPERLINK("http://demo.enginatics.com:80/ecc/user/applications/log/63879.log","http://demo.enginatics.com:80/ecc/user/applications/log/63879.log")</f>
        <v>"http://demo.enginatics.com:80/ecc/user/applications/log/63879.log")</v>
      </c>
    </row>
    <row r="176" spans="1:37" x14ac:dyDescent="0.2">
      <c r="A176">
        <v>63879</v>
      </c>
      <c r="B176" t="s">
        <v>37</v>
      </c>
      <c r="C176" t="s">
        <v>38</v>
      </c>
      <c r="D176" t="s">
        <v>438</v>
      </c>
      <c r="E176" t="s">
        <v>40</v>
      </c>
      <c r="G176" s="4">
        <v>43948.659189814815</v>
      </c>
      <c r="H176" s="4">
        <v>43948.659189814815</v>
      </c>
      <c r="I176" t="s">
        <v>50</v>
      </c>
      <c r="J176" s="5">
        <v>0</v>
      </c>
      <c r="K176" t="s">
        <v>38</v>
      </c>
      <c r="M176">
        <v>63883</v>
      </c>
      <c r="N176" t="s">
        <v>445</v>
      </c>
      <c r="O176" t="s">
        <v>446</v>
      </c>
      <c r="P176" t="s">
        <v>38</v>
      </c>
      <c r="Q176" t="s">
        <v>50</v>
      </c>
      <c r="R176">
        <v>0</v>
      </c>
      <c r="S176" t="s">
        <v>447</v>
      </c>
      <c r="T176" t="str" s="2">
        <f>=HYPERLINK("http://demo.enginatics.com:80/ecc/user/applications/log/63879.log","http://demo.enginatics.com:80/ecc/user/applications/log/63879.log")</f>
        <v>"http://demo.enginatics.com:80/ecc/user/applications/log/63879.log")</v>
      </c>
    </row>
    <row r="177" spans="1:37" x14ac:dyDescent="0.2">
      <c r="A177">
        <v>63879</v>
      </c>
      <c r="B177" t="s">
        <v>37</v>
      </c>
      <c r="C177" t="s">
        <v>38</v>
      </c>
      <c r="D177" t="s">
        <v>438</v>
      </c>
      <c r="E177" t="s">
        <v>40</v>
      </c>
      <c r="G177" s="4">
        <v>43948.659189814815</v>
      </c>
      <c r="H177" s="4">
        <v>43948.659189814815</v>
      </c>
      <c r="I177" t="s">
        <v>50</v>
      </c>
      <c r="J177" s="5">
        <v>0</v>
      </c>
      <c r="K177" t="s">
        <v>38</v>
      </c>
      <c r="M177">
        <v>63882</v>
      </c>
      <c r="N177" t="s">
        <v>448</v>
      </c>
      <c r="O177" t="s">
        <v>449</v>
      </c>
      <c r="P177" t="s">
        <v>38</v>
      </c>
      <c r="Q177" t="s">
        <v>50</v>
      </c>
      <c r="R177">
        <v>0</v>
      </c>
      <c r="S177" t="s">
        <v>450</v>
      </c>
      <c r="T177" t="str" s="2">
        <f>=HYPERLINK("http://demo.enginatics.com:80/ecc/user/applications/log/63879.log","http://demo.enginatics.com:80/ecc/user/applications/log/63879.log")</f>
        <v>"http://demo.enginatics.com:80/ecc/user/applications/log/63879.log")</v>
      </c>
    </row>
    <row r="178" spans="1:37" x14ac:dyDescent="0.2">
      <c r="A178">
        <v>63879</v>
      </c>
      <c r="B178" t="s">
        <v>37</v>
      </c>
      <c r="C178" t="s">
        <v>38</v>
      </c>
      <c r="D178" t="s">
        <v>438</v>
      </c>
      <c r="E178" t="s">
        <v>40</v>
      </c>
      <c r="G178" s="4">
        <v>43948.659189814815</v>
      </c>
      <c r="H178" s="4">
        <v>43948.659189814815</v>
      </c>
      <c r="I178" t="s">
        <v>50</v>
      </c>
      <c r="J178" s="5">
        <v>0</v>
      </c>
      <c r="K178" t="s">
        <v>38</v>
      </c>
      <c r="M178">
        <v>63881</v>
      </c>
      <c r="N178" t="s">
        <v>451</v>
      </c>
      <c r="O178" t="s">
        <v>452</v>
      </c>
      <c r="P178" t="s">
        <v>38</v>
      </c>
      <c r="Q178" t="s">
        <v>50</v>
      </c>
      <c r="R178">
        <v>0</v>
      </c>
      <c r="S178" t="s">
        <v>453</v>
      </c>
      <c r="T178" t="str" s="2">
        <f>=HYPERLINK("http://demo.enginatics.com:80/ecc/user/applications/log/63879.log","http://demo.enginatics.com:80/ecc/user/applications/log/63879.log")</f>
        <v>"http://demo.enginatics.com:80/ecc/user/applications/log/63879.log")</v>
      </c>
    </row>
    <row r="179" spans="1:37" x14ac:dyDescent="0.2">
      <c r="A179">
        <v>63879</v>
      </c>
      <c r="B179" t="s">
        <v>37</v>
      </c>
      <c r="C179" t="s">
        <v>38</v>
      </c>
      <c r="D179" t="s">
        <v>438</v>
      </c>
      <c r="E179" t="s">
        <v>40</v>
      </c>
      <c r="G179" s="4">
        <v>43948.659189814815</v>
      </c>
      <c r="H179" s="4">
        <v>43948.659189814815</v>
      </c>
      <c r="I179" t="s">
        <v>50</v>
      </c>
      <c r="J179" s="5">
        <v>0</v>
      </c>
      <c r="K179" t="s">
        <v>38</v>
      </c>
      <c r="M179">
        <v>63880</v>
      </c>
      <c r="N179" t="s">
        <v>454</v>
      </c>
      <c r="O179" t="s">
        <v>455</v>
      </c>
      <c r="P179" t="s">
        <v>38</v>
      </c>
      <c r="Q179" t="s">
        <v>50</v>
      </c>
      <c r="R179">
        <v>0</v>
      </c>
      <c r="S179" t="s">
        <v>456</v>
      </c>
      <c r="T179" t="str" s="2">
        <f>=HYPERLINK("http://demo.enginatics.com:80/ecc/user/applications/log/63879.log","http://demo.enginatics.com:80/ecc/user/applications/log/63879.log")</f>
        <v>"http://demo.enginatics.com:80/ecc/user/applications/log/63879.log")</v>
      </c>
    </row>
    <row r="180" spans="1:37" x14ac:dyDescent="0.2">
      <c r="A180">
        <v>63875</v>
      </c>
      <c r="B180" t="s">
        <v>37</v>
      </c>
      <c r="C180" t="s">
        <v>38</v>
      </c>
      <c r="D180" t="s">
        <v>83</v>
      </c>
      <c r="E180" t="s">
        <v>457</v>
      </c>
      <c r="G180" s="4">
        <v>43948.659097222222</v>
      </c>
      <c r="H180" s="4">
        <v>43948.659097222222</v>
      </c>
      <c r="I180" t="s">
        <v>50</v>
      </c>
      <c r="J180" s="5">
        <v>0</v>
      </c>
      <c r="K180" t="s">
        <v>38</v>
      </c>
      <c r="M180">
        <v>63876</v>
      </c>
      <c r="N180" t="s">
        <v>457</v>
      </c>
      <c r="O180" t="s">
        <v>458</v>
      </c>
      <c r="P180" t="s">
        <v>38</v>
      </c>
      <c r="Q180" t="s">
        <v>50</v>
      </c>
      <c r="R180">
        <v>0</v>
      </c>
      <c r="S180" t="s">
        <v>45</v>
      </c>
      <c r="T180" t="str" s="2">
        <f>=HYPERLINK("http://demo.enginatics.com:80/ecc/user/applications/log/63875.log","http://demo.enginatics.com:80/ecc/user/applications/log/63875.log")</f>
        <v>"http://demo.enginatics.com:80/ecc/user/applications/log/63875.log")</v>
      </c>
      <c r="U180">
        <v>63877</v>
      </c>
      <c r="V180" t="s">
        <v>38</v>
      </c>
      <c r="W180" t="s">
        <v>50</v>
      </c>
      <c r="X180">
        <v>0</v>
      </c>
      <c r="Y180">
        <v>0</v>
      </c>
      <c r="Z180" t="s">
        <v>46</v>
      </c>
      <c r="AA180">
        <v>63878</v>
      </c>
      <c r="AB180" t="s">
        <v>459</v>
      </c>
      <c r="AC180" t="s">
        <v>68</v>
      </c>
      <c r="AD180" t="s">
        <v>38</v>
      </c>
      <c r="AE180" t="s">
        <v>49</v>
      </c>
      <c r="AF180" t="s">
        <v>50</v>
      </c>
      <c r="AG180">
        <v>0</v>
      </c>
      <c r="AH180">
        <v>0</v>
      </c>
      <c r="AI180" t="s">
        <v>51</v>
      </c>
      <c r="AJ180" t="s">
        <v>51</v>
      </c>
      <c r="AK180" t="s">
        <v>51</v>
      </c>
    </row>
    <row r="181" spans="1:37" x14ac:dyDescent="0.2">
      <c r="A181">
        <v>63871</v>
      </c>
      <c r="B181" t="s">
        <v>37</v>
      </c>
      <c r="C181" t="s">
        <v>38</v>
      </c>
      <c r="D181" t="s">
        <v>460</v>
      </c>
      <c r="E181" t="s">
        <v>40</v>
      </c>
      <c r="G181" s="4">
        <v>43948.609814814815</v>
      </c>
      <c r="H181" s="4">
        <v>43948.609837962963</v>
      </c>
      <c r="I181" t="s">
        <v>88</v>
      </c>
      <c r="J181" s="5">
        <v>2</v>
      </c>
      <c r="K181" t="s">
        <v>38</v>
      </c>
      <c r="M181">
        <v>63872</v>
      </c>
      <c r="N181" t="s">
        <v>461</v>
      </c>
      <c r="O181" t="s">
        <v>462</v>
      </c>
      <c r="P181" t="s">
        <v>38</v>
      </c>
      <c r="Q181" t="s">
        <v>88</v>
      </c>
      <c r="R181">
        <v>2</v>
      </c>
      <c r="S181" t="s">
        <v>45</v>
      </c>
      <c r="T181" t="str" s="2">
        <f>=HYPERLINK("http://demo.enginatics.com:80/ecc/user/applications/log/63871.log","http://demo.enginatics.com:80/ecc/user/applications/log/63871.log")</f>
        <v>"http://demo.enginatics.com:80/ecc/user/applications/log/63871.log")</v>
      </c>
      <c r="U181">
        <v>63873</v>
      </c>
      <c r="V181" t="s">
        <v>38</v>
      </c>
      <c r="W181" t="s">
        <v>88</v>
      </c>
      <c r="X181">
        <v>2</v>
      </c>
      <c r="Y181">
        <v>0</v>
      </c>
      <c r="Z181" t="s">
        <v>46</v>
      </c>
      <c r="AA181">
        <v>63874</v>
      </c>
      <c r="AB181" t="s">
        <v>463</v>
      </c>
      <c r="AC181" t="s">
        <v>68</v>
      </c>
      <c r="AD181" t="s">
        <v>38</v>
      </c>
      <c r="AE181" t="s">
        <v>49</v>
      </c>
      <c r="AF181" t="s">
        <v>88</v>
      </c>
      <c r="AG181">
        <v>2</v>
      </c>
      <c r="AH181">
        <v>1</v>
      </c>
      <c r="AI181" t="s">
        <v>51</v>
      </c>
      <c r="AJ181" t="s">
        <v>51</v>
      </c>
      <c r="AK181" t="s">
        <v>51</v>
      </c>
    </row>
    <row r="182" spans="1:37" x14ac:dyDescent="0.2">
      <c r="A182">
        <v>63846</v>
      </c>
      <c r="B182" t="s">
        <v>37</v>
      </c>
      <c r="C182" t="s">
        <v>38</v>
      </c>
      <c r="D182" t="s">
        <v>464</v>
      </c>
      <c r="E182" t="s">
        <v>40</v>
      </c>
      <c r="G182" s="4">
        <v>43948.585231481481</v>
      </c>
      <c r="H182" s="4">
        <v>43948.585358796296</v>
      </c>
      <c r="I182" t="s">
        <v>337</v>
      </c>
      <c r="J182" s="5">
        <v>11.00000000000000000000000000000000000002</v>
      </c>
      <c r="K182" t="s">
        <v>38</v>
      </c>
      <c r="M182">
        <v>63868</v>
      </c>
      <c r="N182" t="s">
        <v>465</v>
      </c>
      <c r="O182" t="s">
        <v>466</v>
      </c>
      <c r="P182" t="s">
        <v>38</v>
      </c>
      <c r="Q182" t="s">
        <v>75</v>
      </c>
      <c r="R182">
        <v>6</v>
      </c>
      <c r="S182" t="s">
        <v>45</v>
      </c>
      <c r="T182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2">
        <v>63869</v>
      </c>
      <c r="V182" t="s">
        <v>38</v>
      </c>
      <c r="W182" t="s">
        <v>78</v>
      </c>
      <c r="X182">
        <v>5</v>
      </c>
      <c r="Y182">
        <v>0</v>
      </c>
      <c r="Z182" t="s">
        <v>46</v>
      </c>
      <c r="AA182">
        <v>63870</v>
      </c>
      <c r="AB182" t="s">
        <v>467</v>
      </c>
      <c r="AC182" t="s">
        <v>68</v>
      </c>
      <c r="AD182" t="s">
        <v>38</v>
      </c>
      <c r="AE182" t="s">
        <v>468</v>
      </c>
      <c r="AF182" t="s">
        <v>78</v>
      </c>
      <c r="AG182">
        <v>5</v>
      </c>
      <c r="AH182">
        <v>0</v>
      </c>
      <c r="AI182" t="s">
        <v>469</v>
      </c>
      <c r="AJ182" t="s">
        <v>51</v>
      </c>
      <c r="AK182" t="s">
        <v>469</v>
      </c>
    </row>
    <row r="183" spans="1:37" x14ac:dyDescent="0.2">
      <c r="A183">
        <v>63846</v>
      </c>
      <c r="B183" t="s">
        <v>37</v>
      </c>
      <c r="C183" t="s">
        <v>38</v>
      </c>
      <c r="D183" t="s">
        <v>464</v>
      </c>
      <c r="E183" t="s">
        <v>40</v>
      </c>
      <c r="G183" s="4">
        <v>43948.585231481481</v>
      </c>
      <c r="H183" s="4">
        <v>43948.585358796296</v>
      </c>
      <c r="I183" t="s">
        <v>337</v>
      </c>
      <c r="J183" s="5">
        <v>11.00000000000000000000000000000000000002</v>
      </c>
      <c r="K183" t="s">
        <v>38</v>
      </c>
      <c r="M183">
        <v>63865</v>
      </c>
      <c r="N183" t="s">
        <v>470</v>
      </c>
      <c r="O183" t="s">
        <v>471</v>
      </c>
      <c r="P183" t="s">
        <v>38</v>
      </c>
      <c r="Q183" t="s">
        <v>50</v>
      </c>
      <c r="R183">
        <v>0</v>
      </c>
      <c r="S183" t="s">
        <v>45</v>
      </c>
      <c r="T183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3">
        <v>63866</v>
      </c>
      <c r="V183" t="s">
        <v>38</v>
      </c>
      <c r="W183" t="s">
        <v>50</v>
      </c>
      <c r="X183">
        <v>0</v>
      </c>
      <c r="Y183">
        <v>0</v>
      </c>
      <c r="Z183" t="s">
        <v>46</v>
      </c>
      <c r="AA183">
        <v>63867</v>
      </c>
      <c r="AB183" t="s">
        <v>472</v>
      </c>
      <c r="AC183" t="s">
        <v>68</v>
      </c>
      <c r="AD183" t="s">
        <v>38</v>
      </c>
      <c r="AE183" t="s">
        <v>49</v>
      </c>
      <c r="AF183" t="s">
        <v>50</v>
      </c>
      <c r="AG183">
        <v>0</v>
      </c>
      <c r="AH183">
        <v>0</v>
      </c>
      <c r="AI183" t="s">
        <v>51</v>
      </c>
      <c r="AJ183" t="s">
        <v>51</v>
      </c>
      <c r="AK183" t="s">
        <v>51</v>
      </c>
    </row>
    <row r="184" spans="1:37" x14ac:dyDescent="0.2">
      <c r="A184">
        <v>63846</v>
      </c>
      <c r="B184" t="s">
        <v>37</v>
      </c>
      <c r="C184" t="s">
        <v>38</v>
      </c>
      <c r="D184" t="s">
        <v>464</v>
      </c>
      <c r="E184" t="s">
        <v>40</v>
      </c>
      <c r="G184" s="4">
        <v>43948.585231481481</v>
      </c>
      <c r="H184" s="4">
        <v>43948.585358796296</v>
      </c>
      <c r="I184" t="s">
        <v>337</v>
      </c>
      <c r="J184" s="5">
        <v>11.00000000000000000000000000000000000002</v>
      </c>
      <c r="K184" t="s">
        <v>38</v>
      </c>
      <c r="M184">
        <v>63862</v>
      </c>
      <c r="N184" t="s">
        <v>473</v>
      </c>
      <c r="O184" t="s">
        <v>474</v>
      </c>
      <c r="P184" t="s">
        <v>38</v>
      </c>
      <c r="Q184" t="s">
        <v>85</v>
      </c>
      <c r="R184">
        <v>3</v>
      </c>
      <c r="S184" t="s">
        <v>45</v>
      </c>
      <c r="T184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4">
        <v>63863</v>
      </c>
      <c r="V184" t="s">
        <v>38</v>
      </c>
      <c r="W184" t="s">
        <v>85</v>
      </c>
      <c r="X184">
        <v>3</v>
      </c>
      <c r="Y184">
        <v>0</v>
      </c>
      <c r="Z184" t="s">
        <v>46</v>
      </c>
      <c r="AA184">
        <v>63864</v>
      </c>
      <c r="AB184" t="s">
        <v>475</v>
      </c>
      <c r="AC184" t="s">
        <v>68</v>
      </c>
      <c r="AD184" t="s">
        <v>38</v>
      </c>
      <c r="AE184" t="s">
        <v>476</v>
      </c>
      <c r="AF184" t="s">
        <v>85</v>
      </c>
      <c r="AG184">
        <v>3</v>
      </c>
      <c r="AH184">
        <v>0</v>
      </c>
      <c r="AI184" t="s">
        <v>477</v>
      </c>
      <c r="AJ184" t="s">
        <v>51</v>
      </c>
      <c r="AK184" t="s">
        <v>477</v>
      </c>
    </row>
    <row r="185" spans="1:37" x14ac:dyDescent="0.2">
      <c r="A185">
        <v>63846</v>
      </c>
      <c r="B185" t="s">
        <v>37</v>
      </c>
      <c r="C185" t="s">
        <v>38</v>
      </c>
      <c r="D185" t="s">
        <v>464</v>
      </c>
      <c r="E185" t="s">
        <v>40</v>
      </c>
      <c r="G185" s="4">
        <v>43948.585231481481</v>
      </c>
      <c r="H185" s="4">
        <v>43948.585358796296</v>
      </c>
      <c r="I185" t="s">
        <v>337</v>
      </c>
      <c r="J185" s="5">
        <v>11.00000000000000000000000000000000000002</v>
      </c>
      <c r="K185" t="s">
        <v>38</v>
      </c>
      <c r="M185">
        <v>63859</v>
      </c>
      <c r="N185" t="s">
        <v>478</v>
      </c>
      <c r="O185" t="s">
        <v>479</v>
      </c>
      <c r="P185" t="s">
        <v>38</v>
      </c>
      <c r="Q185" t="s">
        <v>50</v>
      </c>
      <c r="R185">
        <v>.9999999999999999999999999999999999999996</v>
      </c>
      <c r="S185" t="s">
        <v>45</v>
      </c>
      <c r="T185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5">
        <v>63860</v>
      </c>
      <c r="V185" t="s">
        <v>38</v>
      </c>
      <c r="W185" t="s">
        <v>50</v>
      </c>
      <c r="X185">
        <v>.9999999999999999999999999999999999999996</v>
      </c>
      <c r="Y185">
        <v>0</v>
      </c>
      <c r="Z185" t="s">
        <v>46</v>
      </c>
      <c r="AA185">
        <v>63861</v>
      </c>
      <c r="AB185" t="s">
        <v>480</v>
      </c>
      <c r="AC185" t="s">
        <v>68</v>
      </c>
      <c r="AD185" t="s">
        <v>38</v>
      </c>
      <c r="AE185" t="s">
        <v>49</v>
      </c>
      <c r="AF185" t="s">
        <v>50</v>
      </c>
      <c r="AG185">
        <v>0</v>
      </c>
      <c r="AH185">
        <v>0</v>
      </c>
      <c r="AI185" t="s">
        <v>51</v>
      </c>
      <c r="AJ185" t="s">
        <v>51</v>
      </c>
      <c r="AK185" t="s">
        <v>51</v>
      </c>
    </row>
    <row r="186" spans="1:37" x14ac:dyDescent="0.2">
      <c r="A186">
        <v>63846</v>
      </c>
      <c r="B186" t="s">
        <v>37</v>
      </c>
      <c r="C186" t="s">
        <v>38</v>
      </c>
      <c r="D186" t="s">
        <v>464</v>
      </c>
      <c r="E186" t="s">
        <v>40</v>
      </c>
      <c r="G186" s="4">
        <v>43948.585231481481</v>
      </c>
      <c r="H186" s="4">
        <v>43948.585358796296</v>
      </c>
      <c r="I186" t="s">
        <v>337</v>
      </c>
      <c r="J186" s="5">
        <v>11.00000000000000000000000000000000000002</v>
      </c>
      <c r="K186" t="s">
        <v>38</v>
      </c>
      <c r="M186">
        <v>63856</v>
      </c>
      <c r="N186" t="s">
        <v>481</v>
      </c>
      <c r="O186" t="s">
        <v>482</v>
      </c>
      <c r="P186" t="s">
        <v>38</v>
      </c>
      <c r="Q186" t="s">
        <v>50</v>
      </c>
      <c r="R186">
        <v>0</v>
      </c>
      <c r="S186" t="s">
        <v>45</v>
      </c>
      <c r="T186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6">
        <v>63857</v>
      </c>
      <c r="V186" t="s">
        <v>38</v>
      </c>
      <c r="W186" t="s">
        <v>50</v>
      </c>
      <c r="X186">
        <v>0</v>
      </c>
      <c r="Y186">
        <v>0</v>
      </c>
      <c r="Z186" t="s">
        <v>46</v>
      </c>
      <c r="AA186">
        <v>63858</v>
      </c>
      <c r="AB186" t="s">
        <v>483</v>
      </c>
      <c r="AC186" t="s">
        <v>68</v>
      </c>
      <c r="AD186" t="s">
        <v>38</v>
      </c>
      <c r="AE186" t="s">
        <v>49</v>
      </c>
      <c r="AF186" t="s">
        <v>50</v>
      </c>
      <c r="AG186">
        <v>0</v>
      </c>
      <c r="AH186">
        <v>0</v>
      </c>
      <c r="AI186" t="s">
        <v>51</v>
      </c>
      <c r="AJ186" t="s">
        <v>51</v>
      </c>
      <c r="AK186" t="s">
        <v>51</v>
      </c>
    </row>
    <row r="187" spans="1:37" x14ac:dyDescent="0.2">
      <c r="A187">
        <v>63846</v>
      </c>
      <c r="B187" t="s">
        <v>37</v>
      </c>
      <c r="C187" t="s">
        <v>38</v>
      </c>
      <c r="D187" t="s">
        <v>464</v>
      </c>
      <c r="E187" t="s">
        <v>40</v>
      </c>
      <c r="G187" s="4">
        <v>43948.585231481481</v>
      </c>
      <c r="H187" s="4">
        <v>43948.585358796296</v>
      </c>
      <c r="I187" t="s">
        <v>337</v>
      </c>
      <c r="J187" s="5">
        <v>11.00000000000000000000000000000000000002</v>
      </c>
      <c r="K187" t="s">
        <v>38</v>
      </c>
      <c r="M187">
        <v>63853</v>
      </c>
      <c r="N187" t="s">
        <v>484</v>
      </c>
      <c r="O187" t="s">
        <v>485</v>
      </c>
      <c r="P187" t="s">
        <v>38</v>
      </c>
      <c r="Q187" t="s">
        <v>50</v>
      </c>
      <c r="R187">
        <v>0</v>
      </c>
      <c r="S187" t="s">
        <v>45</v>
      </c>
      <c r="T187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7">
        <v>63854</v>
      </c>
      <c r="V187" t="s">
        <v>38</v>
      </c>
      <c r="W187" t="s">
        <v>50</v>
      </c>
      <c r="X187">
        <v>0</v>
      </c>
      <c r="Y187">
        <v>0</v>
      </c>
      <c r="Z187" t="s">
        <v>46</v>
      </c>
      <c r="AA187">
        <v>63855</v>
      </c>
      <c r="AB187" t="s">
        <v>486</v>
      </c>
      <c r="AC187" t="s">
        <v>68</v>
      </c>
      <c r="AD187" t="s">
        <v>38</v>
      </c>
      <c r="AE187" t="s">
        <v>49</v>
      </c>
      <c r="AF187" t="s">
        <v>50</v>
      </c>
      <c r="AG187">
        <v>0</v>
      </c>
      <c r="AH187">
        <v>0</v>
      </c>
      <c r="AI187" t="s">
        <v>51</v>
      </c>
      <c r="AJ187" t="s">
        <v>51</v>
      </c>
      <c r="AK187" t="s">
        <v>51</v>
      </c>
    </row>
    <row r="188" spans="1:37" x14ac:dyDescent="0.2">
      <c r="A188">
        <v>63846</v>
      </c>
      <c r="B188" t="s">
        <v>37</v>
      </c>
      <c r="C188" t="s">
        <v>38</v>
      </c>
      <c r="D188" t="s">
        <v>464</v>
      </c>
      <c r="E188" t="s">
        <v>40</v>
      </c>
      <c r="G188" s="4">
        <v>43948.585231481481</v>
      </c>
      <c r="H188" s="4">
        <v>43948.585358796296</v>
      </c>
      <c r="I188" t="s">
        <v>337</v>
      </c>
      <c r="J188" s="5">
        <v>11.00000000000000000000000000000000000002</v>
      </c>
      <c r="K188" t="s">
        <v>38</v>
      </c>
      <c r="M188">
        <v>63850</v>
      </c>
      <c r="N188" t="s">
        <v>487</v>
      </c>
      <c r="O188" t="s">
        <v>488</v>
      </c>
      <c r="P188" t="s">
        <v>38</v>
      </c>
      <c r="Q188" t="s">
        <v>50</v>
      </c>
      <c r="R188">
        <v>0</v>
      </c>
      <c r="S188" t="s">
        <v>45</v>
      </c>
      <c r="T188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8">
        <v>63851</v>
      </c>
      <c r="V188" t="s">
        <v>38</v>
      </c>
      <c r="W188" t="s">
        <v>50</v>
      </c>
      <c r="X188">
        <v>0</v>
      </c>
      <c r="Y188">
        <v>0</v>
      </c>
      <c r="Z188" t="s">
        <v>46</v>
      </c>
      <c r="AA188">
        <v>63852</v>
      </c>
      <c r="AB188" t="s">
        <v>489</v>
      </c>
      <c r="AC188" t="s">
        <v>68</v>
      </c>
      <c r="AD188" t="s">
        <v>38</v>
      </c>
      <c r="AE188" t="s">
        <v>49</v>
      </c>
      <c r="AF188" t="s">
        <v>50</v>
      </c>
      <c r="AG188">
        <v>0</v>
      </c>
      <c r="AH188">
        <v>0</v>
      </c>
      <c r="AI188" t="s">
        <v>51</v>
      </c>
      <c r="AJ188" t="s">
        <v>51</v>
      </c>
      <c r="AK188" t="s">
        <v>51</v>
      </c>
    </row>
    <row r="189" spans="1:37" x14ac:dyDescent="0.2">
      <c r="A189">
        <v>63846</v>
      </c>
      <c r="B189" t="s">
        <v>37</v>
      </c>
      <c r="C189" t="s">
        <v>38</v>
      </c>
      <c r="D189" t="s">
        <v>464</v>
      </c>
      <c r="E189" t="s">
        <v>40</v>
      </c>
      <c r="G189" s="4">
        <v>43948.585231481481</v>
      </c>
      <c r="H189" s="4">
        <v>43948.585358796296</v>
      </c>
      <c r="I189" t="s">
        <v>337</v>
      </c>
      <c r="J189" s="5">
        <v>11.00000000000000000000000000000000000002</v>
      </c>
      <c r="K189" t="s">
        <v>38</v>
      </c>
      <c r="M189">
        <v>63847</v>
      </c>
      <c r="N189" t="s">
        <v>490</v>
      </c>
      <c r="O189" t="s">
        <v>491</v>
      </c>
      <c r="P189" t="s">
        <v>38</v>
      </c>
      <c r="Q189" t="s">
        <v>50</v>
      </c>
      <c r="R189">
        <v>.9999999999999999999999999999999999999996</v>
      </c>
      <c r="S189" t="s">
        <v>45</v>
      </c>
      <c r="T189" t="str" s="2">
        <f>=HYPERLINK("http://demo.enginatics.com:80/ecc/user/applications/log/63846.log","http://demo.enginatics.com:80/ecc/user/applications/log/63846.log")</f>
        <v>"http://demo.enginatics.com:80/ecc/user/applications/log/63846.log")</v>
      </c>
      <c r="U189">
        <v>63848</v>
      </c>
      <c r="V189" t="s">
        <v>38</v>
      </c>
      <c r="W189" t="s">
        <v>50</v>
      </c>
      <c r="X189">
        <v>.9999999999999999999999999999999999999996</v>
      </c>
      <c r="Y189">
        <v>0</v>
      </c>
      <c r="Z189" t="s">
        <v>46</v>
      </c>
      <c r="AA189">
        <v>63849</v>
      </c>
      <c r="AB189" t="s">
        <v>492</v>
      </c>
      <c r="AC189" t="s">
        <v>68</v>
      </c>
      <c r="AD189" t="s">
        <v>38</v>
      </c>
      <c r="AE189" t="s">
        <v>49</v>
      </c>
      <c r="AF189" t="s">
        <v>50</v>
      </c>
      <c r="AG189">
        <v>.9999999999999999999999999999999999999996</v>
      </c>
      <c r="AH189">
        <v>0</v>
      </c>
      <c r="AI189" t="s">
        <v>51</v>
      </c>
      <c r="AJ189" t="s">
        <v>51</v>
      </c>
      <c r="AK189" t="s">
        <v>51</v>
      </c>
    </row>
    <row r="190" spans="1:37" x14ac:dyDescent="0.2">
      <c r="A190">
        <v>63821</v>
      </c>
      <c r="B190" t="s">
        <v>37</v>
      </c>
      <c r="C190" t="s">
        <v>38</v>
      </c>
      <c r="D190" t="s">
        <v>464</v>
      </c>
      <c r="E190" t="s">
        <v>40</v>
      </c>
      <c r="G190" s="4">
        <v>43948.582488425926</v>
      </c>
      <c r="H190" s="4">
        <v>43948.582627314815</v>
      </c>
      <c r="I190" t="s">
        <v>236</v>
      </c>
      <c r="J190" s="5">
        <v>12.00000000000000000000000000000000000001</v>
      </c>
      <c r="K190" t="s">
        <v>38</v>
      </c>
      <c r="M190">
        <v>63843</v>
      </c>
      <c r="N190" t="s">
        <v>465</v>
      </c>
      <c r="O190" t="s">
        <v>466</v>
      </c>
      <c r="P190" t="s">
        <v>38</v>
      </c>
      <c r="Q190" t="s">
        <v>247</v>
      </c>
      <c r="R190">
        <v>7</v>
      </c>
      <c r="S190" t="s">
        <v>45</v>
      </c>
      <c r="T190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0">
        <v>63844</v>
      </c>
      <c r="V190" t="s">
        <v>38</v>
      </c>
      <c r="W190" t="s">
        <v>247</v>
      </c>
      <c r="X190">
        <v>7</v>
      </c>
      <c r="Y190">
        <v>0</v>
      </c>
      <c r="Z190" t="s">
        <v>46</v>
      </c>
      <c r="AA190">
        <v>63845</v>
      </c>
      <c r="AB190" t="s">
        <v>467</v>
      </c>
      <c r="AC190" t="s">
        <v>68</v>
      </c>
      <c r="AD190" t="s">
        <v>38</v>
      </c>
      <c r="AE190" t="s">
        <v>468</v>
      </c>
      <c r="AF190" t="s">
        <v>78</v>
      </c>
      <c r="AG190">
        <v>5</v>
      </c>
      <c r="AH190">
        <v>0</v>
      </c>
      <c r="AI190" t="s">
        <v>469</v>
      </c>
      <c r="AJ190" t="s">
        <v>51</v>
      </c>
      <c r="AK190" t="s">
        <v>469</v>
      </c>
    </row>
    <row r="191" spans="1:37" x14ac:dyDescent="0.2">
      <c r="A191">
        <v>63821</v>
      </c>
      <c r="B191" t="s">
        <v>37</v>
      </c>
      <c r="C191" t="s">
        <v>38</v>
      </c>
      <c r="D191" t="s">
        <v>464</v>
      </c>
      <c r="E191" t="s">
        <v>40</v>
      </c>
      <c r="G191" s="4">
        <v>43948.582488425926</v>
      </c>
      <c r="H191" s="4">
        <v>43948.582627314815</v>
      </c>
      <c r="I191" t="s">
        <v>236</v>
      </c>
      <c r="J191" s="5">
        <v>12.00000000000000000000000000000000000001</v>
      </c>
      <c r="K191" t="s">
        <v>38</v>
      </c>
      <c r="M191">
        <v>63840</v>
      </c>
      <c r="N191" t="s">
        <v>470</v>
      </c>
      <c r="O191" t="s">
        <v>471</v>
      </c>
      <c r="P191" t="s">
        <v>38</v>
      </c>
      <c r="Q191" t="s">
        <v>50</v>
      </c>
      <c r="R191">
        <v>0</v>
      </c>
      <c r="S191" t="s">
        <v>45</v>
      </c>
      <c r="T191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1">
        <v>63841</v>
      </c>
      <c r="V191" t="s">
        <v>38</v>
      </c>
      <c r="W191" t="s">
        <v>50</v>
      </c>
      <c r="X191">
        <v>0</v>
      </c>
      <c r="Y191">
        <v>0</v>
      </c>
      <c r="Z191" t="s">
        <v>46</v>
      </c>
      <c r="AA191">
        <v>63842</v>
      </c>
      <c r="AB191" t="s">
        <v>472</v>
      </c>
      <c r="AC191" t="s">
        <v>68</v>
      </c>
      <c r="AD191" t="s">
        <v>38</v>
      </c>
      <c r="AE191" t="s">
        <v>49</v>
      </c>
      <c r="AF191" t="s">
        <v>50</v>
      </c>
      <c r="AG191">
        <v>0</v>
      </c>
      <c r="AH191">
        <v>0</v>
      </c>
      <c r="AI191" t="s">
        <v>51</v>
      </c>
      <c r="AJ191" t="s">
        <v>51</v>
      </c>
      <c r="AK191" t="s">
        <v>51</v>
      </c>
    </row>
    <row r="192" spans="1:37" x14ac:dyDescent="0.2">
      <c r="A192">
        <v>63821</v>
      </c>
      <c r="B192" t="s">
        <v>37</v>
      </c>
      <c r="C192" t="s">
        <v>38</v>
      </c>
      <c r="D192" t="s">
        <v>464</v>
      </c>
      <c r="E192" t="s">
        <v>40</v>
      </c>
      <c r="G192" s="4">
        <v>43948.582488425926</v>
      </c>
      <c r="H192" s="4">
        <v>43948.582627314815</v>
      </c>
      <c r="I192" t="s">
        <v>236</v>
      </c>
      <c r="J192" s="5">
        <v>12.00000000000000000000000000000000000001</v>
      </c>
      <c r="K192" t="s">
        <v>38</v>
      </c>
      <c r="M192">
        <v>63837</v>
      </c>
      <c r="N192" t="s">
        <v>473</v>
      </c>
      <c r="O192" t="s">
        <v>474</v>
      </c>
      <c r="P192" t="s">
        <v>38</v>
      </c>
      <c r="Q192" t="s">
        <v>85</v>
      </c>
      <c r="R192">
        <v>3</v>
      </c>
      <c r="S192" t="s">
        <v>45</v>
      </c>
      <c r="T192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2">
        <v>63838</v>
      </c>
      <c r="V192" t="s">
        <v>38</v>
      </c>
      <c r="W192" t="s">
        <v>85</v>
      </c>
      <c r="X192">
        <v>3</v>
      </c>
      <c r="Y192">
        <v>0</v>
      </c>
      <c r="Z192" t="s">
        <v>46</v>
      </c>
      <c r="AA192">
        <v>63839</v>
      </c>
      <c r="AB192" t="s">
        <v>475</v>
      </c>
      <c r="AC192" t="s">
        <v>68</v>
      </c>
      <c r="AD192" t="s">
        <v>38</v>
      </c>
      <c r="AE192" t="s">
        <v>476</v>
      </c>
      <c r="AF192" t="s">
        <v>85</v>
      </c>
      <c r="AG192">
        <v>3</v>
      </c>
      <c r="AH192">
        <v>0</v>
      </c>
      <c r="AI192" t="s">
        <v>477</v>
      </c>
      <c r="AJ192" t="s">
        <v>51</v>
      </c>
      <c r="AK192" t="s">
        <v>477</v>
      </c>
    </row>
    <row r="193" spans="1:37" x14ac:dyDescent="0.2">
      <c r="A193">
        <v>63821</v>
      </c>
      <c r="B193" t="s">
        <v>37</v>
      </c>
      <c r="C193" t="s">
        <v>38</v>
      </c>
      <c r="D193" t="s">
        <v>464</v>
      </c>
      <c r="E193" t="s">
        <v>40</v>
      </c>
      <c r="G193" s="4">
        <v>43948.582488425926</v>
      </c>
      <c r="H193" s="4">
        <v>43948.582627314815</v>
      </c>
      <c r="I193" t="s">
        <v>236</v>
      </c>
      <c r="J193" s="5">
        <v>12.00000000000000000000000000000000000001</v>
      </c>
      <c r="K193" t="s">
        <v>38</v>
      </c>
      <c r="M193">
        <v>63834</v>
      </c>
      <c r="N193" t="s">
        <v>478</v>
      </c>
      <c r="O193" t="s">
        <v>479</v>
      </c>
      <c r="P193" t="s">
        <v>38</v>
      </c>
      <c r="Q193" t="s">
        <v>50</v>
      </c>
      <c r="R193">
        <v>.9999999999999999999999999999999999999996</v>
      </c>
      <c r="S193" t="s">
        <v>45</v>
      </c>
      <c r="T193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3">
        <v>63835</v>
      </c>
      <c r="V193" t="s">
        <v>38</v>
      </c>
      <c r="W193" t="s">
        <v>50</v>
      </c>
      <c r="X193">
        <v>.9999999999999999999999999999999999999996</v>
      </c>
      <c r="Y193">
        <v>0</v>
      </c>
      <c r="Z193" t="s">
        <v>46</v>
      </c>
      <c r="AA193">
        <v>63836</v>
      </c>
      <c r="AB193" t="s">
        <v>480</v>
      </c>
      <c r="AC193" t="s">
        <v>68</v>
      </c>
      <c r="AD193" t="s">
        <v>38</v>
      </c>
      <c r="AE193" t="s">
        <v>49</v>
      </c>
      <c r="AF193" t="s">
        <v>50</v>
      </c>
      <c r="AG193">
        <v>.9999999999999999999999999999999999999996</v>
      </c>
      <c r="AH193">
        <v>0</v>
      </c>
      <c r="AI193" t="s">
        <v>51</v>
      </c>
      <c r="AJ193" t="s">
        <v>51</v>
      </c>
      <c r="AK193" t="s">
        <v>51</v>
      </c>
    </row>
    <row r="194" spans="1:37" x14ac:dyDescent="0.2">
      <c r="A194">
        <v>63821</v>
      </c>
      <c r="B194" t="s">
        <v>37</v>
      </c>
      <c r="C194" t="s">
        <v>38</v>
      </c>
      <c r="D194" t="s">
        <v>464</v>
      </c>
      <c r="E194" t="s">
        <v>40</v>
      </c>
      <c r="G194" s="4">
        <v>43948.582488425926</v>
      </c>
      <c r="H194" s="4">
        <v>43948.582627314815</v>
      </c>
      <c r="I194" t="s">
        <v>236</v>
      </c>
      <c r="J194" s="5">
        <v>12.00000000000000000000000000000000000001</v>
      </c>
      <c r="K194" t="s">
        <v>38</v>
      </c>
      <c r="M194">
        <v>63831</v>
      </c>
      <c r="N194" t="s">
        <v>481</v>
      </c>
      <c r="O194" t="s">
        <v>482</v>
      </c>
      <c r="P194" t="s">
        <v>38</v>
      </c>
      <c r="Q194" t="s">
        <v>50</v>
      </c>
      <c r="R194">
        <v>0</v>
      </c>
      <c r="S194" t="s">
        <v>45</v>
      </c>
      <c r="T194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4">
        <v>63832</v>
      </c>
      <c r="V194" t="s">
        <v>38</v>
      </c>
      <c r="W194" t="s">
        <v>50</v>
      </c>
      <c r="X194">
        <v>0</v>
      </c>
      <c r="Y194">
        <v>0</v>
      </c>
      <c r="Z194" t="s">
        <v>46</v>
      </c>
      <c r="AA194">
        <v>63833</v>
      </c>
      <c r="AB194" t="s">
        <v>483</v>
      </c>
      <c r="AC194" t="s">
        <v>68</v>
      </c>
      <c r="AD194" t="s">
        <v>38</v>
      </c>
      <c r="AE194" t="s">
        <v>49</v>
      </c>
      <c r="AF194" t="s">
        <v>50</v>
      </c>
      <c r="AG194">
        <v>0</v>
      </c>
      <c r="AH194">
        <v>0</v>
      </c>
      <c r="AI194" t="s">
        <v>51</v>
      </c>
      <c r="AJ194" t="s">
        <v>51</v>
      </c>
      <c r="AK194" t="s">
        <v>51</v>
      </c>
    </row>
    <row r="195" spans="1:37" x14ac:dyDescent="0.2">
      <c r="A195">
        <v>63821</v>
      </c>
      <c r="B195" t="s">
        <v>37</v>
      </c>
      <c r="C195" t="s">
        <v>38</v>
      </c>
      <c r="D195" t="s">
        <v>464</v>
      </c>
      <c r="E195" t="s">
        <v>40</v>
      </c>
      <c r="G195" s="4">
        <v>43948.582488425926</v>
      </c>
      <c r="H195" s="4">
        <v>43948.582627314815</v>
      </c>
      <c r="I195" t="s">
        <v>236</v>
      </c>
      <c r="J195" s="5">
        <v>12.00000000000000000000000000000000000001</v>
      </c>
      <c r="K195" t="s">
        <v>38</v>
      </c>
      <c r="M195">
        <v>63828</v>
      </c>
      <c r="N195" t="s">
        <v>484</v>
      </c>
      <c r="O195" t="s">
        <v>485</v>
      </c>
      <c r="P195" t="s">
        <v>38</v>
      </c>
      <c r="Q195" t="s">
        <v>50</v>
      </c>
      <c r="R195">
        <v>.9999999999999999999999999999999999999996</v>
      </c>
      <c r="S195" t="s">
        <v>45</v>
      </c>
      <c r="T195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5">
        <v>63829</v>
      </c>
      <c r="V195" t="s">
        <v>38</v>
      </c>
      <c r="W195" t="s">
        <v>50</v>
      </c>
      <c r="X195">
        <v>.9999999999999999999999999999999999999996</v>
      </c>
      <c r="Y195">
        <v>0</v>
      </c>
      <c r="Z195" t="s">
        <v>46</v>
      </c>
      <c r="AA195">
        <v>63830</v>
      </c>
      <c r="AB195" t="s">
        <v>493</v>
      </c>
      <c r="AC195" t="s">
        <v>68</v>
      </c>
      <c r="AD195" t="s">
        <v>38</v>
      </c>
      <c r="AE195" t="s">
        <v>49</v>
      </c>
      <c r="AF195" t="s">
        <v>50</v>
      </c>
      <c r="AG195">
        <v>.9999999999999999999999999999999999999996</v>
      </c>
      <c r="AH195">
        <v>0</v>
      </c>
      <c r="AI195" t="s">
        <v>51</v>
      </c>
      <c r="AJ195" t="s">
        <v>51</v>
      </c>
      <c r="AK195" t="s">
        <v>51</v>
      </c>
    </row>
    <row r="196" spans="1:37" x14ac:dyDescent="0.2">
      <c r="A196">
        <v>63821</v>
      </c>
      <c r="B196" t="s">
        <v>37</v>
      </c>
      <c r="C196" t="s">
        <v>38</v>
      </c>
      <c r="D196" t="s">
        <v>464</v>
      </c>
      <c r="E196" t="s">
        <v>40</v>
      </c>
      <c r="G196" s="4">
        <v>43948.582488425926</v>
      </c>
      <c r="H196" s="4">
        <v>43948.582627314815</v>
      </c>
      <c r="I196" t="s">
        <v>236</v>
      </c>
      <c r="J196" s="5">
        <v>12.00000000000000000000000000000000000001</v>
      </c>
      <c r="K196" t="s">
        <v>38</v>
      </c>
      <c r="M196">
        <v>63825</v>
      </c>
      <c r="N196" t="s">
        <v>487</v>
      </c>
      <c r="O196" t="s">
        <v>488</v>
      </c>
      <c r="P196" t="s">
        <v>38</v>
      </c>
      <c r="Q196" t="s">
        <v>50</v>
      </c>
      <c r="R196">
        <v>0</v>
      </c>
      <c r="S196" t="s">
        <v>45</v>
      </c>
      <c r="T196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6">
        <v>63826</v>
      </c>
      <c r="V196" t="s">
        <v>38</v>
      </c>
      <c r="W196" t="s">
        <v>50</v>
      </c>
      <c r="X196">
        <v>0</v>
      </c>
      <c r="Y196">
        <v>0</v>
      </c>
      <c r="Z196" t="s">
        <v>46</v>
      </c>
      <c r="AA196">
        <v>63827</v>
      </c>
      <c r="AB196" t="s">
        <v>489</v>
      </c>
      <c r="AC196" t="s">
        <v>68</v>
      </c>
      <c r="AD196" t="s">
        <v>38</v>
      </c>
      <c r="AE196" t="s">
        <v>49</v>
      </c>
      <c r="AF196" t="s">
        <v>50</v>
      </c>
      <c r="AG196">
        <v>0</v>
      </c>
      <c r="AH196">
        <v>0</v>
      </c>
      <c r="AI196" t="s">
        <v>51</v>
      </c>
      <c r="AJ196" t="s">
        <v>51</v>
      </c>
      <c r="AK196" t="s">
        <v>51</v>
      </c>
    </row>
    <row r="197" spans="1:37" x14ac:dyDescent="0.2">
      <c r="A197">
        <v>63821</v>
      </c>
      <c r="B197" t="s">
        <v>37</v>
      </c>
      <c r="C197" t="s">
        <v>38</v>
      </c>
      <c r="D197" t="s">
        <v>464</v>
      </c>
      <c r="E197" t="s">
        <v>40</v>
      </c>
      <c r="G197" s="4">
        <v>43948.582488425926</v>
      </c>
      <c r="H197" s="4">
        <v>43948.582627314815</v>
      </c>
      <c r="I197" t="s">
        <v>236</v>
      </c>
      <c r="J197" s="5">
        <v>12.00000000000000000000000000000000000001</v>
      </c>
      <c r="K197" t="s">
        <v>38</v>
      </c>
      <c r="M197">
        <v>63822</v>
      </c>
      <c r="N197" t="s">
        <v>490</v>
      </c>
      <c r="O197" t="s">
        <v>491</v>
      </c>
      <c r="P197" t="s">
        <v>38</v>
      </c>
      <c r="Q197" t="s">
        <v>50</v>
      </c>
      <c r="R197">
        <v>0</v>
      </c>
      <c r="S197" t="s">
        <v>45</v>
      </c>
      <c r="T197" t="str" s="2">
        <f>=HYPERLINK("http://demo.enginatics.com:80/ecc/user/applications/log/63821.log","http://demo.enginatics.com:80/ecc/user/applications/log/63821.log")</f>
        <v>"http://demo.enginatics.com:80/ecc/user/applications/log/63821.log")</v>
      </c>
      <c r="U197">
        <v>63823</v>
      </c>
      <c r="V197" t="s">
        <v>38</v>
      </c>
      <c r="W197" t="s">
        <v>50</v>
      </c>
      <c r="X197">
        <v>0</v>
      </c>
      <c r="Y197">
        <v>0</v>
      </c>
      <c r="Z197" t="s">
        <v>46</v>
      </c>
      <c r="AA197">
        <v>63824</v>
      </c>
      <c r="AB197" t="s">
        <v>494</v>
      </c>
      <c r="AC197" t="s">
        <v>68</v>
      </c>
      <c r="AD197" t="s">
        <v>38</v>
      </c>
      <c r="AE197" t="s">
        <v>49</v>
      </c>
      <c r="AF197" t="s">
        <v>50</v>
      </c>
      <c r="AG197">
        <v>0</v>
      </c>
      <c r="AH197">
        <v>0</v>
      </c>
      <c r="AI197" t="s">
        <v>51</v>
      </c>
      <c r="AJ197" t="s">
        <v>51</v>
      </c>
      <c r="AK197" t="s">
        <v>51</v>
      </c>
    </row>
    <row r="198" spans="1:37" x14ac:dyDescent="0.2">
      <c r="A198">
        <v>63817</v>
      </c>
      <c r="B198" t="s">
        <v>37</v>
      </c>
      <c r="C198" t="s">
        <v>38</v>
      </c>
      <c r="D198" t="s">
        <v>495</v>
      </c>
      <c r="E198" t="s">
        <v>40</v>
      </c>
      <c r="G198" s="4">
        <v>43948.579849537037</v>
      </c>
      <c r="H198" s="4">
        <v>43948.580023148148</v>
      </c>
      <c r="I198" t="s">
        <v>315</v>
      </c>
      <c r="J198" s="5">
        <v>14.99999999999999999999999999999999999999</v>
      </c>
      <c r="K198" t="s">
        <v>38</v>
      </c>
      <c r="M198">
        <v>63818</v>
      </c>
      <c r="N198" t="s">
        <v>496</v>
      </c>
      <c r="O198" t="s">
        <v>497</v>
      </c>
      <c r="P198" t="s">
        <v>38</v>
      </c>
      <c r="Q198" t="s">
        <v>315</v>
      </c>
      <c r="R198">
        <v>14.99999999999999999999999999999999999999</v>
      </c>
      <c r="S198" t="s">
        <v>45</v>
      </c>
      <c r="T198" t="str" s="2">
        <f>=HYPERLINK("http://demo.enginatics.com:80/ecc/user/applications/log/63817.log","http://demo.enginatics.com:80/ecc/user/applications/log/63817.log")</f>
        <v>"http://demo.enginatics.com:80/ecc/user/applications/log/63817.log")</v>
      </c>
      <c r="U198">
        <v>63819</v>
      </c>
      <c r="V198" t="s">
        <v>38</v>
      </c>
      <c r="W198" t="s">
        <v>315</v>
      </c>
      <c r="X198">
        <v>14.99999999999999999999999999999999999999</v>
      </c>
      <c r="Y198">
        <v>0</v>
      </c>
      <c r="Z198" t="s">
        <v>46</v>
      </c>
      <c r="AA198">
        <v>63820</v>
      </c>
      <c r="AB198" t="s">
        <v>498</v>
      </c>
      <c r="AC198" t="s">
        <v>97</v>
      </c>
      <c r="AD198" t="s">
        <v>38</v>
      </c>
      <c r="AE198" t="s">
        <v>49</v>
      </c>
      <c r="AF198" t="s">
        <v>315</v>
      </c>
      <c r="AG198">
        <v>14.99999999999999999999999999999999999999</v>
      </c>
      <c r="AH198">
        <v>14</v>
      </c>
      <c r="AI198" t="s">
        <v>51</v>
      </c>
      <c r="AJ198" t="s">
        <v>51</v>
      </c>
      <c r="AK198" t="s">
        <v>51</v>
      </c>
    </row>
    <row r="199" spans="1:37" x14ac:dyDescent="0.2">
      <c r="A199">
        <v>63807</v>
      </c>
      <c r="B199" t="s">
        <v>37</v>
      </c>
      <c r="C199" t="s">
        <v>38</v>
      </c>
      <c r="D199" t="s">
        <v>499</v>
      </c>
      <c r="E199" t="s">
        <v>40</v>
      </c>
      <c r="G199" s="4">
        <v>43948.569201388889</v>
      </c>
      <c r="H199" s="4">
        <v>43948.569224537037</v>
      </c>
      <c r="I199" t="s">
        <v>88</v>
      </c>
      <c r="J199" s="5">
        <v>2</v>
      </c>
      <c r="K199" t="s">
        <v>38</v>
      </c>
      <c r="M199">
        <v>63814</v>
      </c>
      <c r="N199" t="s">
        <v>500</v>
      </c>
      <c r="O199" t="s">
        <v>501</v>
      </c>
      <c r="P199" t="s">
        <v>38</v>
      </c>
      <c r="Q199" t="s">
        <v>50</v>
      </c>
      <c r="R199">
        <v>0</v>
      </c>
      <c r="S199" t="s">
        <v>45</v>
      </c>
      <c r="T199" t="str" s="2">
        <f>=HYPERLINK("http://demo.enginatics.com:80/ecc/user/applications/log/63807.log","http://demo.enginatics.com:80/ecc/user/applications/log/63807.log")</f>
        <v>"http://demo.enginatics.com:80/ecc/user/applications/log/63807.log")</v>
      </c>
      <c r="U199">
        <v>63815</v>
      </c>
      <c r="V199" t="s">
        <v>38</v>
      </c>
      <c r="W199" t="s">
        <v>50</v>
      </c>
      <c r="X199">
        <v>0</v>
      </c>
      <c r="Y199">
        <v>0</v>
      </c>
      <c r="Z199" t="s">
        <v>46</v>
      </c>
      <c r="AA199">
        <v>63816</v>
      </c>
      <c r="AB199" t="s">
        <v>502</v>
      </c>
      <c r="AC199" t="s">
        <v>68</v>
      </c>
      <c r="AD199" t="s">
        <v>38</v>
      </c>
      <c r="AE199" t="s">
        <v>49</v>
      </c>
      <c r="AF199" t="s">
        <v>50</v>
      </c>
      <c r="AG199">
        <v>0</v>
      </c>
      <c r="AH199">
        <v>0</v>
      </c>
      <c r="AI199" t="s">
        <v>51</v>
      </c>
      <c r="AJ199" t="s">
        <v>51</v>
      </c>
      <c r="AK199" t="s">
        <v>51</v>
      </c>
    </row>
    <row r="200" spans="1:37" x14ac:dyDescent="0.2">
      <c r="A200">
        <v>63807</v>
      </c>
      <c r="B200" t="s">
        <v>37</v>
      </c>
      <c r="C200" t="s">
        <v>38</v>
      </c>
      <c r="D200" t="s">
        <v>499</v>
      </c>
      <c r="E200" t="s">
        <v>40</v>
      </c>
      <c r="G200" s="4">
        <v>43948.569201388889</v>
      </c>
      <c r="H200" s="4">
        <v>43948.569224537037</v>
      </c>
      <c r="I200" t="s">
        <v>88</v>
      </c>
      <c r="J200" s="5">
        <v>2</v>
      </c>
      <c r="K200" t="s">
        <v>38</v>
      </c>
      <c r="M200">
        <v>63811</v>
      </c>
      <c r="N200" t="s">
        <v>503</v>
      </c>
      <c r="O200" t="s">
        <v>504</v>
      </c>
      <c r="P200" t="s">
        <v>38</v>
      </c>
      <c r="Q200" t="s">
        <v>88</v>
      </c>
      <c r="R200">
        <v>2</v>
      </c>
      <c r="S200" t="s">
        <v>45</v>
      </c>
      <c r="T200" t="str" s="2">
        <f>=HYPERLINK("http://demo.enginatics.com:80/ecc/user/applications/log/63807.log","http://demo.enginatics.com:80/ecc/user/applications/log/63807.log")</f>
        <v>"http://demo.enginatics.com:80/ecc/user/applications/log/63807.log")</v>
      </c>
      <c r="U200">
        <v>63812</v>
      </c>
      <c r="V200" t="s">
        <v>38</v>
      </c>
      <c r="W200" t="s">
        <v>88</v>
      </c>
      <c r="X200">
        <v>2</v>
      </c>
      <c r="Y200">
        <v>0</v>
      </c>
      <c r="Z200" t="s">
        <v>46</v>
      </c>
      <c r="AA200">
        <v>63813</v>
      </c>
      <c r="AB200" t="s">
        <v>505</v>
      </c>
      <c r="AC200" t="s">
        <v>68</v>
      </c>
      <c r="AD200" t="s">
        <v>38</v>
      </c>
      <c r="AE200" t="s">
        <v>49</v>
      </c>
      <c r="AF200" t="s">
        <v>88</v>
      </c>
      <c r="AG200">
        <v>2</v>
      </c>
      <c r="AH200">
        <v>1</v>
      </c>
      <c r="AI200" t="s">
        <v>51</v>
      </c>
      <c r="AJ200" t="s">
        <v>51</v>
      </c>
      <c r="AK200" t="s">
        <v>51</v>
      </c>
    </row>
    <row r="201" spans="1:37" x14ac:dyDescent="0.2">
      <c r="A201">
        <v>63807</v>
      </c>
      <c r="B201" t="s">
        <v>37</v>
      </c>
      <c r="C201" t="s">
        <v>38</v>
      </c>
      <c r="D201" t="s">
        <v>499</v>
      </c>
      <c r="E201" t="s">
        <v>40</v>
      </c>
      <c r="G201" s="4">
        <v>43948.569201388889</v>
      </c>
      <c r="H201" s="4">
        <v>43948.569224537037</v>
      </c>
      <c r="I201" t="s">
        <v>88</v>
      </c>
      <c r="J201" s="5">
        <v>2</v>
      </c>
      <c r="K201" t="s">
        <v>38</v>
      </c>
      <c r="M201">
        <v>63808</v>
      </c>
      <c r="N201" t="s">
        <v>506</v>
      </c>
      <c r="O201" t="s">
        <v>507</v>
      </c>
      <c r="P201" t="s">
        <v>38</v>
      </c>
      <c r="Q201" t="s">
        <v>50</v>
      </c>
      <c r="R201">
        <v>0</v>
      </c>
      <c r="S201" t="s">
        <v>45</v>
      </c>
      <c r="T201" t="str" s="2">
        <f>=HYPERLINK("http://demo.enginatics.com:80/ecc/user/applications/log/63807.log","http://demo.enginatics.com:80/ecc/user/applications/log/63807.log")</f>
        <v>"http://demo.enginatics.com:80/ecc/user/applications/log/63807.log")</v>
      </c>
      <c r="U201">
        <v>63809</v>
      </c>
      <c r="V201" t="s">
        <v>38</v>
      </c>
      <c r="W201" t="s">
        <v>50</v>
      </c>
      <c r="X201">
        <v>0</v>
      </c>
      <c r="Y201">
        <v>0</v>
      </c>
      <c r="Z201" t="s">
        <v>46</v>
      </c>
      <c r="AA201">
        <v>63810</v>
      </c>
      <c r="AB201" t="s">
        <v>508</v>
      </c>
      <c r="AC201" t="s">
        <v>68</v>
      </c>
      <c r="AD201" t="s">
        <v>38</v>
      </c>
      <c r="AE201" t="s">
        <v>49</v>
      </c>
      <c r="AF201" t="s">
        <v>50</v>
      </c>
      <c r="AG201">
        <v>0</v>
      </c>
      <c r="AH201">
        <v>0</v>
      </c>
      <c r="AI201" t="s">
        <v>51</v>
      </c>
      <c r="AJ201" t="s">
        <v>51</v>
      </c>
      <c r="AK201" t="s">
        <v>51</v>
      </c>
    </row>
    <row r="202" spans="1:37" x14ac:dyDescent="0.2">
      <c r="A202">
        <v>63779</v>
      </c>
      <c r="B202" t="s">
        <v>37</v>
      </c>
      <c r="C202" t="s">
        <v>38</v>
      </c>
      <c r="D202" t="s">
        <v>509</v>
      </c>
      <c r="E202" t="s">
        <v>40</v>
      </c>
      <c r="G202" s="4">
        <v>43948.560706018519</v>
      </c>
      <c r="H202" s="4">
        <v>43948.560949074074</v>
      </c>
      <c r="I202" t="s">
        <v>510</v>
      </c>
      <c r="J202" s="5">
        <v>21.00000000000000000000000000000000000004</v>
      </c>
      <c r="K202" t="s">
        <v>38</v>
      </c>
      <c r="M202">
        <v>63802</v>
      </c>
      <c r="N202" t="s">
        <v>511</v>
      </c>
      <c r="O202" t="s">
        <v>512</v>
      </c>
      <c r="P202" t="s">
        <v>38</v>
      </c>
      <c r="Q202" t="s">
        <v>88</v>
      </c>
      <c r="R202">
        <v>2</v>
      </c>
      <c r="S202" t="s">
        <v>45</v>
      </c>
      <c r="T202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2">
        <v>63803</v>
      </c>
      <c r="V202" t="s">
        <v>38</v>
      </c>
      <c r="W202" t="s">
        <v>88</v>
      </c>
      <c r="X202">
        <v>2</v>
      </c>
      <c r="Y202">
        <v>2</v>
      </c>
      <c r="Z202" t="s">
        <v>46</v>
      </c>
      <c r="AA202">
        <v>63806</v>
      </c>
      <c r="AB202" t="s">
        <v>513</v>
      </c>
      <c r="AC202" t="s">
        <v>97</v>
      </c>
      <c r="AD202" t="s">
        <v>38</v>
      </c>
      <c r="AE202" t="s">
        <v>49</v>
      </c>
      <c r="AF202" t="s">
        <v>50</v>
      </c>
      <c r="AG202">
        <v>0</v>
      </c>
      <c r="AH202">
        <v>0</v>
      </c>
      <c r="AI202" t="s">
        <v>51</v>
      </c>
      <c r="AJ202" t="s">
        <v>51</v>
      </c>
      <c r="AK202" t="s">
        <v>51</v>
      </c>
    </row>
    <row r="203" spans="1:37" x14ac:dyDescent="0.2">
      <c r="A203">
        <v>63779</v>
      </c>
      <c r="B203" t="s">
        <v>37</v>
      </c>
      <c r="C203" t="s">
        <v>38</v>
      </c>
      <c r="D203" t="s">
        <v>509</v>
      </c>
      <c r="E203" t="s">
        <v>40</v>
      </c>
      <c r="G203" s="4">
        <v>43948.560706018519</v>
      </c>
      <c r="H203" s="4">
        <v>43948.560949074074</v>
      </c>
      <c r="I203" t="s">
        <v>510</v>
      </c>
      <c r="J203" s="5">
        <v>21.00000000000000000000000000000000000004</v>
      </c>
      <c r="K203" t="s">
        <v>38</v>
      </c>
      <c r="M203">
        <v>63802</v>
      </c>
      <c r="N203" t="s">
        <v>511</v>
      </c>
      <c r="O203" t="s">
        <v>512</v>
      </c>
      <c r="P203" t="s">
        <v>38</v>
      </c>
      <c r="Q203" t="s">
        <v>88</v>
      </c>
      <c r="R203">
        <v>2</v>
      </c>
      <c r="S203" t="s">
        <v>45</v>
      </c>
      <c r="T203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3">
        <v>63803</v>
      </c>
      <c r="V203" t="s">
        <v>38</v>
      </c>
      <c r="W203" t="s">
        <v>88</v>
      </c>
      <c r="X203">
        <v>2</v>
      </c>
      <c r="Y203">
        <v>2</v>
      </c>
      <c r="Z203" t="s">
        <v>46</v>
      </c>
      <c r="AA203">
        <v>63805</v>
      </c>
      <c r="AB203" t="s">
        <v>514</v>
      </c>
      <c r="AC203" t="s">
        <v>97</v>
      </c>
      <c r="AD203" t="s">
        <v>38</v>
      </c>
      <c r="AE203" t="s">
        <v>49</v>
      </c>
      <c r="AF203" t="s">
        <v>50</v>
      </c>
      <c r="AG203">
        <v>0</v>
      </c>
      <c r="AH203">
        <v>0</v>
      </c>
      <c r="AI203" t="s">
        <v>51</v>
      </c>
      <c r="AJ203" t="s">
        <v>51</v>
      </c>
      <c r="AK203" t="s">
        <v>51</v>
      </c>
    </row>
    <row r="204" spans="1:37" x14ac:dyDescent="0.2">
      <c r="A204">
        <v>63779</v>
      </c>
      <c r="B204" t="s">
        <v>37</v>
      </c>
      <c r="C204" t="s">
        <v>38</v>
      </c>
      <c r="D204" t="s">
        <v>509</v>
      </c>
      <c r="E204" t="s">
        <v>40</v>
      </c>
      <c r="G204" s="4">
        <v>43948.560706018519</v>
      </c>
      <c r="H204" s="4">
        <v>43948.560949074074</v>
      </c>
      <c r="I204" t="s">
        <v>510</v>
      </c>
      <c r="J204" s="5">
        <v>21.00000000000000000000000000000000000004</v>
      </c>
      <c r="K204" t="s">
        <v>38</v>
      </c>
      <c r="M204">
        <v>63802</v>
      </c>
      <c r="N204" t="s">
        <v>511</v>
      </c>
      <c r="O204" t="s">
        <v>512</v>
      </c>
      <c r="P204" t="s">
        <v>38</v>
      </c>
      <c r="Q204" t="s">
        <v>88</v>
      </c>
      <c r="R204">
        <v>2</v>
      </c>
      <c r="S204" t="s">
        <v>45</v>
      </c>
      <c r="T204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4">
        <v>63803</v>
      </c>
      <c r="V204" t="s">
        <v>38</v>
      </c>
      <c r="W204" t="s">
        <v>88</v>
      </c>
      <c r="X204">
        <v>2</v>
      </c>
      <c r="Y204">
        <v>2</v>
      </c>
      <c r="Z204" t="s">
        <v>46</v>
      </c>
      <c r="AA204">
        <v>63804</v>
      </c>
      <c r="AB204" t="s">
        <v>515</v>
      </c>
      <c r="AC204" t="s">
        <v>56</v>
      </c>
      <c r="AD204" t="s">
        <v>38</v>
      </c>
      <c r="AE204" t="s">
        <v>49</v>
      </c>
      <c r="AF204" t="s">
        <v>50</v>
      </c>
      <c r="AG204">
        <v>0</v>
      </c>
      <c r="AH204">
        <v>0</v>
      </c>
      <c r="AI204" t="s">
        <v>51</v>
      </c>
      <c r="AJ204" t="s">
        <v>51</v>
      </c>
      <c r="AK204" t="s">
        <v>51</v>
      </c>
    </row>
    <row r="205" spans="1:37" x14ac:dyDescent="0.2">
      <c r="A205">
        <v>63779</v>
      </c>
      <c r="B205" t="s">
        <v>37</v>
      </c>
      <c r="C205" t="s">
        <v>38</v>
      </c>
      <c r="D205" t="s">
        <v>509</v>
      </c>
      <c r="E205" t="s">
        <v>40</v>
      </c>
      <c r="G205" s="4">
        <v>43948.560706018519</v>
      </c>
      <c r="H205" s="4">
        <v>43948.560949074074</v>
      </c>
      <c r="I205" t="s">
        <v>510</v>
      </c>
      <c r="J205" s="5">
        <v>21.00000000000000000000000000000000000004</v>
      </c>
      <c r="K205" t="s">
        <v>38</v>
      </c>
      <c r="M205">
        <v>63798</v>
      </c>
      <c r="N205" t="s">
        <v>516</v>
      </c>
      <c r="O205" t="s">
        <v>517</v>
      </c>
      <c r="P205" t="s">
        <v>38</v>
      </c>
      <c r="Q205" t="s">
        <v>85</v>
      </c>
      <c r="R205">
        <v>3</v>
      </c>
      <c r="S205" t="s">
        <v>45</v>
      </c>
      <c r="T205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5">
        <v>63799</v>
      </c>
      <c r="V205" t="s">
        <v>38</v>
      </c>
      <c r="W205" t="s">
        <v>85</v>
      </c>
      <c r="X205">
        <v>3</v>
      </c>
      <c r="Y205">
        <v>2</v>
      </c>
      <c r="Z205" t="s">
        <v>46</v>
      </c>
      <c r="AA205">
        <v>63801</v>
      </c>
      <c r="AB205" t="s">
        <v>518</v>
      </c>
      <c r="AC205" t="s">
        <v>97</v>
      </c>
      <c r="AD205" t="s">
        <v>38</v>
      </c>
      <c r="AE205" t="s">
        <v>49</v>
      </c>
      <c r="AF205" t="s">
        <v>50</v>
      </c>
      <c r="AG205">
        <v>0</v>
      </c>
      <c r="AH205">
        <v>0</v>
      </c>
      <c r="AI205" t="s">
        <v>51</v>
      </c>
      <c r="AJ205" t="s">
        <v>51</v>
      </c>
      <c r="AK205" t="s">
        <v>51</v>
      </c>
    </row>
    <row r="206" spans="1:37" x14ac:dyDescent="0.2">
      <c r="A206">
        <v>63779</v>
      </c>
      <c r="B206" t="s">
        <v>37</v>
      </c>
      <c r="C206" t="s">
        <v>38</v>
      </c>
      <c r="D206" t="s">
        <v>509</v>
      </c>
      <c r="E206" t="s">
        <v>40</v>
      </c>
      <c r="G206" s="4">
        <v>43948.560706018519</v>
      </c>
      <c r="H206" s="4">
        <v>43948.560949074074</v>
      </c>
      <c r="I206" t="s">
        <v>510</v>
      </c>
      <c r="J206" s="5">
        <v>21.00000000000000000000000000000000000004</v>
      </c>
      <c r="K206" t="s">
        <v>38</v>
      </c>
      <c r="M206">
        <v>63798</v>
      </c>
      <c r="N206" t="s">
        <v>516</v>
      </c>
      <c r="O206" t="s">
        <v>517</v>
      </c>
      <c r="P206" t="s">
        <v>38</v>
      </c>
      <c r="Q206" t="s">
        <v>85</v>
      </c>
      <c r="R206">
        <v>3</v>
      </c>
      <c r="S206" t="s">
        <v>45</v>
      </c>
      <c r="T206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6">
        <v>63799</v>
      </c>
      <c r="V206" t="s">
        <v>38</v>
      </c>
      <c r="W206" t="s">
        <v>85</v>
      </c>
      <c r="X206">
        <v>3</v>
      </c>
      <c r="Y206">
        <v>2</v>
      </c>
      <c r="Z206" t="s">
        <v>46</v>
      </c>
      <c r="AA206">
        <v>63800</v>
      </c>
      <c r="AB206" t="s">
        <v>519</v>
      </c>
      <c r="AC206" t="s">
        <v>56</v>
      </c>
      <c r="AD206" t="s">
        <v>38</v>
      </c>
      <c r="AE206" t="s">
        <v>49</v>
      </c>
      <c r="AF206" t="s">
        <v>50</v>
      </c>
      <c r="AG206">
        <v>0</v>
      </c>
      <c r="AH206">
        <v>0</v>
      </c>
      <c r="AI206" t="s">
        <v>51</v>
      </c>
      <c r="AJ206" t="s">
        <v>51</v>
      </c>
      <c r="AK206" t="s">
        <v>51</v>
      </c>
    </row>
    <row r="207" spans="1:37" x14ac:dyDescent="0.2">
      <c r="A207">
        <v>63779</v>
      </c>
      <c r="B207" t="s">
        <v>37</v>
      </c>
      <c r="C207" t="s">
        <v>38</v>
      </c>
      <c r="D207" t="s">
        <v>509</v>
      </c>
      <c r="E207" t="s">
        <v>40</v>
      </c>
      <c r="G207" s="4">
        <v>43948.560706018519</v>
      </c>
      <c r="H207" s="4">
        <v>43948.560949074074</v>
      </c>
      <c r="I207" t="s">
        <v>510</v>
      </c>
      <c r="J207" s="5">
        <v>21.00000000000000000000000000000000000004</v>
      </c>
      <c r="K207" t="s">
        <v>38</v>
      </c>
      <c r="M207">
        <v>63795</v>
      </c>
      <c r="N207" t="s">
        <v>520</v>
      </c>
      <c r="O207" t="s">
        <v>521</v>
      </c>
      <c r="P207" t="s">
        <v>38</v>
      </c>
      <c r="Q207" t="s">
        <v>78</v>
      </c>
      <c r="R207">
        <v>5</v>
      </c>
      <c r="S207" t="s">
        <v>45</v>
      </c>
      <c r="T207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7">
        <v>63796</v>
      </c>
      <c r="V207" t="s">
        <v>38</v>
      </c>
      <c r="W207" t="s">
        <v>78</v>
      </c>
      <c r="X207">
        <v>5</v>
      </c>
      <c r="Y207">
        <v>0</v>
      </c>
      <c r="Z207" t="s">
        <v>46</v>
      </c>
      <c r="AA207">
        <v>63797</v>
      </c>
      <c r="AB207" t="s">
        <v>522</v>
      </c>
      <c r="AC207" t="s">
        <v>97</v>
      </c>
      <c r="AD207" t="s">
        <v>38</v>
      </c>
      <c r="AE207" t="s">
        <v>523</v>
      </c>
      <c r="AF207" t="s">
        <v>78</v>
      </c>
      <c r="AG207">
        <v>5</v>
      </c>
      <c r="AH207">
        <v>0</v>
      </c>
      <c r="AI207" t="s">
        <v>524</v>
      </c>
      <c r="AJ207" t="s">
        <v>51</v>
      </c>
      <c r="AK207" t="s">
        <v>524</v>
      </c>
    </row>
    <row r="208" spans="1:37" x14ac:dyDescent="0.2">
      <c r="A208">
        <v>63779</v>
      </c>
      <c r="B208" t="s">
        <v>37</v>
      </c>
      <c r="C208" t="s">
        <v>38</v>
      </c>
      <c r="D208" t="s">
        <v>509</v>
      </c>
      <c r="E208" t="s">
        <v>40</v>
      </c>
      <c r="G208" s="4">
        <v>43948.560706018519</v>
      </c>
      <c r="H208" s="4">
        <v>43948.560949074074</v>
      </c>
      <c r="I208" t="s">
        <v>510</v>
      </c>
      <c r="J208" s="5">
        <v>21.00000000000000000000000000000000000004</v>
      </c>
      <c r="K208" t="s">
        <v>38</v>
      </c>
      <c r="M208">
        <v>63792</v>
      </c>
      <c r="N208" t="s">
        <v>525</v>
      </c>
      <c r="O208" t="s">
        <v>526</v>
      </c>
      <c r="P208" t="s">
        <v>38</v>
      </c>
      <c r="Q208" t="s">
        <v>50</v>
      </c>
      <c r="R208">
        <v>0</v>
      </c>
      <c r="S208" t="s">
        <v>45</v>
      </c>
      <c r="T208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8">
        <v>63793</v>
      </c>
      <c r="V208" t="s">
        <v>38</v>
      </c>
      <c r="W208" t="s">
        <v>50</v>
      </c>
      <c r="X208">
        <v>0</v>
      </c>
      <c r="Y208">
        <v>0</v>
      </c>
      <c r="Z208" t="s">
        <v>46</v>
      </c>
      <c r="AA208">
        <v>63794</v>
      </c>
      <c r="AB208" t="s">
        <v>527</v>
      </c>
      <c r="AC208" t="s">
        <v>97</v>
      </c>
      <c r="AD208" t="s">
        <v>38</v>
      </c>
      <c r="AE208" t="s">
        <v>49</v>
      </c>
      <c r="AF208" t="s">
        <v>50</v>
      </c>
      <c r="AG208">
        <v>0</v>
      </c>
      <c r="AH208">
        <v>0</v>
      </c>
      <c r="AI208" t="s">
        <v>51</v>
      </c>
      <c r="AJ208" t="s">
        <v>51</v>
      </c>
      <c r="AK208" t="s">
        <v>51</v>
      </c>
    </row>
    <row r="209" spans="1:37" x14ac:dyDescent="0.2">
      <c r="A209">
        <v>63779</v>
      </c>
      <c r="B209" t="s">
        <v>37</v>
      </c>
      <c r="C209" t="s">
        <v>38</v>
      </c>
      <c r="D209" t="s">
        <v>509</v>
      </c>
      <c r="E209" t="s">
        <v>40</v>
      </c>
      <c r="G209" s="4">
        <v>43948.560706018519</v>
      </c>
      <c r="H209" s="4">
        <v>43948.560949074074</v>
      </c>
      <c r="I209" t="s">
        <v>510</v>
      </c>
      <c r="J209" s="5">
        <v>21.00000000000000000000000000000000000004</v>
      </c>
      <c r="K209" t="s">
        <v>38</v>
      </c>
      <c r="M209">
        <v>63785</v>
      </c>
      <c r="N209" t="s">
        <v>528</v>
      </c>
      <c r="O209" t="s">
        <v>529</v>
      </c>
      <c r="P209" t="s">
        <v>38</v>
      </c>
      <c r="Q209" t="s">
        <v>75</v>
      </c>
      <c r="R209">
        <v>6</v>
      </c>
      <c r="S209" t="s">
        <v>45</v>
      </c>
      <c r="T209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09">
        <v>63786</v>
      </c>
      <c r="V209" t="s">
        <v>38</v>
      </c>
      <c r="W209" t="s">
        <v>75</v>
      </c>
      <c r="X209">
        <v>6</v>
      </c>
      <c r="Y209">
        <v>1</v>
      </c>
      <c r="Z209" t="s">
        <v>46</v>
      </c>
      <c r="AA209">
        <v>63791</v>
      </c>
      <c r="AB209" t="s">
        <v>530</v>
      </c>
      <c r="AC209" t="s">
        <v>56</v>
      </c>
      <c r="AD209" t="s">
        <v>38</v>
      </c>
      <c r="AE209" t="s">
        <v>49</v>
      </c>
      <c r="AF209" t="s">
        <v>50</v>
      </c>
      <c r="AG209">
        <v>0</v>
      </c>
      <c r="AH209">
        <v>0</v>
      </c>
      <c r="AI209" t="s">
        <v>51</v>
      </c>
      <c r="AJ209" t="s">
        <v>51</v>
      </c>
      <c r="AK209" t="s">
        <v>51</v>
      </c>
    </row>
    <row r="210" spans="1:37" x14ac:dyDescent="0.2">
      <c r="A210">
        <v>63779</v>
      </c>
      <c r="B210" t="s">
        <v>37</v>
      </c>
      <c r="C210" t="s">
        <v>38</v>
      </c>
      <c r="D210" t="s">
        <v>509</v>
      </c>
      <c r="E210" t="s">
        <v>40</v>
      </c>
      <c r="G210" s="4">
        <v>43948.560706018519</v>
      </c>
      <c r="H210" s="4">
        <v>43948.560949074074</v>
      </c>
      <c r="I210" t="s">
        <v>510</v>
      </c>
      <c r="J210" s="5">
        <v>21.00000000000000000000000000000000000004</v>
      </c>
      <c r="K210" t="s">
        <v>38</v>
      </c>
      <c r="M210">
        <v>63785</v>
      </c>
      <c r="N210" t="s">
        <v>528</v>
      </c>
      <c r="O210" t="s">
        <v>529</v>
      </c>
      <c r="P210" t="s">
        <v>38</v>
      </c>
      <c r="Q210" t="s">
        <v>75</v>
      </c>
      <c r="R210">
        <v>6</v>
      </c>
      <c r="S210" t="s">
        <v>45</v>
      </c>
      <c r="T210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0">
        <v>63786</v>
      </c>
      <c r="V210" t="s">
        <v>38</v>
      </c>
      <c r="W210" t="s">
        <v>75</v>
      </c>
      <c r="X210">
        <v>6</v>
      </c>
      <c r="Y210">
        <v>1</v>
      </c>
      <c r="Z210" t="s">
        <v>46</v>
      </c>
      <c r="AA210">
        <v>63790</v>
      </c>
      <c r="AB210" t="s">
        <v>531</v>
      </c>
      <c r="AC210" t="s">
        <v>68</v>
      </c>
      <c r="AD210" t="s">
        <v>38</v>
      </c>
      <c r="AE210" t="s">
        <v>49</v>
      </c>
      <c r="AF210" t="s">
        <v>50</v>
      </c>
      <c r="AG210">
        <v>.9999999999999999999999999999999999999996</v>
      </c>
      <c r="AH210">
        <v>0</v>
      </c>
      <c r="AI210" t="s">
        <v>51</v>
      </c>
      <c r="AJ210" t="s">
        <v>51</v>
      </c>
      <c r="AK210" t="s">
        <v>51</v>
      </c>
    </row>
    <row r="211" spans="1:37" x14ac:dyDescent="0.2">
      <c r="A211">
        <v>63779</v>
      </c>
      <c r="B211" t="s">
        <v>37</v>
      </c>
      <c r="C211" t="s">
        <v>38</v>
      </c>
      <c r="D211" t="s">
        <v>509</v>
      </c>
      <c r="E211" t="s">
        <v>40</v>
      </c>
      <c r="G211" s="4">
        <v>43948.560706018519</v>
      </c>
      <c r="H211" s="4">
        <v>43948.560949074074</v>
      </c>
      <c r="I211" t="s">
        <v>510</v>
      </c>
      <c r="J211" s="5">
        <v>21.00000000000000000000000000000000000004</v>
      </c>
      <c r="K211" t="s">
        <v>38</v>
      </c>
      <c r="M211">
        <v>63785</v>
      </c>
      <c r="N211" t="s">
        <v>528</v>
      </c>
      <c r="O211" t="s">
        <v>529</v>
      </c>
      <c r="P211" t="s">
        <v>38</v>
      </c>
      <c r="Q211" t="s">
        <v>75</v>
      </c>
      <c r="R211">
        <v>6</v>
      </c>
      <c r="S211" t="s">
        <v>45</v>
      </c>
      <c r="T211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1">
        <v>63786</v>
      </c>
      <c r="V211" t="s">
        <v>38</v>
      </c>
      <c r="W211" t="s">
        <v>75</v>
      </c>
      <c r="X211">
        <v>6</v>
      </c>
      <c r="Y211">
        <v>1</v>
      </c>
      <c r="Z211" t="s">
        <v>46</v>
      </c>
      <c r="AA211">
        <v>63789</v>
      </c>
      <c r="AB211" t="s">
        <v>532</v>
      </c>
      <c r="AC211" t="s">
        <v>56</v>
      </c>
      <c r="AD211" t="s">
        <v>38</v>
      </c>
      <c r="AE211" t="s">
        <v>533</v>
      </c>
      <c r="AF211" t="s">
        <v>85</v>
      </c>
      <c r="AG211">
        <v>3</v>
      </c>
      <c r="AH211">
        <v>0</v>
      </c>
      <c r="AI211" t="s">
        <v>534</v>
      </c>
      <c r="AJ211" t="s">
        <v>51</v>
      </c>
      <c r="AK211" t="s">
        <v>534</v>
      </c>
    </row>
    <row r="212" spans="1:37" x14ac:dyDescent="0.2">
      <c r="A212">
        <v>63779</v>
      </c>
      <c r="B212" t="s">
        <v>37</v>
      </c>
      <c r="C212" t="s">
        <v>38</v>
      </c>
      <c r="D212" t="s">
        <v>509</v>
      </c>
      <c r="E212" t="s">
        <v>40</v>
      </c>
      <c r="G212" s="4">
        <v>43948.560706018519</v>
      </c>
      <c r="H212" s="4">
        <v>43948.560949074074</v>
      </c>
      <c r="I212" t="s">
        <v>510</v>
      </c>
      <c r="J212" s="5">
        <v>21.00000000000000000000000000000000000004</v>
      </c>
      <c r="K212" t="s">
        <v>38</v>
      </c>
      <c r="M212">
        <v>63785</v>
      </c>
      <c r="N212" t="s">
        <v>528</v>
      </c>
      <c r="O212" t="s">
        <v>529</v>
      </c>
      <c r="P212" t="s">
        <v>38</v>
      </c>
      <c r="Q212" t="s">
        <v>75</v>
      </c>
      <c r="R212">
        <v>6</v>
      </c>
      <c r="S212" t="s">
        <v>45</v>
      </c>
      <c r="T212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2">
        <v>63786</v>
      </c>
      <c r="V212" t="s">
        <v>38</v>
      </c>
      <c r="W212" t="s">
        <v>75</v>
      </c>
      <c r="X212">
        <v>6</v>
      </c>
      <c r="Y212">
        <v>1</v>
      </c>
      <c r="Z212" t="s">
        <v>46</v>
      </c>
      <c r="AA212">
        <v>63788</v>
      </c>
      <c r="AB212" t="s">
        <v>535</v>
      </c>
      <c r="AC212" t="s">
        <v>97</v>
      </c>
      <c r="AD212" t="s">
        <v>38</v>
      </c>
      <c r="AE212" t="s">
        <v>49</v>
      </c>
      <c r="AF212" t="s">
        <v>50</v>
      </c>
      <c r="AG212">
        <v>0</v>
      </c>
      <c r="AH212">
        <v>0</v>
      </c>
      <c r="AI212" t="s">
        <v>51</v>
      </c>
      <c r="AJ212" t="s">
        <v>51</v>
      </c>
      <c r="AK212" t="s">
        <v>51</v>
      </c>
    </row>
    <row r="213" spans="1:37" x14ac:dyDescent="0.2">
      <c r="A213">
        <v>63779</v>
      </c>
      <c r="B213" t="s">
        <v>37</v>
      </c>
      <c r="C213" t="s">
        <v>38</v>
      </c>
      <c r="D213" t="s">
        <v>509</v>
      </c>
      <c r="E213" t="s">
        <v>40</v>
      </c>
      <c r="G213" s="4">
        <v>43948.560706018519</v>
      </c>
      <c r="H213" s="4">
        <v>43948.560949074074</v>
      </c>
      <c r="I213" t="s">
        <v>510</v>
      </c>
      <c r="J213" s="5">
        <v>21.00000000000000000000000000000000000004</v>
      </c>
      <c r="K213" t="s">
        <v>38</v>
      </c>
      <c r="M213">
        <v>63785</v>
      </c>
      <c r="N213" t="s">
        <v>528</v>
      </c>
      <c r="O213" t="s">
        <v>529</v>
      </c>
      <c r="P213" t="s">
        <v>38</v>
      </c>
      <c r="Q213" t="s">
        <v>75</v>
      </c>
      <c r="R213">
        <v>6</v>
      </c>
      <c r="S213" t="s">
        <v>45</v>
      </c>
      <c r="T213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3">
        <v>63786</v>
      </c>
      <c r="V213" t="s">
        <v>38</v>
      </c>
      <c r="W213" t="s">
        <v>75</v>
      </c>
      <c r="X213">
        <v>6</v>
      </c>
      <c r="Y213">
        <v>1</v>
      </c>
      <c r="Z213" t="s">
        <v>46</v>
      </c>
      <c r="AA213">
        <v>63787</v>
      </c>
      <c r="AB213" t="s">
        <v>536</v>
      </c>
      <c r="AC213" t="s">
        <v>56</v>
      </c>
      <c r="AD213" t="s">
        <v>38</v>
      </c>
      <c r="AE213" t="s">
        <v>49</v>
      </c>
      <c r="AF213" t="s">
        <v>50</v>
      </c>
      <c r="AG213">
        <v>0</v>
      </c>
      <c r="AH213">
        <v>0</v>
      </c>
      <c r="AI213" t="s">
        <v>51</v>
      </c>
      <c r="AJ213" t="s">
        <v>51</v>
      </c>
      <c r="AK213" t="s">
        <v>51</v>
      </c>
    </row>
    <row r="214" spans="1:37" x14ac:dyDescent="0.2">
      <c r="A214">
        <v>63779</v>
      </c>
      <c r="B214" t="s">
        <v>37</v>
      </c>
      <c r="C214" t="s">
        <v>38</v>
      </c>
      <c r="D214" t="s">
        <v>509</v>
      </c>
      <c r="E214" t="s">
        <v>40</v>
      </c>
      <c r="G214" s="4">
        <v>43948.560706018519</v>
      </c>
      <c r="H214" s="4">
        <v>43948.560949074074</v>
      </c>
      <c r="I214" t="s">
        <v>510</v>
      </c>
      <c r="J214" s="5">
        <v>21.00000000000000000000000000000000000004</v>
      </c>
      <c r="K214" t="s">
        <v>38</v>
      </c>
      <c r="M214">
        <v>63780</v>
      </c>
      <c r="N214" t="s">
        <v>537</v>
      </c>
      <c r="O214" t="s">
        <v>538</v>
      </c>
      <c r="P214" t="s">
        <v>38</v>
      </c>
      <c r="Q214" t="s">
        <v>78</v>
      </c>
      <c r="R214">
        <v>5</v>
      </c>
      <c r="S214" t="s">
        <v>45</v>
      </c>
      <c r="T214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4">
        <v>63781</v>
      </c>
      <c r="V214" t="s">
        <v>38</v>
      </c>
      <c r="W214" t="s">
        <v>78</v>
      </c>
      <c r="X214">
        <v>5</v>
      </c>
      <c r="Y214">
        <v>3</v>
      </c>
      <c r="Z214" t="s">
        <v>46</v>
      </c>
      <c r="AA214">
        <v>63784</v>
      </c>
      <c r="AB214" t="s">
        <v>539</v>
      </c>
      <c r="AC214" t="s">
        <v>56</v>
      </c>
      <c r="AD214" t="s">
        <v>38</v>
      </c>
      <c r="AE214" t="s">
        <v>540</v>
      </c>
      <c r="AF214" t="s">
        <v>50</v>
      </c>
      <c r="AG214">
        <v>.9999999999999999999999999999999999999996</v>
      </c>
      <c r="AH214">
        <v>1</v>
      </c>
      <c r="AI214" t="s">
        <v>541</v>
      </c>
      <c r="AJ214" t="s">
        <v>51</v>
      </c>
      <c r="AK214" t="s">
        <v>541</v>
      </c>
    </row>
    <row r="215" spans="1:37" x14ac:dyDescent="0.2">
      <c r="A215">
        <v>63779</v>
      </c>
      <c r="B215" t="s">
        <v>37</v>
      </c>
      <c r="C215" t="s">
        <v>38</v>
      </c>
      <c r="D215" t="s">
        <v>509</v>
      </c>
      <c r="E215" t="s">
        <v>40</v>
      </c>
      <c r="G215" s="4">
        <v>43948.560706018519</v>
      </c>
      <c r="H215" s="4">
        <v>43948.560949074074</v>
      </c>
      <c r="I215" t="s">
        <v>510</v>
      </c>
      <c r="J215" s="5">
        <v>21.00000000000000000000000000000000000004</v>
      </c>
      <c r="K215" t="s">
        <v>38</v>
      </c>
      <c r="M215">
        <v>63780</v>
      </c>
      <c r="N215" t="s">
        <v>537</v>
      </c>
      <c r="O215" t="s">
        <v>538</v>
      </c>
      <c r="P215" t="s">
        <v>38</v>
      </c>
      <c r="Q215" t="s">
        <v>78</v>
      </c>
      <c r="R215">
        <v>5</v>
      </c>
      <c r="S215" t="s">
        <v>45</v>
      </c>
      <c r="T215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5">
        <v>63781</v>
      </c>
      <c r="V215" t="s">
        <v>38</v>
      </c>
      <c r="W215" t="s">
        <v>78</v>
      </c>
      <c r="X215">
        <v>5</v>
      </c>
      <c r="Y215">
        <v>3</v>
      </c>
      <c r="Z215" t="s">
        <v>46</v>
      </c>
      <c r="AA215">
        <v>63783</v>
      </c>
      <c r="AB215" t="s">
        <v>542</v>
      </c>
      <c r="AC215" t="s">
        <v>97</v>
      </c>
      <c r="AD215" t="s">
        <v>38</v>
      </c>
      <c r="AE215" t="s">
        <v>49</v>
      </c>
      <c r="AF215" t="s">
        <v>50</v>
      </c>
      <c r="AG215">
        <v>0</v>
      </c>
      <c r="AH215">
        <v>0</v>
      </c>
      <c r="AI215" t="s">
        <v>51</v>
      </c>
      <c r="AJ215" t="s">
        <v>51</v>
      </c>
      <c r="AK215" t="s">
        <v>51</v>
      </c>
    </row>
    <row r="216" spans="1:37" x14ac:dyDescent="0.2">
      <c r="A216">
        <v>63779</v>
      </c>
      <c r="B216" t="s">
        <v>37</v>
      </c>
      <c r="C216" t="s">
        <v>38</v>
      </c>
      <c r="D216" t="s">
        <v>509</v>
      </c>
      <c r="E216" t="s">
        <v>40</v>
      </c>
      <c r="G216" s="4">
        <v>43948.560706018519</v>
      </c>
      <c r="H216" s="4">
        <v>43948.560949074074</v>
      </c>
      <c r="I216" t="s">
        <v>510</v>
      </c>
      <c r="J216" s="5">
        <v>21.00000000000000000000000000000000000004</v>
      </c>
      <c r="K216" t="s">
        <v>38</v>
      </c>
      <c r="M216">
        <v>63780</v>
      </c>
      <c r="N216" t="s">
        <v>537</v>
      </c>
      <c r="O216" t="s">
        <v>538</v>
      </c>
      <c r="P216" t="s">
        <v>38</v>
      </c>
      <c r="Q216" t="s">
        <v>78</v>
      </c>
      <c r="R216">
        <v>5</v>
      </c>
      <c r="S216" t="s">
        <v>45</v>
      </c>
      <c r="T216" t="str" s="2">
        <f>=HYPERLINK("http://demo.enginatics.com:80/ecc/user/applications/log/63779.log","http://demo.enginatics.com:80/ecc/user/applications/log/63779.log")</f>
        <v>"http://demo.enginatics.com:80/ecc/user/applications/log/63779.log")</v>
      </c>
      <c r="U216">
        <v>63781</v>
      </c>
      <c r="V216" t="s">
        <v>38</v>
      </c>
      <c r="W216" t="s">
        <v>78</v>
      </c>
      <c r="X216">
        <v>5</v>
      </c>
      <c r="Y216">
        <v>3</v>
      </c>
      <c r="Z216" t="s">
        <v>46</v>
      </c>
      <c r="AA216">
        <v>63782</v>
      </c>
      <c r="AB216" t="s">
        <v>543</v>
      </c>
      <c r="AC216" t="s">
        <v>56</v>
      </c>
      <c r="AD216" t="s">
        <v>38</v>
      </c>
      <c r="AE216" t="s">
        <v>49</v>
      </c>
      <c r="AF216" t="s">
        <v>50</v>
      </c>
      <c r="AG216">
        <v>0</v>
      </c>
      <c r="AH216">
        <v>0</v>
      </c>
      <c r="AI216" t="s">
        <v>51</v>
      </c>
      <c r="AJ216" t="s">
        <v>51</v>
      </c>
      <c r="AK216" t="s">
        <v>51</v>
      </c>
    </row>
    <row r="217" spans="1:37" x14ac:dyDescent="0.2">
      <c r="A217">
        <v>63770</v>
      </c>
      <c r="B217" t="s">
        <v>37</v>
      </c>
      <c r="C217" t="s">
        <v>38</v>
      </c>
      <c r="D217" t="s">
        <v>544</v>
      </c>
      <c r="E217" t="s">
        <v>40</v>
      </c>
      <c r="G217" s="4">
        <v>43948.558344907407</v>
      </c>
      <c r="H217" s="4">
        <v>43948.558356481481</v>
      </c>
      <c r="I217" t="s">
        <v>50</v>
      </c>
      <c r="J217" s="5">
        <v>.9999999999999999999999999999999999999996</v>
      </c>
      <c r="K217" t="s">
        <v>38</v>
      </c>
      <c r="M217">
        <v>63775</v>
      </c>
      <c r="N217" t="s">
        <v>545</v>
      </c>
      <c r="O217" t="s">
        <v>546</v>
      </c>
      <c r="P217" t="s">
        <v>38</v>
      </c>
      <c r="Q217" t="s">
        <v>50</v>
      </c>
      <c r="R217">
        <v>.9999999999999999999999999999999999999996</v>
      </c>
      <c r="S217" t="s">
        <v>45</v>
      </c>
      <c r="T217" t="str" s="2">
        <f>=HYPERLINK("http://demo.enginatics.com:80/ecc/user/applications/log/63770.log","http://demo.enginatics.com:80/ecc/user/applications/log/63770.log")</f>
        <v>"http://demo.enginatics.com:80/ecc/user/applications/log/63770.log")</v>
      </c>
      <c r="U217">
        <v>63776</v>
      </c>
      <c r="V217" t="s">
        <v>38</v>
      </c>
      <c r="W217" t="s">
        <v>50</v>
      </c>
      <c r="X217">
        <v>.9999999999999999999999999999999999999996</v>
      </c>
      <c r="Y217">
        <v>0</v>
      </c>
      <c r="Z217" t="s">
        <v>46</v>
      </c>
      <c r="AA217">
        <v>63778</v>
      </c>
      <c r="AB217" t="s">
        <v>547</v>
      </c>
      <c r="AC217" t="s">
        <v>56</v>
      </c>
      <c r="AD217" t="s">
        <v>38</v>
      </c>
      <c r="AE217" t="s">
        <v>49</v>
      </c>
      <c r="AF217" t="s">
        <v>50</v>
      </c>
      <c r="AG217">
        <v>0</v>
      </c>
      <c r="AH217">
        <v>0</v>
      </c>
      <c r="AI217" t="s">
        <v>51</v>
      </c>
      <c r="AJ217" t="s">
        <v>51</v>
      </c>
      <c r="AK217" t="s">
        <v>51</v>
      </c>
    </row>
    <row r="218" spans="1:37" x14ac:dyDescent="0.2">
      <c r="A218">
        <v>63770</v>
      </c>
      <c r="B218" t="s">
        <v>37</v>
      </c>
      <c r="C218" t="s">
        <v>38</v>
      </c>
      <c r="D218" t="s">
        <v>544</v>
      </c>
      <c r="E218" t="s">
        <v>40</v>
      </c>
      <c r="G218" s="4">
        <v>43948.558344907407</v>
      </c>
      <c r="H218" s="4">
        <v>43948.558356481481</v>
      </c>
      <c r="I218" t="s">
        <v>50</v>
      </c>
      <c r="J218" s="5">
        <v>.9999999999999999999999999999999999999996</v>
      </c>
      <c r="K218" t="s">
        <v>38</v>
      </c>
      <c r="M218">
        <v>63775</v>
      </c>
      <c r="N218" t="s">
        <v>545</v>
      </c>
      <c r="O218" t="s">
        <v>546</v>
      </c>
      <c r="P218" t="s">
        <v>38</v>
      </c>
      <c r="Q218" t="s">
        <v>50</v>
      </c>
      <c r="R218">
        <v>.9999999999999999999999999999999999999996</v>
      </c>
      <c r="S218" t="s">
        <v>45</v>
      </c>
      <c r="T218" t="str" s="2">
        <f>=HYPERLINK("http://demo.enginatics.com:80/ecc/user/applications/log/63770.log","http://demo.enginatics.com:80/ecc/user/applications/log/63770.log")</f>
        <v>"http://demo.enginatics.com:80/ecc/user/applications/log/63770.log")</v>
      </c>
      <c r="U218">
        <v>63776</v>
      </c>
      <c r="V218" t="s">
        <v>38</v>
      </c>
      <c r="W218" t="s">
        <v>50</v>
      </c>
      <c r="X218">
        <v>.9999999999999999999999999999999999999996</v>
      </c>
      <c r="Y218">
        <v>0</v>
      </c>
      <c r="Z218" t="s">
        <v>46</v>
      </c>
      <c r="AA218">
        <v>63777</v>
      </c>
      <c r="AB218" t="s">
        <v>548</v>
      </c>
      <c r="AC218" t="s">
        <v>68</v>
      </c>
      <c r="AD218" t="s">
        <v>38</v>
      </c>
      <c r="AE218" t="s">
        <v>49</v>
      </c>
      <c r="AF218" t="s">
        <v>50</v>
      </c>
      <c r="AG218">
        <v>0</v>
      </c>
      <c r="AH218">
        <v>0</v>
      </c>
      <c r="AI218" t="s">
        <v>51</v>
      </c>
      <c r="AJ218" t="s">
        <v>51</v>
      </c>
      <c r="AK218" t="s">
        <v>51</v>
      </c>
    </row>
    <row r="219" spans="1:37" x14ac:dyDescent="0.2">
      <c r="A219">
        <v>63770</v>
      </c>
      <c r="B219" t="s">
        <v>37</v>
      </c>
      <c r="C219" t="s">
        <v>38</v>
      </c>
      <c r="D219" t="s">
        <v>544</v>
      </c>
      <c r="E219" t="s">
        <v>40</v>
      </c>
      <c r="G219" s="4">
        <v>43948.558344907407</v>
      </c>
      <c r="H219" s="4">
        <v>43948.558356481481</v>
      </c>
      <c r="I219" t="s">
        <v>50</v>
      </c>
      <c r="J219" s="5">
        <v>.9999999999999999999999999999999999999996</v>
      </c>
      <c r="K219" t="s">
        <v>38</v>
      </c>
      <c r="M219">
        <v>63771</v>
      </c>
      <c r="N219" t="s">
        <v>549</v>
      </c>
      <c r="O219" t="s">
        <v>550</v>
      </c>
      <c r="P219" t="s">
        <v>38</v>
      </c>
      <c r="Q219" t="s">
        <v>50</v>
      </c>
      <c r="R219">
        <v>0</v>
      </c>
      <c r="S219" t="s">
        <v>45</v>
      </c>
      <c r="T219" t="str" s="2">
        <f>=HYPERLINK("http://demo.enginatics.com:80/ecc/user/applications/log/63770.log","http://demo.enginatics.com:80/ecc/user/applications/log/63770.log")</f>
        <v>"http://demo.enginatics.com:80/ecc/user/applications/log/63770.log")</v>
      </c>
      <c r="U219">
        <v>63772</v>
      </c>
      <c r="V219" t="s">
        <v>38</v>
      </c>
      <c r="W219" t="s">
        <v>50</v>
      </c>
      <c r="X219">
        <v>0</v>
      </c>
      <c r="Y219">
        <v>0</v>
      </c>
      <c r="Z219" t="s">
        <v>46</v>
      </c>
      <c r="AA219">
        <v>63774</v>
      </c>
      <c r="AB219" t="s">
        <v>551</v>
      </c>
      <c r="AC219" t="s">
        <v>56</v>
      </c>
      <c r="AD219" t="s">
        <v>38</v>
      </c>
      <c r="AE219" t="s">
        <v>49</v>
      </c>
      <c r="AF219" t="s">
        <v>50</v>
      </c>
      <c r="AG219">
        <v>0</v>
      </c>
      <c r="AH219">
        <v>0</v>
      </c>
      <c r="AI219" t="s">
        <v>51</v>
      </c>
      <c r="AJ219" t="s">
        <v>51</v>
      </c>
      <c r="AK219" t="s">
        <v>51</v>
      </c>
    </row>
    <row r="220" spans="1:37" x14ac:dyDescent="0.2">
      <c r="A220">
        <v>63770</v>
      </c>
      <c r="B220" t="s">
        <v>37</v>
      </c>
      <c r="C220" t="s">
        <v>38</v>
      </c>
      <c r="D220" t="s">
        <v>544</v>
      </c>
      <c r="E220" t="s">
        <v>40</v>
      </c>
      <c r="G220" s="4">
        <v>43948.558344907407</v>
      </c>
      <c r="H220" s="4">
        <v>43948.558356481481</v>
      </c>
      <c r="I220" t="s">
        <v>50</v>
      </c>
      <c r="J220" s="5">
        <v>.9999999999999999999999999999999999999996</v>
      </c>
      <c r="K220" t="s">
        <v>38</v>
      </c>
      <c r="M220">
        <v>63771</v>
      </c>
      <c r="N220" t="s">
        <v>549</v>
      </c>
      <c r="O220" t="s">
        <v>550</v>
      </c>
      <c r="P220" t="s">
        <v>38</v>
      </c>
      <c r="Q220" t="s">
        <v>50</v>
      </c>
      <c r="R220">
        <v>0</v>
      </c>
      <c r="S220" t="s">
        <v>45</v>
      </c>
      <c r="T220" t="str" s="2">
        <f>=HYPERLINK("http://demo.enginatics.com:80/ecc/user/applications/log/63770.log","http://demo.enginatics.com:80/ecc/user/applications/log/63770.log")</f>
        <v>"http://demo.enginatics.com:80/ecc/user/applications/log/63770.log")</v>
      </c>
      <c r="U220">
        <v>63772</v>
      </c>
      <c r="V220" t="s">
        <v>38</v>
      </c>
      <c r="W220" t="s">
        <v>50</v>
      </c>
      <c r="X220">
        <v>0</v>
      </c>
      <c r="Y220">
        <v>0</v>
      </c>
      <c r="Z220" t="s">
        <v>46</v>
      </c>
      <c r="AA220">
        <v>63773</v>
      </c>
      <c r="AB220" t="s">
        <v>552</v>
      </c>
      <c r="AC220" t="s">
        <v>68</v>
      </c>
      <c r="AD220" t="s">
        <v>38</v>
      </c>
      <c r="AE220" t="s">
        <v>49</v>
      </c>
      <c r="AF220" t="s">
        <v>50</v>
      </c>
      <c r="AG220">
        <v>0</v>
      </c>
      <c r="AH220">
        <v>0</v>
      </c>
      <c r="AI220" t="s">
        <v>51</v>
      </c>
      <c r="AJ220" t="s">
        <v>51</v>
      </c>
      <c r="AK220" t="s">
        <v>51</v>
      </c>
    </row>
    <row r="221" spans="1:37" x14ac:dyDescent="0.2">
      <c r="A221">
        <v>63743</v>
      </c>
      <c r="B221" t="s">
        <v>37</v>
      </c>
      <c r="C221" t="s">
        <v>38</v>
      </c>
      <c r="D221" t="s">
        <v>553</v>
      </c>
      <c r="E221" t="s">
        <v>554</v>
      </c>
      <c r="G221" s="4">
        <v>43948.544606481481</v>
      </c>
      <c r="H221" s="4">
        <v>43948.544641203704</v>
      </c>
      <c r="I221" t="s">
        <v>85</v>
      </c>
      <c r="J221" s="5">
        <v>3</v>
      </c>
      <c r="K221" t="s">
        <v>38</v>
      </c>
      <c r="M221">
        <v>63767</v>
      </c>
      <c r="N221" t="s">
        <v>554</v>
      </c>
      <c r="O221" t="s">
        <v>555</v>
      </c>
      <c r="P221" t="s">
        <v>38</v>
      </c>
      <c r="Q221" t="s">
        <v>50</v>
      </c>
      <c r="R221">
        <v>0</v>
      </c>
      <c r="S221" t="s">
        <v>45</v>
      </c>
      <c r="T221" t="str" s="2">
        <f>=HYPERLINK("http://demo.enginatics.com:80/ecc/user/applications/log/63743.log","http://demo.enginatics.com:80/ecc/user/applications/log/63743.log")</f>
        <v>"http://demo.enginatics.com:80/ecc/user/applications/log/63743.log")</v>
      </c>
      <c r="U221">
        <v>63768</v>
      </c>
      <c r="V221" t="s">
        <v>38</v>
      </c>
      <c r="W221" t="s">
        <v>50</v>
      </c>
      <c r="X221">
        <v>0</v>
      </c>
      <c r="Y221">
        <v>0</v>
      </c>
      <c r="Z221" t="s">
        <v>46</v>
      </c>
      <c r="AA221">
        <v>63769</v>
      </c>
      <c r="AB221" t="s">
        <v>556</v>
      </c>
      <c r="AC221" t="s">
        <v>48</v>
      </c>
      <c r="AD221" t="s">
        <v>38</v>
      </c>
      <c r="AE221" t="s">
        <v>49</v>
      </c>
      <c r="AF221" t="s">
        <v>50</v>
      </c>
      <c r="AG221">
        <v>0</v>
      </c>
      <c r="AH221">
        <v>0</v>
      </c>
      <c r="AI221" t="s">
        <v>51</v>
      </c>
      <c r="AJ221" t="s">
        <v>51</v>
      </c>
      <c r="AK221" t="s">
        <v>51</v>
      </c>
    </row>
    <row r="222" spans="1:37" x14ac:dyDescent="0.2">
      <c r="A222">
        <v>63742</v>
      </c>
      <c r="B222" t="s">
        <v>37</v>
      </c>
      <c r="C222" t="s">
        <v>38</v>
      </c>
      <c r="D222" t="s">
        <v>553</v>
      </c>
      <c r="E222" t="s">
        <v>557</v>
      </c>
      <c r="G222" s="4">
        <v>43948.544606481481</v>
      </c>
      <c r="H222" s="4">
        <v>43948.544641203704</v>
      </c>
      <c r="I222" t="s">
        <v>85</v>
      </c>
      <c r="J222" s="5">
        <v>3</v>
      </c>
      <c r="K222" t="s">
        <v>38</v>
      </c>
      <c r="M222">
        <v>63764</v>
      </c>
      <c r="N222" t="s">
        <v>557</v>
      </c>
      <c r="O222" t="s">
        <v>558</v>
      </c>
      <c r="P222" t="s">
        <v>38</v>
      </c>
      <c r="Q222" t="s">
        <v>50</v>
      </c>
      <c r="R222">
        <v>0</v>
      </c>
      <c r="S222" t="s">
        <v>45</v>
      </c>
      <c r="T222" t="str" s="2">
        <f>=HYPERLINK("http://demo.enginatics.com:80/ecc/user/applications/log/63742.log","http://demo.enginatics.com:80/ecc/user/applications/log/63742.log")</f>
        <v>"http://demo.enginatics.com:80/ecc/user/applications/log/63742.log")</v>
      </c>
      <c r="U222">
        <v>63765</v>
      </c>
      <c r="V222" t="s">
        <v>38</v>
      </c>
      <c r="W222" t="s">
        <v>50</v>
      </c>
      <c r="X222">
        <v>0</v>
      </c>
      <c r="Y222">
        <v>0</v>
      </c>
      <c r="Z222" t="s">
        <v>46</v>
      </c>
      <c r="AA222">
        <v>63766</v>
      </c>
      <c r="AB222" t="s">
        <v>559</v>
      </c>
      <c r="AC222" t="s">
        <v>48</v>
      </c>
      <c r="AD222" t="s">
        <v>38</v>
      </c>
      <c r="AE222" t="s">
        <v>49</v>
      </c>
      <c r="AF222" t="s">
        <v>50</v>
      </c>
      <c r="AG222">
        <v>0</v>
      </c>
      <c r="AH222">
        <v>0</v>
      </c>
      <c r="AI222" t="s">
        <v>51</v>
      </c>
      <c r="AJ222" t="s">
        <v>51</v>
      </c>
      <c r="AK222" t="s">
        <v>51</v>
      </c>
    </row>
    <row r="223" spans="1:37" x14ac:dyDescent="0.2">
      <c r="A223">
        <v>63741</v>
      </c>
      <c r="B223" t="s">
        <v>37</v>
      </c>
      <c r="C223" t="s">
        <v>38</v>
      </c>
      <c r="D223" t="s">
        <v>553</v>
      </c>
      <c r="E223" t="s">
        <v>560</v>
      </c>
      <c r="G223" s="4">
        <v>43948.544606481481</v>
      </c>
      <c r="H223" s="4">
        <v>43948.544641203704</v>
      </c>
      <c r="I223" t="s">
        <v>85</v>
      </c>
      <c r="J223" s="5">
        <v>3</v>
      </c>
      <c r="K223" t="s">
        <v>38</v>
      </c>
      <c r="M223">
        <v>63761</v>
      </c>
      <c r="N223" t="s">
        <v>560</v>
      </c>
      <c r="O223" t="s">
        <v>561</v>
      </c>
      <c r="P223" t="s">
        <v>38</v>
      </c>
      <c r="Q223" t="s">
        <v>50</v>
      </c>
      <c r="R223">
        <v>.9999999999999999999999999999999999999996</v>
      </c>
      <c r="S223" t="s">
        <v>45</v>
      </c>
      <c r="T223" t="str" s="2">
        <f>=HYPERLINK("http://demo.enginatics.com:80/ecc/user/applications/log/63741.log","http://demo.enginatics.com:80/ecc/user/applications/log/63741.log")</f>
        <v>"http://demo.enginatics.com:80/ecc/user/applications/log/63741.log")</v>
      </c>
      <c r="U223">
        <v>63762</v>
      </c>
      <c r="V223" t="s">
        <v>38</v>
      </c>
      <c r="W223" t="s">
        <v>50</v>
      </c>
      <c r="X223">
        <v>.9999999999999999999999999999999999999996</v>
      </c>
      <c r="Y223">
        <v>0</v>
      </c>
      <c r="Z223" t="s">
        <v>46</v>
      </c>
      <c r="AA223">
        <v>63763</v>
      </c>
      <c r="AB223" t="s">
        <v>562</v>
      </c>
      <c r="AC223" t="s">
        <v>48</v>
      </c>
      <c r="AD223" t="s">
        <v>38</v>
      </c>
      <c r="AE223" t="s">
        <v>49</v>
      </c>
      <c r="AF223" t="s">
        <v>50</v>
      </c>
      <c r="AG223">
        <v>.9999999999999999999999999999999999999996</v>
      </c>
      <c r="AH223">
        <v>0</v>
      </c>
      <c r="AI223" t="s">
        <v>51</v>
      </c>
      <c r="AJ223" t="s">
        <v>51</v>
      </c>
      <c r="AK223" t="s">
        <v>51</v>
      </c>
    </row>
    <row r="224" spans="1:37" x14ac:dyDescent="0.2">
      <c r="A224">
        <v>63737</v>
      </c>
      <c r="B224" t="s">
        <v>37</v>
      </c>
      <c r="C224" t="s">
        <v>38</v>
      </c>
      <c r="D224" t="s">
        <v>553</v>
      </c>
      <c r="E224" t="s">
        <v>563</v>
      </c>
      <c r="G224" s="4">
        <v>43948.544606481481</v>
      </c>
      <c r="H224" s="4">
        <v>43948.544641203704</v>
      </c>
      <c r="I224" t="s">
        <v>85</v>
      </c>
      <c r="J224" s="5">
        <v>3</v>
      </c>
      <c r="K224" t="s">
        <v>38</v>
      </c>
      <c r="M224">
        <v>63758</v>
      </c>
      <c r="N224" t="s">
        <v>563</v>
      </c>
      <c r="O224" t="s">
        <v>564</v>
      </c>
      <c r="P224" t="s">
        <v>38</v>
      </c>
      <c r="Q224" t="s">
        <v>50</v>
      </c>
      <c r="R224">
        <v>.9999999999999999999999999999999999999996</v>
      </c>
      <c r="S224" t="s">
        <v>45</v>
      </c>
      <c r="T224" t="str" s="2">
        <f>=HYPERLINK("http://demo.enginatics.com:80/ecc/user/applications/log/63737.log","http://demo.enginatics.com:80/ecc/user/applications/log/63737.log")</f>
        <v>"http://demo.enginatics.com:80/ecc/user/applications/log/63737.log")</v>
      </c>
      <c r="U224">
        <v>63759</v>
      </c>
      <c r="V224" t="s">
        <v>38</v>
      </c>
      <c r="W224" t="s">
        <v>50</v>
      </c>
      <c r="X224">
        <v>.9999999999999999999999999999999999999996</v>
      </c>
      <c r="Y224">
        <v>0</v>
      </c>
      <c r="Z224" t="s">
        <v>46</v>
      </c>
      <c r="AA224">
        <v>63760</v>
      </c>
      <c r="AB224" t="s">
        <v>565</v>
      </c>
      <c r="AC224" t="s">
        <v>48</v>
      </c>
      <c r="AD224" t="s">
        <v>38</v>
      </c>
      <c r="AE224" t="s">
        <v>49</v>
      </c>
      <c r="AF224" t="s">
        <v>50</v>
      </c>
      <c r="AG224">
        <v>.9999999999999999999999999999999999999996</v>
      </c>
      <c r="AH224">
        <v>0</v>
      </c>
      <c r="AI224" t="s">
        <v>51</v>
      </c>
      <c r="AJ224" t="s">
        <v>51</v>
      </c>
      <c r="AK224" t="s">
        <v>51</v>
      </c>
    </row>
    <row r="225" spans="1:37" x14ac:dyDescent="0.2">
      <c r="A225">
        <v>63735</v>
      </c>
      <c r="B225" t="s">
        <v>37</v>
      </c>
      <c r="C225" t="s">
        <v>38</v>
      </c>
      <c r="D225" t="s">
        <v>553</v>
      </c>
      <c r="E225" t="s">
        <v>566</v>
      </c>
      <c r="G225" s="4">
        <v>43948.544606481481</v>
      </c>
      <c r="H225" s="4">
        <v>43948.54462962963</v>
      </c>
      <c r="I225" t="s">
        <v>88</v>
      </c>
      <c r="J225" s="5">
        <v>2</v>
      </c>
      <c r="K225" t="s">
        <v>38</v>
      </c>
      <c r="M225">
        <v>63755</v>
      </c>
      <c r="N225" t="s">
        <v>566</v>
      </c>
      <c r="O225" t="s">
        <v>567</v>
      </c>
      <c r="P225" t="s">
        <v>38</v>
      </c>
      <c r="Q225" t="s">
        <v>50</v>
      </c>
      <c r="R225">
        <v>0</v>
      </c>
      <c r="S225" t="s">
        <v>45</v>
      </c>
      <c r="T225" t="str" s="2">
        <f>=HYPERLINK("http://demo.enginatics.com:80/ecc/user/applications/log/63735.log","http://demo.enginatics.com:80/ecc/user/applications/log/63735.log")</f>
        <v>"http://demo.enginatics.com:80/ecc/user/applications/log/63735.log")</v>
      </c>
      <c r="U225">
        <v>63756</v>
      </c>
      <c r="V225" t="s">
        <v>38</v>
      </c>
      <c r="W225" t="s">
        <v>50</v>
      </c>
      <c r="X225">
        <v>0</v>
      </c>
      <c r="Y225">
        <v>0</v>
      </c>
      <c r="Z225" t="s">
        <v>46</v>
      </c>
      <c r="AA225">
        <v>63757</v>
      </c>
      <c r="AB225" t="s">
        <v>568</v>
      </c>
      <c r="AC225" t="s">
        <v>48</v>
      </c>
      <c r="AD225" t="s">
        <v>38</v>
      </c>
      <c r="AE225" t="s">
        <v>49</v>
      </c>
      <c r="AF225" t="s">
        <v>50</v>
      </c>
      <c r="AG225">
        <v>0</v>
      </c>
      <c r="AH225">
        <v>0</v>
      </c>
      <c r="AI225" t="s">
        <v>51</v>
      </c>
      <c r="AJ225" t="s">
        <v>51</v>
      </c>
      <c r="AK225" t="s">
        <v>51</v>
      </c>
    </row>
    <row r="226" spans="1:37" x14ac:dyDescent="0.2">
      <c r="A226">
        <v>63731</v>
      </c>
      <c r="B226" t="s">
        <v>37</v>
      </c>
      <c r="C226" t="s">
        <v>38</v>
      </c>
      <c r="D226" t="s">
        <v>553</v>
      </c>
      <c r="E226" t="s">
        <v>569</v>
      </c>
      <c r="G226" s="4">
        <v>43948.544583333333</v>
      </c>
      <c r="H226" s="4">
        <v>43948.54462962963</v>
      </c>
      <c r="I226" t="s">
        <v>44</v>
      </c>
      <c r="J226" s="5">
        <v>4</v>
      </c>
      <c r="K226" t="s">
        <v>38</v>
      </c>
      <c r="M226">
        <v>63752</v>
      </c>
      <c r="N226" t="s">
        <v>569</v>
      </c>
      <c r="O226" t="s">
        <v>570</v>
      </c>
      <c r="P226" t="s">
        <v>38</v>
      </c>
      <c r="Q226" t="s">
        <v>50</v>
      </c>
      <c r="R226">
        <v>.9999999999999999999999999999999999999996</v>
      </c>
      <c r="S226" t="s">
        <v>45</v>
      </c>
      <c r="T226" t="str" s="2">
        <f>=HYPERLINK("http://demo.enginatics.com:80/ecc/user/applications/log/63731.log","http://demo.enginatics.com:80/ecc/user/applications/log/63731.log")</f>
        <v>"http://demo.enginatics.com:80/ecc/user/applications/log/63731.log")</v>
      </c>
      <c r="U226">
        <v>63753</v>
      </c>
      <c r="V226" t="s">
        <v>38</v>
      </c>
      <c r="W226" t="s">
        <v>50</v>
      </c>
      <c r="X226">
        <v>.9999999999999999999999999999999999999996</v>
      </c>
      <c r="Y226">
        <v>0</v>
      </c>
      <c r="Z226" t="s">
        <v>46</v>
      </c>
      <c r="AA226">
        <v>63754</v>
      </c>
      <c r="AB226" t="s">
        <v>571</v>
      </c>
      <c r="AC226" t="s">
        <v>48</v>
      </c>
      <c r="AD226" t="s">
        <v>38</v>
      </c>
      <c r="AE226" t="s">
        <v>49</v>
      </c>
      <c r="AF226" t="s">
        <v>50</v>
      </c>
      <c r="AG226">
        <v>.9999999999999999999999999999999999999996</v>
      </c>
      <c r="AH226">
        <v>0</v>
      </c>
      <c r="AI226" t="s">
        <v>51</v>
      </c>
      <c r="AJ226" t="s">
        <v>51</v>
      </c>
      <c r="AK226" t="s">
        <v>51</v>
      </c>
    </row>
    <row r="227" spans="1:37" x14ac:dyDescent="0.2">
      <c r="A227">
        <v>63730</v>
      </c>
      <c r="B227" t="s">
        <v>37</v>
      </c>
      <c r="C227" t="s">
        <v>38</v>
      </c>
      <c r="D227" t="s">
        <v>553</v>
      </c>
      <c r="E227" t="s">
        <v>572</v>
      </c>
      <c r="G227" s="4">
        <v>43948.544583333333</v>
      </c>
      <c r="H227" s="4">
        <v>43948.544618055556</v>
      </c>
      <c r="I227" t="s">
        <v>85</v>
      </c>
      <c r="J227" s="5">
        <v>3</v>
      </c>
      <c r="K227" t="s">
        <v>38</v>
      </c>
      <c r="M227">
        <v>63749</v>
      </c>
      <c r="N227" t="s">
        <v>572</v>
      </c>
      <c r="O227" t="s">
        <v>573</v>
      </c>
      <c r="P227" t="s">
        <v>38</v>
      </c>
      <c r="Q227" t="s">
        <v>50</v>
      </c>
      <c r="R227">
        <v>0</v>
      </c>
      <c r="S227" t="s">
        <v>45</v>
      </c>
      <c r="T227" t="str" s="2">
        <f>=HYPERLINK("http://demo.enginatics.com:80/ecc/user/applications/log/63730.log","http://demo.enginatics.com:80/ecc/user/applications/log/63730.log")</f>
        <v>"http://demo.enginatics.com:80/ecc/user/applications/log/63730.log")</v>
      </c>
      <c r="U227">
        <v>63750</v>
      </c>
      <c r="V227" t="s">
        <v>38</v>
      </c>
      <c r="W227" t="s">
        <v>50</v>
      </c>
      <c r="X227">
        <v>0</v>
      </c>
      <c r="Y227">
        <v>0</v>
      </c>
      <c r="Z227" t="s">
        <v>46</v>
      </c>
      <c r="AA227">
        <v>63751</v>
      </c>
      <c r="AB227" t="s">
        <v>574</v>
      </c>
      <c r="AC227" t="s">
        <v>48</v>
      </c>
      <c r="AD227" t="s">
        <v>38</v>
      </c>
      <c r="AE227" t="s">
        <v>49</v>
      </c>
      <c r="AF227" t="s">
        <v>50</v>
      </c>
      <c r="AG227">
        <v>0</v>
      </c>
      <c r="AH227">
        <v>0</v>
      </c>
      <c r="AI227" t="s">
        <v>51</v>
      </c>
      <c r="AJ227" t="s">
        <v>51</v>
      </c>
      <c r="AK227" t="s">
        <v>51</v>
      </c>
    </row>
    <row r="228" spans="1:37" x14ac:dyDescent="0.2">
      <c r="A228">
        <v>63729</v>
      </c>
      <c r="B228" t="s">
        <v>37</v>
      </c>
      <c r="C228" t="s">
        <v>38</v>
      </c>
      <c r="D228" t="s">
        <v>553</v>
      </c>
      <c r="E228" t="s">
        <v>575</v>
      </c>
      <c r="G228" s="4">
        <v>43948.544583333333</v>
      </c>
      <c r="H228" s="4">
        <v>43948.54462962963</v>
      </c>
      <c r="I228" t="s">
        <v>44</v>
      </c>
      <c r="J228" s="5">
        <v>4</v>
      </c>
      <c r="K228" t="s">
        <v>38</v>
      </c>
      <c r="M228">
        <v>63746</v>
      </c>
      <c r="N228" t="s">
        <v>575</v>
      </c>
      <c r="O228" t="s">
        <v>576</v>
      </c>
      <c r="P228" t="s">
        <v>38</v>
      </c>
      <c r="Q228" t="s">
        <v>50</v>
      </c>
      <c r="R228">
        <v>.9999999999999999999999999999999999999996</v>
      </c>
      <c r="S228" t="s">
        <v>45</v>
      </c>
      <c r="T228" t="str" s="2">
        <f>=HYPERLINK("http://demo.enginatics.com:80/ecc/user/applications/log/63729.log","http://demo.enginatics.com:80/ecc/user/applications/log/63729.log")</f>
        <v>"http://demo.enginatics.com:80/ecc/user/applications/log/63729.log")</v>
      </c>
      <c r="U228">
        <v>63747</v>
      </c>
      <c r="V228" t="s">
        <v>38</v>
      </c>
      <c r="W228" t="s">
        <v>50</v>
      </c>
      <c r="X228">
        <v>.9999999999999999999999999999999999999996</v>
      </c>
      <c r="Y228">
        <v>0</v>
      </c>
      <c r="Z228" t="s">
        <v>46</v>
      </c>
      <c r="AA228">
        <v>63748</v>
      </c>
      <c r="AB228" t="s">
        <v>577</v>
      </c>
      <c r="AC228" t="s">
        <v>48</v>
      </c>
      <c r="AD228" t="s">
        <v>38</v>
      </c>
      <c r="AE228" t="s">
        <v>49</v>
      </c>
      <c r="AF228" t="s">
        <v>50</v>
      </c>
      <c r="AG228">
        <v>.9999999999999999999999999999999999999996</v>
      </c>
      <c r="AH228">
        <v>0</v>
      </c>
      <c r="AI228" t="s">
        <v>51</v>
      </c>
      <c r="AJ228" t="s">
        <v>51</v>
      </c>
      <c r="AK228" t="s">
        <v>51</v>
      </c>
    </row>
    <row r="229" spans="1:37" x14ac:dyDescent="0.2">
      <c r="A229">
        <v>63722</v>
      </c>
      <c r="B229" t="s">
        <v>37</v>
      </c>
      <c r="C229" t="s">
        <v>38</v>
      </c>
      <c r="D229" t="s">
        <v>553</v>
      </c>
      <c r="E229" t="s">
        <v>578</v>
      </c>
      <c r="G229" s="4">
        <v>43948.544571759259</v>
      </c>
      <c r="H229" s="4">
        <v>43948.544618055556</v>
      </c>
      <c r="I229" t="s">
        <v>44</v>
      </c>
      <c r="J229" s="5">
        <v>4</v>
      </c>
      <c r="K229" t="s">
        <v>38</v>
      </c>
      <c r="M229">
        <v>63738</v>
      </c>
      <c r="N229" t="s">
        <v>578</v>
      </c>
      <c r="O229" t="s">
        <v>579</v>
      </c>
      <c r="P229" t="s">
        <v>38</v>
      </c>
      <c r="Q229" t="s">
        <v>50</v>
      </c>
      <c r="R229">
        <v>.9999999999999999999999999999999999999996</v>
      </c>
      <c r="S229" t="s">
        <v>45</v>
      </c>
      <c r="T229" t="str" s="2">
        <f>=HYPERLINK("http://demo.enginatics.com:80/ecc/user/applications/log/63722.log","http://demo.enginatics.com:80/ecc/user/applications/log/63722.log")</f>
        <v>"http://demo.enginatics.com:80/ecc/user/applications/log/63722.log")</v>
      </c>
      <c r="U229">
        <v>63740</v>
      </c>
      <c r="V229" t="s">
        <v>38</v>
      </c>
      <c r="W229" t="s">
        <v>50</v>
      </c>
      <c r="X229">
        <v>.9999999999999999999999999999999999999996</v>
      </c>
      <c r="Y229">
        <v>0</v>
      </c>
      <c r="Z229" t="s">
        <v>46</v>
      </c>
      <c r="AA229">
        <v>63744</v>
      </c>
      <c r="AB229" t="s">
        <v>580</v>
      </c>
      <c r="AC229" t="s">
        <v>48</v>
      </c>
      <c r="AD229" t="s">
        <v>38</v>
      </c>
      <c r="AE229" t="s">
        <v>49</v>
      </c>
      <c r="AF229" t="s">
        <v>50</v>
      </c>
      <c r="AG229">
        <v>0</v>
      </c>
      <c r="AH229">
        <v>0</v>
      </c>
      <c r="AI229" t="s">
        <v>51</v>
      </c>
      <c r="AJ229" t="s">
        <v>51</v>
      </c>
      <c r="AK229" t="s">
        <v>51</v>
      </c>
    </row>
    <row r="230" spans="1:37" x14ac:dyDescent="0.2">
      <c r="A230">
        <v>63720</v>
      </c>
      <c r="B230" t="s">
        <v>37</v>
      </c>
      <c r="C230" t="s">
        <v>38</v>
      </c>
      <c r="D230" t="s">
        <v>553</v>
      </c>
      <c r="E230" t="s">
        <v>581</v>
      </c>
      <c r="G230" s="4">
        <v>43948.544571759259</v>
      </c>
      <c r="H230" s="4">
        <v>43948.544618055556</v>
      </c>
      <c r="I230" t="s">
        <v>44</v>
      </c>
      <c r="J230" s="5">
        <v>4</v>
      </c>
      <c r="K230" t="s">
        <v>38</v>
      </c>
      <c r="M230">
        <v>63736</v>
      </c>
      <c r="N230" t="s">
        <v>581</v>
      </c>
      <c r="O230" t="s">
        <v>582</v>
      </c>
      <c r="P230" t="s">
        <v>38</v>
      </c>
      <c r="Q230" t="s">
        <v>50</v>
      </c>
      <c r="R230">
        <v>.9999999999999999999999999999999999999996</v>
      </c>
      <c r="S230" t="s">
        <v>45</v>
      </c>
      <c r="T230" t="str" s="2">
        <f>=HYPERLINK("http://demo.enginatics.com:80/ecc/user/applications/log/63720.log","http://demo.enginatics.com:80/ecc/user/applications/log/63720.log")</f>
        <v>"http://demo.enginatics.com:80/ecc/user/applications/log/63720.log")</v>
      </c>
      <c r="U230">
        <v>63739</v>
      </c>
      <c r="V230" t="s">
        <v>38</v>
      </c>
      <c r="W230" t="s">
        <v>50</v>
      </c>
      <c r="X230">
        <v>.9999999999999999999999999999999999999996</v>
      </c>
      <c r="Y230">
        <v>0</v>
      </c>
      <c r="Z230" t="s">
        <v>46</v>
      </c>
      <c r="AA230">
        <v>63745</v>
      </c>
      <c r="AB230" t="s">
        <v>583</v>
      </c>
      <c r="AC230" t="s">
        <v>48</v>
      </c>
      <c r="AD230" t="s">
        <v>38</v>
      </c>
      <c r="AE230" t="s">
        <v>49</v>
      </c>
      <c r="AF230" t="s">
        <v>50</v>
      </c>
      <c r="AG230">
        <v>0</v>
      </c>
      <c r="AH230">
        <v>0</v>
      </c>
      <c r="AI230" t="s">
        <v>51</v>
      </c>
      <c r="AJ230" t="s">
        <v>51</v>
      </c>
      <c r="AK230" t="s">
        <v>51</v>
      </c>
    </row>
    <row r="231" spans="1:37" x14ac:dyDescent="0.2">
      <c r="A231">
        <v>63719</v>
      </c>
      <c r="B231" t="s">
        <v>37</v>
      </c>
      <c r="C231" t="s">
        <v>38</v>
      </c>
      <c r="D231" t="s">
        <v>553</v>
      </c>
      <c r="E231" t="s">
        <v>584</v>
      </c>
      <c r="G231" s="4">
        <v>43948.544571759259</v>
      </c>
      <c r="H231" s="4">
        <v>43948.544594907407</v>
      </c>
      <c r="I231" t="s">
        <v>88</v>
      </c>
      <c r="J231" s="5">
        <v>2</v>
      </c>
      <c r="K231" t="s">
        <v>38</v>
      </c>
      <c r="M231">
        <v>63732</v>
      </c>
      <c r="N231" t="s">
        <v>584</v>
      </c>
      <c r="O231" t="s">
        <v>585</v>
      </c>
      <c r="P231" t="s">
        <v>38</v>
      </c>
      <c r="Q231" t="s">
        <v>50</v>
      </c>
      <c r="R231">
        <v>0</v>
      </c>
      <c r="S231" t="s">
        <v>45</v>
      </c>
      <c r="T231" t="str" s="2">
        <f>=HYPERLINK("http://demo.enginatics.com:80/ecc/user/applications/log/63719.log","http://demo.enginatics.com:80/ecc/user/applications/log/63719.log")</f>
        <v>"http://demo.enginatics.com:80/ecc/user/applications/log/63719.log")</v>
      </c>
      <c r="U231">
        <v>63733</v>
      </c>
      <c r="V231" t="s">
        <v>38</v>
      </c>
      <c r="W231" t="s">
        <v>50</v>
      </c>
      <c r="X231">
        <v>0</v>
      </c>
      <c r="Y231">
        <v>0</v>
      </c>
      <c r="Z231" t="s">
        <v>46</v>
      </c>
      <c r="AA231">
        <v>63734</v>
      </c>
      <c r="AB231" t="s">
        <v>586</v>
      </c>
      <c r="AC231" t="s">
        <v>48</v>
      </c>
      <c r="AD231" t="s">
        <v>38</v>
      </c>
      <c r="AE231" t="s">
        <v>49</v>
      </c>
      <c r="AF231" t="s">
        <v>50</v>
      </c>
      <c r="AG231">
        <v>0</v>
      </c>
      <c r="AH231">
        <v>0</v>
      </c>
      <c r="AI231" t="s">
        <v>51</v>
      </c>
      <c r="AJ231" t="s">
        <v>51</v>
      </c>
      <c r="AK231" t="s">
        <v>51</v>
      </c>
    </row>
    <row r="232" spans="1:37" x14ac:dyDescent="0.2">
      <c r="A232">
        <v>63716</v>
      </c>
      <c r="B232" t="s">
        <v>37</v>
      </c>
      <c r="C232" t="s">
        <v>38</v>
      </c>
      <c r="D232" t="s">
        <v>553</v>
      </c>
      <c r="E232" t="s">
        <v>587</v>
      </c>
      <c r="G232" s="4">
        <v>43948.544571759259</v>
      </c>
      <c r="H232" s="4">
        <v>43948.544594907407</v>
      </c>
      <c r="I232" t="s">
        <v>88</v>
      </c>
      <c r="J232" s="5">
        <v>2</v>
      </c>
      <c r="K232" t="s">
        <v>38</v>
      </c>
      <c r="M232">
        <v>63726</v>
      </c>
      <c r="N232" t="s">
        <v>587</v>
      </c>
      <c r="O232" t="s">
        <v>588</v>
      </c>
      <c r="P232" t="s">
        <v>38</v>
      </c>
      <c r="Q232" t="s">
        <v>50</v>
      </c>
      <c r="R232">
        <v>.9999999999999999999999999999999999999996</v>
      </c>
      <c r="S232" t="s">
        <v>45</v>
      </c>
      <c r="T232" t="str" s="2">
        <f>=HYPERLINK("http://demo.enginatics.com:80/ecc/user/applications/log/63716.log","http://demo.enginatics.com:80/ecc/user/applications/log/63716.log")</f>
        <v>"http://demo.enginatics.com:80/ecc/user/applications/log/63716.log")</v>
      </c>
      <c r="U232">
        <v>63727</v>
      </c>
      <c r="V232" t="s">
        <v>38</v>
      </c>
      <c r="W232" t="s">
        <v>50</v>
      </c>
      <c r="X232">
        <v>.9999999999999999999999999999999999999996</v>
      </c>
      <c r="Y232">
        <v>0</v>
      </c>
      <c r="Z232" t="s">
        <v>46</v>
      </c>
      <c r="AA232">
        <v>63728</v>
      </c>
      <c r="AB232" t="s">
        <v>589</v>
      </c>
      <c r="AC232" t="s">
        <v>48</v>
      </c>
      <c r="AD232" t="s">
        <v>38</v>
      </c>
      <c r="AE232" t="s">
        <v>49</v>
      </c>
      <c r="AF232" t="s">
        <v>50</v>
      </c>
      <c r="AG232">
        <v>.9999999999999999999999999999999999999996</v>
      </c>
      <c r="AH232">
        <v>0</v>
      </c>
      <c r="AI232" t="s">
        <v>51</v>
      </c>
      <c r="AJ232" t="s">
        <v>51</v>
      </c>
      <c r="AK232" t="s">
        <v>51</v>
      </c>
    </row>
    <row r="233" spans="1:37" x14ac:dyDescent="0.2">
      <c r="A233">
        <v>63715</v>
      </c>
      <c r="B233" t="s">
        <v>37</v>
      </c>
      <c r="C233" t="s">
        <v>38</v>
      </c>
      <c r="D233" t="s">
        <v>553</v>
      </c>
      <c r="E233" t="s">
        <v>590</v>
      </c>
      <c r="G233" s="4">
        <v>43948.544571759259</v>
      </c>
      <c r="H233" s="4">
        <v>43948.544583333333</v>
      </c>
      <c r="I233" t="s">
        <v>50</v>
      </c>
      <c r="J233" s="5">
        <v>.9999999999999999999999999999999999999996</v>
      </c>
      <c r="K233" t="s">
        <v>38</v>
      </c>
      <c r="M233">
        <v>63723</v>
      </c>
      <c r="N233" t="s">
        <v>590</v>
      </c>
      <c r="O233" t="s">
        <v>591</v>
      </c>
      <c r="P233" t="s">
        <v>38</v>
      </c>
      <c r="Q233" t="s">
        <v>50</v>
      </c>
      <c r="R233">
        <v>.9999999999999999999999999999999999999996</v>
      </c>
      <c r="S233" t="s">
        <v>45</v>
      </c>
      <c r="T233" t="str" s="2">
        <f>=HYPERLINK("http://demo.enginatics.com:80/ecc/user/applications/log/63715.log","http://demo.enginatics.com:80/ecc/user/applications/log/63715.log")</f>
        <v>"http://demo.enginatics.com:80/ecc/user/applications/log/63715.log")</v>
      </c>
      <c r="U233">
        <v>63724</v>
      </c>
      <c r="V233" t="s">
        <v>38</v>
      </c>
      <c r="W233" t="s">
        <v>50</v>
      </c>
      <c r="X233">
        <v>.9999999999999999999999999999999999999996</v>
      </c>
      <c r="Y233">
        <v>0</v>
      </c>
      <c r="Z233" t="s">
        <v>46</v>
      </c>
      <c r="AA233">
        <v>63725</v>
      </c>
      <c r="AB233" t="s">
        <v>592</v>
      </c>
      <c r="AC233" t="s">
        <v>48</v>
      </c>
      <c r="AD233" t="s">
        <v>38</v>
      </c>
      <c r="AE233" t="s">
        <v>49</v>
      </c>
      <c r="AF233" t="s">
        <v>50</v>
      </c>
      <c r="AG233">
        <v>.9999999999999999999999999999999999999996</v>
      </c>
      <c r="AH233">
        <v>0</v>
      </c>
      <c r="AI233" t="s">
        <v>51</v>
      </c>
      <c r="AJ233" t="s">
        <v>51</v>
      </c>
      <c r="AK233" t="s">
        <v>51</v>
      </c>
    </row>
    <row r="234" spans="1:37" x14ac:dyDescent="0.2">
      <c r="A234">
        <v>63714</v>
      </c>
      <c r="B234" t="s">
        <v>37</v>
      </c>
      <c r="C234" t="s">
        <v>38</v>
      </c>
      <c r="D234" t="s">
        <v>553</v>
      </c>
      <c r="E234" t="s">
        <v>593</v>
      </c>
      <c r="G234" s="4">
        <v>43948.544560185185</v>
      </c>
      <c r="H234" s="4">
        <v>43948.544594907407</v>
      </c>
      <c r="I234" t="s">
        <v>85</v>
      </c>
      <c r="J234" s="5">
        <v>3</v>
      </c>
      <c r="K234" t="s">
        <v>38</v>
      </c>
      <c r="M234">
        <v>63717</v>
      </c>
      <c r="N234" t="s">
        <v>593</v>
      </c>
      <c r="O234" t="s">
        <v>594</v>
      </c>
      <c r="P234" t="s">
        <v>38</v>
      </c>
      <c r="Q234" t="s">
        <v>88</v>
      </c>
      <c r="R234">
        <v>2</v>
      </c>
      <c r="S234" t="s">
        <v>45</v>
      </c>
      <c r="T234" t="str" s="2">
        <f>=HYPERLINK("http://demo.enginatics.com:80/ecc/user/applications/log/63714.log","http://demo.enginatics.com:80/ecc/user/applications/log/63714.log")</f>
        <v>"http://demo.enginatics.com:80/ecc/user/applications/log/63714.log")</v>
      </c>
      <c r="U234">
        <v>63718</v>
      </c>
      <c r="V234" t="s">
        <v>38</v>
      </c>
      <c r="W234" t="s">
        <v>88</v>
      </c>
      <c r="X234">
        <v>2</v>
      </c>
      <c r="Y234">
        <v>0</v>
      </c>
      <c r="Z234" t="s">
        <v>46</v>
      </c>
      <c r="AA234">
        <v>63721</v>
      </c>
      <c r="AB234" t="s">
        <v>595</v>
      </c>
      <c r="AC234" t="s">
        <v>48</v>
      </c>
      <c r="AD234" t="s">
        <v>38</v>
      </c>
      <c r="AE234" t="s">
        <v>49</v>
      </c>
      <c r="AF234" t="s">
        <v>88</v>
      </c>
      <c r="AG234">
        <v>2</v>
      </c>
      <c r="AH234">
        <v>2</v>
      </c>
      <c r="AI234" t="s">
        <v>51</v>
      </c>
      <c r="AJ234" t="s">
        <v>51</v>
      </c>
      <c r="AK234" t="s">
        <v>51</v>
      </c>
    </row>
    <row r="235" spans="1:37" x14ac:dyDescent="0.2">
      <c r="A235">
        <v>63710</v>
      </c>
      <c r="B235" t="s">
        <v>37</v>
      </c>
      <c r="C235" t="s">
        <v>38</v>
      </c>
      <c r="D235" t="s">
        <v>553</v>
      </c>
      <c r="E235" t="s">
        <v>596</v>
      </c>
      <c r="G235" s="4">
        <v>43948.544525462963</v>
      </c>
      <c r="H235" s="4">
        <v>43948.544571759259</v>
      </c>
      <c r="I235" t="s">
        <v>44</v>
      </c>
      <c r="J235" s="5">
        <v>4</v>
      </c>
      <c r="K235" t="s">
        <v>38</v>
      </c>
      <c r="M235">
        <v>63711</v>
      </c>
      <c r="N235" t="s">
        <v>596</v>
      </c>
      <c r="O235" t="s">
        <v>597</v>
      </c>
      <c r="P235" t="s">
        <v>38</v>
      </c>
      <c r="Q235" t="s">
        <v>44</v>
      </c>
      <c r="R235">
        <v>4</v>
      </c>
      <c r="S235" t="s">
        <v>45</v>
      </c>
      <c r="T235" t="str" s="2">
        <f>=HYPERLINK("http://demo.enginatics.com:80/ecc/user/applications/log/63710.log","http://demo.enginatics.com:80/ecc/user/applications/log/63710.log")</f>
        <v>"http://demo.enginatics.com:80/ecc/user/applications/log/63710.log")</v>
      </c>
      <c r="U235">
        <v>63712</v>
      </c>
      <c r="V235" t="s">
        <v>38</v>
      </c>
      <c r="W235" t="s">
        <v>44</v>
      </c>
      <c r="X235">
        <v>4</v>
      </c>
      <c r="Y235">
        <v>0</v>
      </c>
      <c r="Z235" t="s">
        <v>46</v>
      </c>
      <c r="AA235">
        <v>63713</v>
      </c>
      <c r="AB235" t="s">
        <v>598</v>
      </c>
      <c r="AC235" t="s">
        <v>48</v>
      </c>
      <c r="AD235" t="s">
        <v>38</v>
      </c>
      <c r="AE235" t="s">
        <v>49</v>
      </c>
      <c r="AF235" t="s">
        <v>44</v>
      </c>
      <c r="AG235">
        <v>4</v>
      </c>
      <c r="AH235">
        <v>4</v>
      </c>
      <c r="AI235" t="s">
        <v>51</v>
      </c>
      <c r="AJ235" t="s">
        <v>51</v>
      </c>
      <c r="AK235" t="s">
        <v>51</v>
      </c>
    </row>
    <row r="236" spans="1:37" x14ac:dyDescent="0.2">
      <c r="A236">
        <v>63706</v>
      </c>
      <c r="B236" t="s">
        <v>37</v>
      </c>
      <c r="C236" t="s">
        <v>38</v>
      </c>
      <c r="D236" t="s">
        <v>83</v>
      </c>
      <c r="E236" t="s">
        <v>599</v>
      </c>
      <c r="G236" s="4">
        <v>43948.543368055556</v>
      </c>
      <c r="H236" s="4">
        <v>43948.543402777778</v>
      </c>
      <c r="I236" t="s">
        <v>85</v>
      </c>
      <c r="J236" s="5">
        <v>3</v>
      </c>
      <c r="K236" t="s">
        <v>38</v>
      </c>
      <c r="M236">
        <v>63707</v>
      </c>
      <c r="N236" t="s">
        <v>599</v>
      </c>
      <c r="O236" t="s">
        <v>600</v>
      </c>
      <c r="P236" t="s">
        <v>38</v>
      </c>
      <c r="Q236" t="s">
        <v>85</v>
      </c>
      <c r="R236">
        <v>3</v>
      </c>
      <c r="S236" t="s">
        <v>45</v>
      </c>
      <c r="T236" t="str" s="2">
        <f>=HYPERLINK("http://demo.enginatics.com:80/ecc/user/applications/log/63706.log","http://demo.enginatics.com:80/ecc/user/applications/log/63706.log")</f>
        <v>"http://demo.enginatics.com:80/ecc/user/applications/log/63706.log")</v>
      </c>
      <c r="U236">
        <v>63708</v>
      </c>
      <c r="V236" t="s">
        <v>38</v>
      </c>
      <c r="W236" t="s">
        <v>85</v>
      </c>
      <c r="X236">
        <v>3</v>
      </c>
      <c r="Y236">
        <v>0</v>
      </c>
      <c r="Z236" t="s">
        <v>46</v>
      </c>
      <c r="AA236">
        <v>63709</v>
      </c>
      <c r="AB236" t="s">
        <v>601</v>
      </c>
      <c r="AC236" t="s">
        <v>68</v>
      </c>
      <c r="AD236" t="s">
        <v>38</v>
      </c>
      <c r="AE236" t="s">
        <v>49</v>
      </c>
      <c r="AF236" t="s">
        <v>85</v>
      </c>
      <c r="AG236">
        <v>3</v>
      </c>
      <c r="AH236">
        <v>2</v>
      </c>
      <c r="AI236" t="s">
        <v>51</v>
      </c>
      <c r="AJ236" t="s">
        <v>51</v>
      </c>
      <c r="AK236" t="s">
        <v>51</v>
      </c>
    </row>
    <row r="237" spans="1:37" x14ac:dyDescent="0.2">
      <c r="A237">
        <v>63702</v>
      </c>
      <c r="B237" t="s">
        <v>37</v>
      </c>
      <c r="C237" t="s">
        <v>38</v>
      </c>
      <c r="D237" t="s">
        <v>602</v>
      </c>
      <c r="E237" t="s">
        <v>603</v>
      </c>
      <c r="G237" s="4">
        <v>43948.532465277778</v>
      </c>
      <c r="H237" s="4">
        <v>43948.532511574074</v>
      </c>
      <c r="I237" t="s">
        <v>44</v>
      </c>
      <c r="J237" s="5">
        <v>4</v>
      </c>
      <c r="K237" t="s">
        <v>38</v>
      </c>
      <c r="M237">
        <v>63703</v>
      </c>
      <c r="N237" t="s">
        <v>603</v>
      </c>
      <c r="O237" t="s">
        <v>604</v>
      </c>
      <c r="P237" t="s">
        <v>38</v>
      </c>
      <c r="Q237" t="s">
        <v>44</v>
      </c>
      <c r="R237">
        <v>4</v>
      </c>
      <c r="S237" t="s">
        <v>45</v>
      </c>
      <c r="T237" t="str" s="2">
        <f>=HYPERLINK("http://demo.enginatics.com:80/ecc/user/applications/log/63702.log","http://demo.enginatics.com:80/ecc/user/applications/log/63702.log")</f>
        <v>"http://demo.enginatics.com:80/ecc/user/applications/log/63702.log")</v>
      </c>
      <c r="U237">
        <v>63704</v>
      </c>
      <c r="V237" t="s">
        <v>38</v>
      </c>
      <c r="W237" t="s">
        <v>44</v>
      </c>
      <c r="X237">
        <v>4</v>
      </c>
      <c r="Y237">
        <v>0</v>
      </c>
      <c r="Z237" t="s">
        <v>46</v>
      </c>
      <c r="AA237">
        <v>63705</v>
      </c>
      <c r="AB237" t="s">
        <v>605</v>
      </c>
      <c r="AC237" t="s">
        <v>68</v>
      </c>
      <c r="AD237" t="s">
        <v>38</v>
      </c>
      <c r="AE237" t="s">
        <v>49</v>
      </c>
      <c r="AF237" t="s">
        <v>44</v>
      </c>
      <c r="AG237">
        <v>4</v>
      </c>
      <c r="AH237">
        <v>3</v>
      </c>
      <c r="AI237" t="s">
        <v>51</v>
      </c>
      <c r="AJ237" t="s">
        <v>51</v>
      </c>
      <c r="AK237" t="s">
        <v>51</v>
      </c>
    </row>
    <row r="238" spans="1:37" x14ac:dyDescent="0.2">
      <c r="A238">
        <v>63697</v>
      </c>
      <c r="B238" t="s">
        <v>37</v>
      </c>
      <c r="C238" t="s">
        <v>38</v>
      </c>
      <c r="D238" t="s">
        <v>606</v>
      </c>
      <c r="E238" t="s">
        <v>607</v>
      </c>
      <c r="G238" s="4">
        <v>43948.531238425926</v>
      </c>
      <c r="H238" s="4">
        <v>43948.531238425926</v>
      </c>
      <c r="I238" t="s">
        <v>50</v>
      </c>
      <c r="J238" s="5">
        <v>0</v>
      </c>
      <c r="K238" t="s">
        <v>38</v>
      </c>
      <c r="M238">
        <v>63698</v>
      </c>
      <c r="N238" t="s">
        <v>607</v>
      </c>
      <c r="O238" t="s">
        <v>608</v>
      </c>
      <c r="P238" t="s">
        <v>38</v>
      </c>
      <c r="Q238" t="s">
        <v>50</v>
      </c>
      <c r="R238">
        <v>0</v>
      </c>
      <c r="S238" t="s">
        <v>45</v>
      </c>
      <c r="T238" t="str" s="2">
        <f>=HYPERLINK("http://demo.enginatics.com:80/ecc/user/applications/log/63697.log","http://demo.enginatics.com:80/ecc/user/applications/log/63697.log")</f>
        <v>"http://demo.enginatics.com:80/ecc/user/applications/log/63697.log")</v>
      </c>
      <c r="U238">
        <v>63699</v>
      </c>
      <c r="V238" t="s">
        <v>38</v>
      </c>
      <c r="W238" t="s">
        <v>50</v>
      </c>
      <c r="X238">
        <v>0</v>
      </c>
      <c r="Y238">
        <v>0</v>
      </c>
      <c r="Z238" t="s">
        <v>46</v>
      </c>
      <c r="AA238">
        <v>63701</v>
      </c>
      <c r="AB238" t="s">
        <v>609</v>
      </c>
      <c r="AC238" t="s">
        <v>48</v>
      </c>
      <c r="AD238" t="s">
        <v>38</v>
      </c>
      <c r="AE238" t="s">
        <v>49</v>
      </c>
      <c r="AF238" t="s">
        <v>50</v>
      </c>
      <c r="AG238">
        <v>0</v>
      </c>
      <c r="AH238">
        <v>0</v>
      </c>
      <c r="AI238" t="s">
        <v>51</v>
      </c>
      <c r="AJ238" t="s">
        <v>51</v>
      </c>
      <c r="AK238" t="s">
        <v>51</v>
      </c>
    </row>
    <row r="239" spans="1:37" x14ac:dyDescent="0.2">
      <c r="A239">
        <v>63697</v>
      </c>
      <c r="B239" t="s">
        <v>37</v>
      </c>
      <c r="C239" t="s">
        <v>38</v>
      </c>
      <c r="D239" t="s">
        <v>606</v>
      </c>
      <c r="E239" t="s">
        <v>607</v>
      </c>
      <c r="G239" s="4">
        <v>43948.531238425926</v>
      </c>
      <c r="H239" s="4">
        <v>43948.531238425926</v>
      </c>
      <c r="I239" t="s">
        <v>50</v>
      </c>
      <c r="J239" s="5">
        <v>0</v>
      </c>
      <c r="K239" t="s">
        <v>38</v>
      </c>
      <c r="M239">
        <v>63698</v>
      </c>
      <c r="N239" t="s">
        <v>607</v>
      </c>
      <c r="O239" t="s">
        <v>608</v>
      </c>
      <c r="P239" t="s">
        <v>38</v>
      </c>
      <c r="Q239" t="s">
        <v>50</v>
      </c>
      <c r="R239">
        <v>0</v>
      </c>
      <c r="S239" t="s">
        <v>45</v>
      </c>
      <c r="T239" t="str" s="2">
        <f>=HYPERLINK("http://demo.enginatics.com:80/ecc/user/applications/log/63697.log","http://demo.enginatics.com:80/ecc/user/applications/log/63697.log")</f>
        <v>"http://demo.enginatics.com:80/ecc/user/applications/log/63697.log")</v>
      </c>
      <c r="U239">
        <v>63699</v>
      </c>
      <c r="V239" t="s">
        <v>38</v>
      </c>
      <c r="W239" t="s">
        <v>50</v>
      </c>
      <c r="X239">
        <v>0</v>
      </c>
      <c r="Y239">
        <v>0</v>
      </c>
      <c r="Z239" t="s">
        <v>46</v>
      </c>
      <c r="AA239">
        <v>63700</v>
      </c>
      <c r="AB239" t="s">
        <v>610</v>
      </c>
      <c r="AC239" t="s">
        <v>56</v>
      </c>
      <c r="AD239" t="s">
        <v>38</v>
      </c>
      <c r="AE239" t="s">
        <v>49</v>
      </c>
      <c r="AF239" t="s">
        <v>50</v>
      </c>
      <c r="AG239">
        <v>0</v>
      </c>
      <c r="AH239">
        <v>0</v>
      </c>
      <c r="AI239" t="s">
        <v>51</v>
      </c>
      <c r="AJ239" t="s">
        <v>51</v>
      </c>
      <c r="AK239" t="s">
        <v>51</v>
      </c>
    </row>
    <row r="240" spans="1:37" x14ac:dyDescent="0.2">
      <c r="A240">
        <v>63692</v>
      </c>
      <c r="B240" t="s">
        <v>37</v>
      </c>
      <c r="C240" t="s">
        <v>38</v>
      </c>
      <c r="D240" t="s">
        <v>606</v>
      </c>
      <c r="E240" t="s">
        <v>611</v>
      </c>
      <c r="G240" s="4">
        <v>43948.531203703704</v>
      </c>
      <c r="H240" s="4">
        <v>43948.531203703704</v>
      </c>
      <c r="I240" t="s">
        <v>50</v>
      </c>
      <c r="J240" s="5">
        <v>0</v>
      </c>
      <c r="K240" t="s">
        <v>38</v>
      </c>
      <c r="M240">
        <v>63693</v>
      </c>
      <c r="N240" t="s">
        <v>611</v>
      </c>
      <c r="O240" t="s">
        <v>612</v>
      </c>
      <c r="P240" t="s">
        <v>38</v>
      </c>
      <c r="Q240" t="s">
        <v>50</v>
      </c>
      <c r="R240">
        <v>0</v>
      </c>
      <c r="S240" t="s">
        <v>45</v>
      </c>
      <c r="T240" t="str" s="2">
        <f>=HYPERLINK("http://demo.enginatics.com:80/ecc/user/applications/log/63692.log","http://demo.enginatics.com:80/ecc/user/applications/log/63692.log")</f>
        <v>"http://demo.enginatics.com:80/ecc/user/applications/log/63692.log")</v>
      </c>
      <c r="U240">
        <v>63694</v>
      </c>
      <c r="V240" t="s">
        <v>38</v>
      </c>
      <c r="W240" t="s">
        <v>50</v>
      </c>
      <c r="X240">
        <v>0</v>
      </c>
      <c r="Y240">
        <v>0</v>
      </c>
      <c r="Z240" t="s">
        <v>46</v>
      </c>
      <c r="AA240">
        <v>63696</v>
      </c>
      <c r="AB240" t="s">
        <v>613</v>
      </c>
      <c r="AC240" t="s">
        <v>48</v>
      </c>
      <c r="AD240" t="s">
        <v>38</v>
      </c>
      <c r="AE240" t="s">
        <v>49</v>
      </c>
      <c r="AF240" t="s">
        <v>50</v>
      </c>
      <c r="AG240">
        <v>0</v>
      </c>
      <c r="AH240">
        <v>0</v>
      </c>
      <c r="AI240" t="s">
        <v>51</v>
      </c>
      <c r="AJ240" t="s">
        <v>51</v>
      </c>
      <c r="AK240" t="s">
        <v>51</v>
      </c>
    </row>
    <row r="241" spans="1:37" x14ac:dyDescent="0.2">
      <c r="A241">
        <v>63692</v>
      </c>
      <c r="B241" t="s">
        <v>37</v>
      </c>
      <c r="C241" t="s">
        <v>38</v>
      </c>
      <c r="D241" t="s">
        <v>606</v>
      </c>
      <c r="E241" t="s">
        <v>611</v>
      </c>
      <c r="G241" s="4">
        <v>43948.531203703704</v>
      </c>
      <c r="H241" s="4">
        <v>43948.531203703704</v>
      </c>
      <c r="I241" t="s">
        <v>50</v>
      </c>
      <c r="J241" s="5">
        <v>0</v>
      </c>
      <c r="K241" t="s">
        <v>38</v>
      </c>
      <c r="M241">
        <v>63693</v>
      </c>
      <c r="N241" t="s">
        <v>611</v>
      </c>
      <c r="O241" t="s">
        <v>612</v>
      </c>
      <c r="P241" t="s">
        <v>38</v>
      </c>
      <c r="Q241" t="s">
        <v>50</v>
      </c>
      <c r="R241">
        <v>0</v>
      </c>
      <c r="S241" t="s">
        <v>45</v>
      </c>
      <c r="T241" t="str" s="2">
        <f>=HYPERLINK("http://demo.enginatics.com:80/ecc/user/applications/log/63692.log","http://demo.enginatics.com:80/ecc/user/applications/log/63692.log")</f>
        <v>"http://demo.enginatics.com:80/ecc/user/applications/log/63692.log")</v>
      </c>
      <c r="U241">
        <v>63694</v>
      </c>
      <c r="V241" t="s">
        <v>38</v>
      </c>
      <c r="W241" t="s">
        <v>50</v>
      </c>
      <c r="X241">
        <v>0</v>
      </c>
      <c r="Y241">
        <v>0</v>
      </c>
      <c r="Z241" t="s">
        <v>46</v>
      </c>
      <c r="AA241">
        <v>63695</v>
      </c>
      <c r="AB241" t="s">
        <v>614</v>
      </c>
      <c r="AC241" t="s">
        <v>56</v>
      </c>
      <c r="AD241" t="s">
        <v>38</v>
      </c>
      <c r="AE241" t="s">
        <v>49</v>
      </c>
      <c r="AF241" t="s">
        <v>50</v>
      </c>
      <c r="AG241">
        <v>0</v>
      </c>
      <c r="AH241">
        <v>0</v>
      </c>
      <c r="AI241" t="s">
        <v>51</v>
      </c>
      <c r="AJ241" t="s">
        <v>51</v>
      </c>
      <c r="AK241" t="s">
        <v>51</v>
      </c>
    </row>
    <row r="242" spans="1:37" x14ac:dyDescent="0.2">
      <c r="A242">
        <v>63687</v>
      </c>
      <c r="B242" t="s">
        <v>37</v>
      </c>
      <c r="C242" t="s">
        <v>38</v>
      </c>
      <c r="D242" t="s">
        <v>606</v>
      </c>
      <c r="E242" t="s">
        <v>615</v>
      </c>
      <c r="G242" s="4">
        <v>43948.531134259259</v>
      </c>
      <c r="H242" s="4">
        <v>43948.531134259259</v>
      </c>
      <c r="I242" t="s">
        <v>50</v>
      </c>
      <c r="J242" s="5">
        <v>0</v>
      </c>
      <c r="K242" t="s">
        <v>38</v>
      </c>
      <c r="M242">
        <v>63688</v>
      </c>
      <c r="N242" t="s">
        <v>615</v>
      </c>
      <c r="O242" t="s">
        <v>616</v>
      </c>
      <c r="P242" t="s">
        <v>38</v>
      </c>
      <c r="Q242" t="s">
        <v>50</v>
      </c>
      <c r="R242">
        <v>0</v>
      </c>
      <c r="S242" t="s">
        <v>45</v>
      </c>
      <c r="T242" t="str" s="2">
        <f>=HYPERLINK("http://demo.enginatics.com:80/ecc/user/applications/log/63687.log","http://demo.enginatics.com:80/ecc/user/applications/log/63687.log")</f>
        <v>"http://demo.enginatics.com:80/ecc/user/applications/log/63687.log")</v>
      </c>
      <c r="U242">
        <v>63689</v>
      </c>
      <c r="V242" t="s">
        <v>38</v>
      </c>
      <c r="W242" t="s">
        <v>50</v>
      </c>
      <c r="X242">
        <v>0</v>
      </c>
      <c r="Y242">
        <v>0</v>
      </c>
      <c r="Z242" t="s">
        <v>46</v>
      </c>
      <c r="AA242">
        <v>63691</v>
      </c>
      <c r="AB242" t="s">
        <v>617</v>
      </c>
      <c r="AC242" t="s">
        <v>48</v>
      </c>
      <c r="AD242" t="s">
        <v>38</v>
      </c>
      <c r="AE242" t="s">
        <v>49</v>
      </c>
      <c r="AF242" t="s">
        <v>50</v>
      </c>
      <c r="AG242">
        <v>0</v>
      </c>
      <c r="AH242">
        <v>0</v>
      </c>
      <c r="AI242" t="s">
        <v>51</v>
      </c>
      <c r="AJ242" t="s">
        <v>51</v>
      </c>
      <c r="AK242" t="s">
        <v>51</v>
      </c>
    </row>
    <row r="243" spans="1:37" x14ac:dyDescent="0.2">
      <c r="A243">
        <v>63687</v>
      </c>
      <c r="B243" t="s">
        <v>37</v>
      </c>
      <c r="C243" t="s">
        <v>38</v>
      </c>
      <c r="D243" t="s">
        <v>606</v>
      </c>
      <c r="E243" t="s">
        <v>615</v>
      </c>
      <c r="G243" s="4">
        <v>43948.531134259259</v>
      </c>
      <c r="H243" s="4">
        <v>43948.531134259259</v>
      </c>
      <c r="I243" t="s">
        <v>50</v>
      </c>
      <c r="J243" s="5">
        <v>0</v>
      </c>
      <c r="K243" t="s">
        <v>38</v>
      </c>
      <c r="M243">
        <v>63688</v>
      </c>
      <c r="N243" t="s">
        <v>615</v>
      </c>
      <c r="O243" t="s">
        <v>616</v>
      </c>
      <c r="P243" t="s">
        <v>38</v>
      </c>
      <c r="Q243" t="s">
        <v>50</v>
      </c>
      <c r="R243">
        <v>0</v>
      </c>
      <c r="S243" t="s">
        <v>45</v>
      </c>
      <c r="T243" t="str" s="2">
        <f>=HYPERLINK("http://demo.enginatics.com:80/ecc/user/applications/log/63687.log","http://demo.enginatics.com:80/ecc/user/applications/log/63687.log")</f>
        <v>"http://demo.enginatics.com:80/ecc/user/applications/log/63687.log")</v>
      </c>
      <c r="U243">
        <v>63689</v>
      </c>
      <c r="V243" t="s">
        <v>38</v>
      </c>
      <c r="W243" t="s">
        <v>50</v>
      </c>
      <c r="X243">
        <v>0</v>
      </c>
      <c r="Y243">
        <v>0</v>
      </c>
      <c r="Z243" t="s">
        <v>46</v>
      </c>
      <c r="AA243">
        <v>63690</v>
      </c>
      <c r="AB243" t="s">
        <v>618</v>
      </c>
      <c r="AC243" t="s">
        <v>56</v>
      </c>
      <c r="AD243" t="s">
        <v>38</v>
      </c>
      <c r="AE243" t="s">
        <v>49</v>
      </c>
      <c r="AF243" t="s">
        <v>50</v>
      </c>
      <c r="AG243">
        <v>0</v>
      </c>
      <c r="AH243">
        <v>0</v>
      </c>
      <c r="AI243" t="s">
        <v>51</v>
      </c>
      <c r="AJ243" t="s">
        <v>51</v>
      </c>
      <c r="AK243" t="s">
        <v>51</v>
      </c>
    </row>
    <row r="244" spans="1:37" x14ac:dyDescent="0.2">
      <c r="A244">
        <v>63682</v>
      </c>
      <c r="B244" t="s">
        <v>37</v>
      </c>
      <c r="C244" t="s">
        <v>38</v>
      </c>
      <c r="D244" t="s">
        <v>606</v>
      </c>
      <c r="E244" t="s">
        <v>619</v>
      </c>
      <c r="G244" s="4">
        <v>43948.531030092593</v>
      </c>
      <c r="H244" s="4">
        <v>43948.531030092593</v>
      </c>
      <c r="I244" t="s">
        <v>50</v>
      </c>
      <c r="J244" s="5">
        <v>0</v>
      </c>
      <c r="K244" t="s">
        <v>38</v>
      </c>
      <c r="M244">
        <v>63683</v>
      </c>
      <c r="N244" t="s">
        <v>619</v>
      </c>
      <c r="O244" t="s">
        <v>620</v>
      </c>
      <c r="P244" t="s">
        <v>38</v>
      </c>
      <c r="Q244" t="s">
        <v>50</v>
      </c>
      <c r="R244">
        <v>0</v>
      </c>
      <c r="S244" t="s">
        <v>45</v>
      </c>
      <c r="T244" t="str" s="2">
        <f>=HYPERLINK("http://demo.enginatics.com:80/ecc/user/applications/log/63682.log","http://demo.enginatics.com:80/ecc/user/applications/log/63682.log")</f>
        <v>"http://demo.enginatics.com:80/ecc/user/applications/log/63682.log")</v>
      </c>
      <c r="U244">
        <v>63684</v>
      </c>
      <c r="V244" t="s">
        <v>38</v>
      </c>
      <c r="W244" t="s">
        <v>50</v>
      </c>
      <c r="X244">
        <v>0</v>
      </c>
      <c r="Y244">
        <v>0</v>
      </c>
      <c r="Z244" t="s">
        <v>46</v>
      </c>
      <c r="AA244">
        <v>63686</v>
      </c>
      <c r="AB244" t="s">
        <v>621</v>
      </c>
      <c r="AC244" t="s">
        <v>48</v>
      </c>
      <c r="AD244" t="s">
        <v>38</v>
      </c>
      <c r="AE244" t="s">
        <v>49</v>
      </c>
      <c r="AF244" t="s">
        <v>50</v>
      </c>
      <c r="AG244">
        <v>0</v>
      </c>
      <c r="AH244">
        <v>0</v>
      </c>
      <c r="AI244" t="s">
        <v>51</v>
      </c>
      <c r="AJ244" t="s">
        <v>51</v>
      </c>
      <c r="AK244" t="s">
        <v>51</v>
      </c>
    </row>
    <row r="245" spans="1:37" x14ac:dyDescent="0.2">
      <c r="A245">
        <v>63682</v>
      </c>
      <c r="B245" t="s">
        <v>37</v>
      </c>
      <c r="C245" t="s">
        <v>38</v>
      </c>
      <c r="D245" t="s">
        <v>606</v>
      </c>
      <c r="E245" t="s">
        <v>619</v>
      </c>
      <c r="G245" s="4">
        <v>43948.531030092593</v>
      </c>
      <c r="H245" s="4">
        <v>43948.531030092593</v>
      </c>
      <c r="I245" t="s">
        <v>50</v>
      </c>
      <c r="J245" s="5">
        <v>0</v>
      </c>
      <c r="K245" t="s">
        <v>38</v>
      </c>
      <c r="M245">
        <v>63683</v>
      </c>
      <c r="N245" t="s">
        <v>619</v>
      </c>
      <c r="O245" t="s">
        <v>620</v>
      </c>
      <c r="P245" t="s">
        <v>38</v>
      </c>
      <c r="Q245" t="s">
        <v>50</v>
      </c>
      <c r="R245">
        <v>0</v>
      </c>
      <c r="S245" t="s">
        <v>45</v>
      </c>
      <c r="T245" t="str" s="2">
        <f>=HYPERLINK("http://demo.enginatics.com:80/ecc/user/applications/log/63682.log","http://demo.enginatics.com:80/ecc/user/applications/log/63682.log")</f>
        <v>"http://demo.enginatics.com:80/ecc/user/applications/log/63682.log")</v>
      </c>
      <c r="U245">
        <v>63684</v>
      </c>
      <c r="V245" t="s">
        <v>38</v>
      </c>
      <c r="W245" t="s">
        <v>50</v>
      </c>
      <c r="X245">
        <v>0</v>
      </c>
      <c r="Y245">
        <v>0</v>
      </c>
      <c r="Z245" t="s">
        <v>46</v>
      </c>
      <c r="AA245">
        <v>63685</v>
      </c>
      <c r="AB245" t="s">
        <v>622</v>
      </c>
      <c r="AC245" t="s">
        <v>56</v>
      </c>
      <c r="AD245" t="s">
        <v>38</v>
      </c>
      <c r="AE245" t="s">
        <v>49</v>
      </c>
      <c r="AF245" t="s">
        <v>50</v>
      </c>
      <c r="AG245">
        <v>0</v>
      </c>
      <c r="AH245">
        <v>0</v>
      </c>
      <c r="AI245" t="s">
        <v>51</v>
      </c>
      <c r="AJ245" t="s">
        <v>51</v>
      </c>
      <c r="AK245" t="s">
        <v>51</v>
      </c>
    </row>
    <row r="246" spans="1:37" x14ac:dyDescent="0.2">
      <c r="A246">
        <v>63663</v>
      </c>
      <c r="B246" t="s">
        <v>37</v>
      </c>
      <c r="C246" t="s">
        <v>38</v>
      </c>
      <c r="D246" t="s">
        <v>623</v>
      </c>
      <c r="E246" t="s">
        <v>624</v>
      </c>
      <c r="G246" s="4">
        <v>43948.525324074074</v>
      </c>
      <c r="H246" s="4">
        <v>43948.525347222222</v>
      </c>
      <c r="I246" t="s">
        <v>88</v>
      </c>
      <c r="J246" s="5">
        <v>2</v>
      </c>
      <c r="K246" t="s">
        <v>38</v>
      </c>
      <c r="M246">
        <v>63664</v>
      </c>
      <c r="N246" t="s">
        <v>624</v>
      </c>
      <c r="O246" t="s">
        <v>623</v>
      </c>
      <c r="P246" t="s">
        <v>38</v>
      </c>
      <c r="Q246" t="s">
        <v>88</v>
      </c>
      <c r="R246">
        <v>2</v>
      </c>
      <c r="S246" t="s">
        <v>45</v>
      </c>
      <c r="T246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46">
        <v>63665</v>
      </c>
      <c r="V246" t="s">
        <v>38</v>
      </c>
      <c r="W246" t="s">
        <v>88</v>
      </c>
      <c r="X246">
        <v>2</v>
      </c>
      <c r="Y246">
        <v>0</v>
      </c>
      <c r="Z246" t="s">
        <v>46</v>
      </c>
      <c r="AA246">
        <v>63681</v>
      </c>
      <c r="AB246" t="s">
        <v>625</v>
      </c>
      <c r="AC246" t="s">
        <v>56</v>
      </c>
      <c r="AD246" t="s">
        <v>38</v>
      </c>
      <c r="AE246" t="s">
        <v>49</v>
      </c>
      <c r="AF246" t="s">
        <v>50</v>
      </c>
      <c r="AG246">
        <v>0</v>
      </c>
      <c r="AH246">
        <v>0</v>
      </c>
      <c r="AI246" t="s">
        <v>51</v>
      </c>
      <c r="AJ246" t="s">
        <v>51</v>
      </c>
      <c r="AK246" t="s">
        <v>51</v>
      </c>
    </row>
    <row r="247" spans="1:37" x14ac:dyDescent="0.2">
      <c r="A247">
        <v>63663</v>
      </c>
      <c r="B247" t="s">
        <v>37</v>
      </c>
      <c r="C247" t="s">
        <v>38</v>
      </c>
      <c r="D247" t="s">
        <v>623</v>
      </c>
      <c r="E247" t="s">
        <v>624</v>
      </c>
      <c r="G247" s="4">
        <v>43948.525324074074</v>
      </c>
      <c r="H247" s="4">
        <v>43948.525347222222</v>
      </c>
      <c r="I247" t="s">
        <v>88</v>
      </c>
      <c r="J247" s="5">
        <v>2</v>
      </c>
      <c r="K247" t="s">
        <v>38</v>
      </c>
      <c r="M247">
        <v>63664</v>
      </c>
      <c r="N247" t="s">
        <v>624</v>
      </c>
      <c r="O247" t="s">
        <v>623</v>
      </c>
      <c r="P247" t="s">
        <v>38</v>
      </c>
      <c r="Q247" t="s">
        <v>88</v>
      </c>
      <c r="R247">
        <v>2</v>
      </c>
      <c r="S247" t="s">
        <v>45</v>
      </c>
      <c r="T247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47">
        <v>63665</v>
      </c>
      <c r="V247" t="s">
        <v>38</v>
      </c>
      <c r="W247" t="s">
        <v>88</v>
      </c>
      <c r="X247">
        <v>2</v>
      </c>
      <c r="Y247">
        <v>0</v>
      </c>
      <c r="Z247" t="s">
        <v>46</v>
      </c>
      <c r="AA247">
        <v>63680</v>
      </c>
      <c r="AB247" t="s">
        <v>626</v>
      </c>
      <c r="AC247" t="s">
        <v>56</v>
      </c>
      <c r="AD247" t="s">
        <v>38</v>
      </c>
      <c r="AE247" t="s">
        <v>49</v>
      </c>
      <c r="AF247" t="s">
        <v>50</v>
      </c>
      <c r="AG247">
        <v>0</v>
      </c>
      <c r="AH247">
        <v>0</v>
      </c>
      <c r="AI247" t="s">
        <v>51</v>
      </c>
      <c r="AJ247" t="s">
        <v>51</v>
      </c>
      <c r="AK247" t="s">
        <v>51</v>
      </c>
    </row>
    <row r="248" spans="1:37" x14ac:dyDescent="0.2">
      <c r="A248">
        <v>63663</v>
      </c>
      <c r="B248" t="s">
        <v>37</v>
      </c>
      <c r="C248" t="s">
        <v>38</v>
      </c>
      <c r="D248" t="s">
        <v>623</v>
      </c>
      <c r="E248" t="s">
        <v>624</v>
      </c>
      <c r="G248" s="4">
        <v>43948.525324074074</v>
      </c>
      <c r="H248" s="4">
        <v>43948.525347222222</v>
      </c>
      <c r="I248" t="s">
        <v>88</v>
      </c>
      <c r="J248" s="5">
        <v>2</v>
      </c>
      <c r="K248" t="s">
        <v>38</v>
      </c>
      <c r="M248">
        <v>63664</v>
      </c>
      <c r="N248" t="s">
        <v>624</v>
      </c>
      <c r="O248" t="s">
        <v>623</v>
      </c>
      <c r="P248" t="s">
        <v>38</v>
      </c>
      <c r="Q248" t="s">
        <v>88</v>
      </c>
      <c r="R248">
        <v>2</v>
      </c>
      <c r="S248" t="s">
        <v>45</v>
      </c>
      <c r="T248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48">
        <v>63665</v>
      </c>
      <c r="V248" t="s">
        <v>38</v>
      </c>
      <c r="W248" t="s">
        <v>88</v>
      </c>
      <c r="X248">
        <v>2</v>
      </c>
      <c r="Y248">
        <v>0</v>
      </c>
      <c r="Z248" t="s">
        <v>46</v>
      </c>
      <c r="AA248">
        <v>63679</v>
      </c>
      <c r="AB248" t="s">
        <v>627</v>
      </c>
      <c r="AC248" t="s">
        <v>56</v>
      </c>
      <c r="AD248" t="s">
        <v>38</v>
      </c>
      <c r="AE248" t="s">
        <v>49</v>
      </c>
      <c r="AF248" t="s">
        <v>50</v>
      </c>
      <c r="AG248">
        <v>0</v>
      </c>
      <c r="AH248">
        <v>0</v>
      </c>
      <c r="AI248" t="s">
        <v>51</v>
      </c>
      <c r="AJ248" t="s">
        <v>51</v>
      </c>
      <c r="AK248" t="s">
        <v>51</v>
      </c>
    </row>
    <row r="249" spans="1:37" x14ac:dyDescent="0.2">
      <c r="A249">
        <v>63663</v>
      </c>
      <c r="B249" t="s">
        <v>37</v>
      </c>
      <c r="C249" t="s">
        <v>38</v>
      </c>
      <c r="D249" t="s">
        <v>623</v>
      </c>
      <c r="E249" t="s">
        <v>624</v>
      </c>
      <c r="G249" s="4">
        <v>43948.525324074074</v>
      </c>
      <c r="H249" s="4">
        <v>43948.525347222222</v>
      </c>
      <c r="I249" t="s">
        <v>88</v>
      </c>
      <c r="J249" s="5">
        <v>2</v>
      </c>
      <c r="K249" t="s">
        <v>38</v>
      </c>
      <c r="M249">
        <v>63664</v>
      </c>
      <c r="N249" t="s">
        <v>624</v>
      </c>
      <c r="O249" t="s">
        <v>623</v>
      </c>
      <c r="P249" t="s">
        <v>38</v>
      </c>
      <c r="Q249" t="s">
        <v>88</v>
      </c>
      <c r="R249">
        <v>2</v>
      </c>
      <c r="S249" t="s">
        <v>45</v>
      </c>
      <c r="T249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49">
        <v>63665</v>
      </c>
      <c r="V249" t="s">
        <v>38</v>
      </c>
      <c r="W249" t="s">
        <v>88</v>
      </c>
      <c r="X249">
        <v>2</v>
      </c>
      <c r="Y249">
        <v>0</v>
      </c>
      <c r="Z249" t="s">
        <v>46</v>
      </c>
      <c r="AA249">
        <v>63678</v>
      </c>
      <c r="AB249" t="s">
        <v>628</v>
      </c>
      <c r="AC249" t="s">
        <v>56</v>
      </c>
      <c r="AD249" t="s">
        <v>38</v>
      </c>
      <c r="AE249" t="s">
        <v>49</v>
      </c>
      <c r="AF249" t="s">
        <v>50</v>
      </c>
      <c r="AG249">
        <v>0</v>
      </c>
      <c r="AH249">
        <v>0</v>
      </c>
      <c r="AI249" t="s">
        <v>51</v>
      </c>
      <c r="AJ249" t="s">
        <v>51</v>
      </c>
      <c r="AK249" t="s">
        <v>51</v>
      </c>
    </row>
    <row r="250" spans="1:37" x14ac:dyDescent="0.2">
      <c r="A250">
        <v>63663</v>
      </c>
      <c r="B250" t="s">
        <v>37</v>
      </c>
      <c r="C250" t="s">
        <v>38</v>
      </c>
      <c r="D250" t="s">
        <v>623</v>
      </c>
      <c r="E250" t="s">
        <v>624</v>
      </c>
      <c r="G250" s="4">
        <v>43948.525324074074</v>
      </c>
      <c r="H250" s="4">
        <v>43948.525347222222</v>
      </c>
      <c r="I250" t="s">
        <v>88</v>
      </c>
      <c r="J250" s="5">
        <v>2</v>
      </c>
      <c r="K250" t="s">
        <v>38</v>
      </c>
      <c r="M250">
        <v>63664</v>
      </c>
      <c r="N250" t="s">
        <v>624</v>
      </c>
      <c r="O250" t="s">
        <v>623</v>
      </c>
      <c r="P250" t="s">
        <v>38</v>
      </c>
      <c r="Q250" t="s">
        <v>88</v>
      </c>
      <c r="R250">
        <v>2</v>
      </c>
      <c r="S250" t="s">
        <v>45</v>
      </c>
      <c r="T250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0">
        <v>63665</v>
      </c>
      <c r="V250" t="s">
        <v>38</v>
      </c>
      <c r="W250" t="s">
        <v>88</v>
      </c>
      <c r="X250">
        <v>2</v>
      </c>
      <c r="Y250">
        <v>0</v>
      </c>
      <c r="Z250" t="s">
        <v>46</v>
      </c>
      <c r="AA250">
        <v>63677</v>
      </c>
      <c r="AB250" t="s">
        <v>629</v>
      </c>
      <c r="AC250" t="s">
        <v>56</v>
      </c>
      <c r="AD250" t="s">
        <v>38</v>
      </c>
      <c r="AE250" t="s">
        <v>49</v>
      </c>
      <c r="AF250" t="s">
        <v>50</v>
      </c>
      <c r="AG250">
        <v>0</v>
      </c>
      <c r="AH250">
        <v>0</v>
      </c>
      <c r="AI250" t="s">
        <v>51</v>
      </c>
      <c r="AJ250" t="s">
        <v>51</v>
      </c>
      <c r="AK250" t="s">
        <v>51</v>
      </c>
    </row>
    <row r="251" spans="1:37" x14ac:dyDescent="0.2">
      <c r="A251">
        <v>63663</v>
      </c>
      <c r="B251" t="s">
        <v>37</v>
      </c>
      <c r="C251" t="s">
        <v>38</v>
      </c>
      <c r="D251" t="s">
        <v>623</v>
      </c>
      <c r="E251" t="s">
        <v>624</v>
      </c>
      <c r="G251" s="4">
        <v>43948.525324074074</v>
      </c>
      <c r="H251" s="4">
        <v>43948.525347222222</v>
      </c>
      <c r="I251" t="s">
        <v>88</v>
      </c>
      <c r="J251" s="5">
        <v>2</v>
      </c>
      <c r="K251" t="s">
        <v>38</v>
      </c>
      <c r="M251">
        <v>63664</v>
      </c>
      <c r="N251" t="s">
        <v>624</v>
      </c>
      <c r="O251" t="s">
        <v>623</v>
      </c>
      <c r="P251" t="s">
        <v>38</v>
      </c>
      <c r="Q251" t="s">
        <v>88</v>
      </c>
      <c r="R251">
        <v>2</v>
      </c>
      <c r="S251" t="s">
        <v>45</v>
      </c>
      <c r="T251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1">
        <v>63665</v>
      </c>
      <c r="V251" t="s">
        <v>38</v>
      </c>
      <c r="W251" t="s">
        <v>88</v>
      </c>
      <c r="X251">
        <v>2</v>
      </c>
      <c r="Y251">
        <v>0</v>
      </c>
      <c r="Z251" t="s">
        <v>46</v>
      </c>
      <c r="AA251">
        <v>63676</v>
      </c>
      <c r="AB251" t="s">
        <v>630</v>
      </c>
      <c r="AC251" t="s">
        <v>56</v>
      </c>
      <c r="AD251" t="s">
        <v>38</v>
      </c>
      <c r="AE251" t="s">
        <v>49</v>
      </c>
      <c r="AF251" t="s">
        <v>50</v>
      </c>
      <c r="AG251">
        <v>0</v>
      </c>
      <c r="AH251">
        <v>0</v>
      </c>
      <c r="AI251" t="s">
        <v>51</v>
      </c>
      <c r="AJ251" t="s">
        <v>51</v>
      </c>
      <c r="AK251" t="s">
        <v>51</v>
      </c>
    </row>
    <row r="252" spans="1:37" x14ac:dyDescent="0.2">
      <c r="A252">
        <v>63663</v>
      </c>
      <c r="B252" t="s">
        <v>37</v>
      </c>
      <c r="C252" t="s">
        <v>38</v>
      </c>
      <c r="D252" t="s">
        <v>623</v>
      </c>
      <c r="E252" t="s">
        <v>624</v>
      </c>
      <c r="G252" s="4">
        <v>43948.525324074074</v>
      </c>
      <c r="H252" s="4">
        <v>43948.525347222222</v>
      </c>
      <c r="I252" t="s">
        <v>88</v>
      </c>
      <c r="J252" s="5">
        <v>2</v>
      </c>
      <c r="K252" t="s">
        <v>38</v>
      </c>
      <c r="M252">
        <v>63664</v>
      </c>
      <c r="N252" t="s">
        <v>624</v>
      </c>
      <c r="O252" t="s">
        <v>623</v>
      </c>
      <c r="P252" t="s">
        <v>38</v>
      </c>
      <c r="Q252" t="s">
        <v>88</v>
      </c>
      <c r="R252">
        <v>2</v>
      </c>
      <c r="S252" t="s">
        <v>45</v>
      </c>
      <c r="T252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2">
        <v>63665</v>
      </c>
      <c r="V252" t="s">
        <v>38</v>
      </c>
      <c r="W252" t="s">
        <v>88</v>
      </c>
      <c r="X252">
        <v>2</v>
      </c>
      <c r="Y252">
        <v>0</v>
      </c>
      <c r="Z252" t="s">
        <v>46</v>
      </c>
      <c r="AA252">
        <v>63675</v>
      </c>
      <c r="AB252" t="s">
        <v>631</v>
      </c>
      <c r="AC252" t="s">
        <v>56</v>
      </c>
      <c r="AD252" t="s">
        <v>38</v>
      </c>
      <c r="AE252" t="s">
        <v>49</v>
      </c>
      <c r="AF252" t="s">
        <v>50</v>
      </c>
      <c r="AG252">
        <v>0</v>
      </c>
      <c r="AH252">
        <v>0</v>
      </c>
      <c r="AI252" t="s">
        <v>51</v>
      </c>
      <c r="AJ252" t="s">
        <v>51</v>
      </c>
      <c r="AK252" t="s">
        <v>51</v>
      </c>
    </row>
    <row r="253" spans="1:37" x14ac:dyDescent="0.2">
      <c r="A253">
        <v>63663</v>
      </c>
      <c r="B253" t="s">
        <v>37</v>
      </c>
      <c r="C253" t="s">
        <v>38</v>
      </c>
      <c r="D253" t="s">
        <v>623</v>
      </c>
      <c r="E253" t="s">
        <v>624</v>
      </c>
      <c r="G253" s="4">
        <v>43948.525324074074</v>
      </c>
      <c r="H253" s="4">
        <v>43948.525347222222</v>
      </c>
      <c r="I253" t="s">
        <v>88</v>
      </c>
      <c r="J253" s="5">
        <v>2</v>
      </c>
      <c r="K253" t="s">
        <v>38</v>
      </c>
      <c r="M253">
        <v>63664</v>
      </c>
      <c r="N253" t="s">
        <v>624</v>
      </c>
      <c r="O253" t="s">
        <v>623</v>
      </c>
      <c r="P253" t="s">
        <v>38</v>
      </c>
      <c r="Q253" t="s">
        <v>88</v>
      </c>
      <c r="R253">
        <v>2</v>
      </c>
      <c r="S253" t="s">
        <v>45</v>
      </c>
      <c r="T253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3">
        <v>63665</v>
      </c>
      <c r="V253" t="s">
        <v>38</v>
      </c>
      <c r="W253" t="s">
        <v>88</v>
      </c>
      <c r="X253">
        <v>2</v>
      </c>
      <c r="Y253">
        <v>0</v>
      </c>
      <c r="Z253" t="s">
        <v>46</v>
      </c>
      <c r="AA253">
        <v>63674</v>
      </c>
      <c r="AB253" t="s">
        <v>632</v>
      </c>
      <c r="AC253" t="s">
        <v>56</v>
      </c>
      <c r="AD253" t="s">
        <v>38</v>
      </c>
      <c r="AE253" t="s">
        <v>49</v>
      </c>
      <c r="AF253" t="s">
        <v>50</v>
      </c>
      <c r="AG253">
        <v>0</v>
      </c>
      <c r="AH253">
        <v>0</v>
      </c>
      <c r="AI253" t="s">
        <v>51</v>
      </c>
      <c r="AJ253" t="s">
        <v>51</v>
      </c>
      <c r="AK253" t="s">
        <v>51</v>
      </c>
    </row>
    <row r="254" spans="1:37" x14ac:dyDescent="0.2">
      <c r="A254">
        <v>63663</v>
      </c>
      <c r="B254" t="s">
        <v>37</v>
      </c>
      <c r="C254" t="s">
        <v>38</v>
      </c>
      <c r="D254" t="s">
        <v>623</v>
      </c>
      <c r="E254" t="s">
        <v>624</v>
      </c>
      <c r="G254" s="4">
        <v>43948.525324074074</v>
      </c>
      <c r="H254" s="4">
        <v>43948.525347222222</v>
      </c>
      <c r="I254" t="s">
        <v>88</v>
      </c>
      <c r="J254" s="5">
        <v>2</v>
      </c>
      <c r="K254" t="s">
        <v>38</v>
      </c>
      <c r="M254">
        <v>63664</v>
      </c>
      <c r="N254" t="s">
        <v>624</v>
      </c>
      <c r="O254" t="s">
        <v>623</v>
      </c>
      <c r="P254" t="s">
        <v>38</v>
      </c>
      <c r="Q254" t="s">
        <v>88</v>
      </c>
      <c r="R254">
        <v>2</v>
      </c>
      <c r="S254" t="s">
        <v>45</v>
      </c>
      <c r="T254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4">
        <v>63665</v>
      </c>
      <c r="V254" t="s">
        <v>38</v>
      </c>
      <c r="W254" t="s">
        <v>88</v>
      </c>
      <c r="X254">
        <v>2</v>
      </c>
      <c r="Y254">
        <v>0</v>
      </c>
      <c r="Z254" t="s">
        <v>46</v>
      </c>
      <c r="AA254">
        <v>63673</v>
      </c>
      <c r="AB254" t="s">
        <v>633</v>
      </c>
      <c r="AC254" t="s">
        <v>103</v>
      </c>
      <c r="AD254" t="s">
        <v>38</v>
      </c>
      <c r="AE254" t="s">
        <v>49</v>
      </c>
      <c r="AF254" t="s">
        <v>50</v>
      </c>
      <c r="AG254">
        <v>0</v>
      </c>
      <c r="AH254">
        <v>0</v>
      </c>
      <c r="AI254" t="s">
        <v>51</v>
      </c>
      <c r="AJ254" t="s">
        <v>51</v>
      </c>
      <c r="AK254" t="s">
        <v>51</v>
      </c>
    </row>
    <row r="255" spans="1:37" x14ac:dyDescent="0.2">
      <c r="A255">
        <v>63663</v>
      </c>
      <c r="B255" t="s">
        <v>37</v>
      </c>
      <c r="C255" t="s">
        <v>38</v>
      </c>
      <c r="D255" t="s">
        <v>623</v>
      </c>
      <c r="E255" t="s">
        <v>624</v>
      </c>
      <c r="G255" s="4">
        <v>43948.525324074074</v>
      </c>
      <c r="H255" s="4">
        <v>43948.525347222222</v>
      </c>
      <c r="I255" t="s">
        <v>88</v>
      </c>
      <c r="J255" s="5">
        <v>2</v>
      </c>
      <c r="K255" t="s">
        <v>38</v>
      </c>
      <c r="M255">
        <v>63664</v>
      </c>
      <c r="N255" t="s">
        <v>624</v>
      </c>
      <c r="O255" t="s">
        <v>623</v>
      </c>
      <c r="P255" t="s">
        <v>38</v>
      </c>
      <c r="Q255" t="s">
        <v>88</v>
      </c>
      <c r="R255">
        <v>2</v>
      </c>
      <c r="S255" t="s">
        <v>45</v>
      </c>
      <c r="T255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5">
        <v>63665</v>
      </c>
      <c r="V255" t="s">
        <v>38</v>
      </c>
      <c r="W255" t="s">
        <v>88</v>
      </c>
      <c r="X255">
        <v>2</v>
      </c>
      <c r="Y255">
        <v>0</v>
      </c>
      <c r="Z255" t="s">
        <v>46</v>
      </c>
      <c r="AA255">
        <v>63672</v>
      </c>
      <c r="AB255" t="s">
        <v>634</v>
      </c>
      <c r="AC255" t="s">
        <v>103</v>
      </c>
      <c r="AD255" t="s">
        <v>38</v>
      </c>
      <c r="AE255" t="s">
        <v>49</v>
      </c>
      <c r="AF255" t="s">
        <v>50</v>
      </c>
      <c r="AG255">
        <v>0</v>
      </c>
      <c r="AH255">
        <v>0</v>
      </c>
      <c r="AI255" t="s">
        <v>51</v>
      </c>
      <c r="AJ255" t="s">
        <v>51</v>
      </c>
      <c r="AK255" t="s">
        <v>51</v>
      </c>
    </row>
    <row r="256" spans="1:37" x14ac:dyDescent="0.2">
      <c r="A256">
        <v>63663</v>
      </c>
      <c r="B256" t="s">
        <v>37</v>
      </c>
      <c r="C256" t="s">
        <v>38</v>
      </c>
      <c r="D256" t="s">
        <v>623</v>
      </c>
      <c r="E256" t="s">
        <v>624</v>
      </c>
      <c r="G256" s="4">
        <v>43948.525324074074</v>
      </c>
      <c r="H256" s="4">
        <v>43948.525347222222</v>
      </c>
      <c r="I256" t="s">
        <v>88</v>
      </c>
      <c r="J256" s="5">
        <v>2</v>
      </c>
      <c r="K256" t="s">
        <v>38</v>
      </c>
      <c r="M256">
        <v>63664</v>
      </c>
      <c r="N256" t="s">
        <v>624</v>
      </c>
      <c r="O256" t="s">
        <v>623</v>
      </c>
      <c r="P256" t="s">
        <v>38</v>
      </c>
      <c r="Q256" t="s">
        <v>88</v>
      </c>
      <c r="R256">
        <v>2</v>
      </c>
      <c r="S256" t="s">
        <v>45</v>
      </c>
      <c r="T256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6">
        <v>63665</v>
      </c>
      <c r="V256" t="s">
        <v>38</v>
      </c>
      <c r="W256" t="s">
        <v>88</v>
      </c>
      <c r="X256">
        <v>2</v>
      </c>
      <c r="Y256">
        <v>0</v>
      </c>
      <c r="Z256" t="s">
        <v>46</v>
      </c>
      <c r="AA256">
        <v>63671</v>
      </c>
      <c r="AB256" t="s">
        <v>635</v>
      </c>
      <c r="AC256" t="s">
        <v>103</v>
      </c>
      <c r="AD256" t="s">
        <v>38</v>
      </c>
      <c r="AE256" t="s">
        <v>49</v>
      </c>
      <c r="AF256" t="s">
        <v>50</v>
      </c>
      <c r="AG256">
        <v>0</v>
      </c>
      <c r="AH256">
        <v>0</v>
      </c>
      <c r="AI256" t="s">
        <v>51</v>
      </c>
      <c r="AJ256" t="s">
        <v>51</v>
      </c>
      <c r="AK256" t="s">
        <v>51</v>
      </c>
    </row>
    <row r="257" spans="1:37" x14ac:dyDescent="0.2">
      <c r="A257">
        <v>63663</v>
      </c>
      <c r="B257" t="s">
        <v>37</v>
      </c>
      <c r="C257" t="s">
        <v>38</v>
      </c>
      <c r="D257" t="s">
        <v>623</v>
      </c>
      <c r="E257" t="s">
        <v>624</v>
      </c>
      <c r="G257" s="4">
        <v>43948.525324074074</v>
      </c>
      <c r="H257" s="4">
        <v>43948.525347222222</v>
      </c>
      <c r="I257" t="s">
        <v>88</v>
      </c>
      <c r="J257" s="5">
        <v>2</v>
      </c>
      <c r="K257" t="s">
        <v>38</v>
      </c>
      <c r="M257">
        <v>63664</v>
      </c>
      <c r="N257" t="s">
        <v>624</v>
      </c>
      <c r="O257" t="s">
        <v>623</v>
      </c>
      <c r="P257" t="s">
        <v>38</v>
      </c>
      <c r="Q257" t="s">
        <v>88</v>
      </c>
      <c r="R257">
        <v>2</v>
      </c>
      <c r="S257" t="s">
        <v>45</v>
      </c>
      <c r="T257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7">
        <v>63665</v>
      </c>
      <c r="V257" t="s">
        <v>38</v>
      </c>
      <c r="W257" t="s">
        <v>88</v>
      </c>
      <c r="X257">
        <v>2</v>
      </c>
      <c r="Y257">
        <v>0</v>
      </c>
      <c r="Z257" t="s">
        <v>46</v>
      </c>
      <c r="AA257">
        <v>63670</v>
      </c>
      <c r="AB257" t="s">
        <v>636</v>
      </c>
      <c r="AC257" t="s">
        <v>103</v>
      </c>
      <c r="AD257" t="s">
        <v>38</v>
      </c>
      <c r="AE257" t="s">
        <v>49</v>
      </c>
      <c r="AF257" t="s">
        <v>50</v>
      </c>
      <c r="AG257">
        <v>0</v>
      </c>
      <c r="AH257">
        <v>0</v>
      </c>
      <c r="AI257" t="s">
        <v>51</v>
      </c>
      <c r="AJ257" t="s">
        <v>51</v>
      </c>
      <c r="AK257" t="s">
        <v>51</v>
      </c>
    </row>
    <row r="258" spans="1:37" x14ac:dyDescent="0.2">
      <c r="A258">
        <v>63663</v>
      </c>
      <c r="B258" t="s">
        <v>37</v>
      </c>
      <c r="C258" t="s">
        <v>38</v>
      </c>
      <c r="D258" t="s">
        <v>623</v>
      </c>
      <c r="E258" t="s">
        <v>624</v>
      </c>
      <c r="G258" s="4">
        <v>43948.525324074074</v>
      </c>
      <c r="H258" s="4">
        <v>43948.525347222222</v>
      </c>
      <c r="I258" t="s">
        <v>88</v>
      </c>
      <c r="J258" s="5">
        <v>2</v>
      </c>
      <c r="K258" t="s">
        <v>38</v>
      </c>
      <c r="M258">
        <v>63664</v>
      </c>
      <c r="N258" t="s">
        <v>624</v>
      </c>
      <c r="O258" t="s">
        <v>623</v>
      </c>
      <c r="P258" t="s">
        <v>38</v>
      </c>
      <c r="Q258" t="s">
        <v>88</v>
      </c>
      <c r="R258">
        <v>2</v>
      </c>
      <c r="S258" t="s">
        <v>45</v>
      </c>
      <c r="T258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8">
        <v>63665</v>
      </c>
      <c r="V258" t="s">
        <v>38</v>
      </c>
      <c r="W258" t="s">
        <v>88</v>
      </c>
      <c r="X258">
        <v>2</v>
      </c>
      <c r="Y258">
        <v>0</v>
      </c>
      <c r="Z258" t="s">
        <v>46</v>
      </c>
      <c r="AA258">
        <v>63669</v>
      </c>
      <c r="AB258" t="s">
        <v>637</v>
      </c>
      <c r="AC258" t="s">
        <v>103</v>
      </c>
      <c r="AD258" t="s">
        <v>38</v>
      </c>
      <c r="AE258" t="s">
        <v>49</v>
      </c>
      <c r="AF258" t="s">
        <v>50</v>
      </c>
      <c r="AG258">
        <v>0</v>
      </c>
      <c r="AH258">
        <v>0</v>
      </c>
      <c r="AI258" t="s">
        <v>51</v>
      </c>
      <c r="AJ258" t="s">
        <v>51</v>
      </c>
      <c r="AK258" t="s">
        <v>51</v>
      </c>
    </row>
    <row r="259" spans="1:37" x14ac:dyDescent="0.2">
      <c r="A259">
        <v>63663</v>
      </c>
      <c r="B259" t="s">
        <v>37</v>
      </c>
      <c r="C259" t="s">
        <v>38</v>
      </c>
      <c r="D259" t="s">
        <v>623</v>
      </c>
      <c r="E259" t="s">
        <v>624</v>
      </c>
      <c r="G259" s="4">
        <v>43948.525324074074</v>
      </c>
      <c r="H259" s="4">
        <v>43948.525347222222</v>
      </c>
      <c r="I259" t="s">
        <v>88</v>
      </c>
      <c r="J259" s="5">
        <v>2</v>
      </c>
      <c r="K259" t="s">
        <v>38</v>
      </c>
      <c r="M259">
        <v>63664</v>
      </c>
      <c r="N259" t="s">
        <v>624</v>
      </c>
      <c r="O259" t="s">
        <v>623</v>
      </c>
      <c r="P259" t="s">
        <v>38</v>
      </c>
      <c r="Q259" t="s">
        <v>88</v>
      </c>
      <c r="R259">
        <v>2</v>
      </c>
      <c r="S259" t="s">
        <v>45</v>
      </c>
      <c r="T259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59">
        <v>63665</v>
      </c>
      <c r="V259" t="s">
        <v>38</v>
      </c>
      <c r="W259" t="s">
        <v>88</v>
      </c>
      <c r="X259">
        <v>2</v>
      </c>
      <c r="Y259">
        <v>0</v>
      </c>
      <c r="Z259" t="s">
        <v>46</v>
      </c>
      <c r="AA259">
        <v>63668</v>
      </c>
      <c r="AB259" t="s">
        <v>638</v>
      </c>
      <c r="AC259" t="s">
        <v>103</v>
      </c>
      <c r="AD259" t="s">
        <v>38</v>
      </c>
      <c r="AE259" t="s">
        <v>49</v>
      </c>
      <c r="AF259" t="s">
        <v>50</v>
      </c>
      <c r="AG259">
        <v>0</v>
      </c>
      <c r="AH259">
        <v>0</v>
      </c>
      <c r="AI259" t="s">
        <v>51</v>
      </c>
      <c r="AJ259" t="s">
        <v>51</v>
      </c>
      <c r="AK259" t="s">
        <v>51</v>
      </c>
    </row>
    <row r="260" spans="1:37" x14ac:dyDescent="0.2">
      <c r="A260">
        <v>63663</v>
      </c>
      <c r="B260" t="s">
        <v>37</v>
      </c>
      <c r="C260" t="s">
        <v>38</v>
      </c>
      <c r="D260" t="s">
        <v>623</v>
      </c>
      <c r="E260" t="s">
        <v>624</v>
      </c>
      <c r="G260" s="4">
        <v>43948.525324074074</v>
      </c>
      <c r="H260" s="4">
        <v>43948.525347222222</v>
      </c>
      <c r="I260" t="s">
        <v>88</v>
      </c>
      <c r="J260" s="5">
        <v>2</v>
      </c>
      <c r="K260" t="s">
        <v>38</v>
      </c>
      <c r="M260">
        <v>63664</v>
      </c>
      <c r="N260" t="s">
        <v>624</v>
      </c>
      <c r="O260" t="s">
        <v>623</v>
      </c>
      <c r="P260" t="s">
        <v>38</v>
      </c>
      <c r="Q260" t="s">
        <v>88</v>
      </c>
      <c r="R260">
        <v>2</v>
      </c>
      <c r="S260" t="s">
        <v>45</v>
      </c>
      <c r="T260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60">
        <v>63665</v>
      </c>
      <c r="V260" t="s">
        <v>38</v>
      </c>
      <c r="W260" t="s">
        <v>88</v>
      </c>
      <c r="X260">
        <v>2</v>
      </c>
      <c r="Y260">
        <v>0</v>
      </c>
      <c r="Z260" t="s">
        <v>46</v>
      </c>
      <c r="AA260">
        <v>63667</v>
      </c>
      <c r="AB260" t="s">
        <v>639</v>
      </c>
      <c r="AC260" t="s">
        <v>103</v>
      </c>
      <c r="AD260" t="s">
        <v>38</v>
      </c>
      <c r="AE260" t="s">
        <v>49</v>
      </c>
      <c r="AF260" t="s">
        <v>50</v>
      </c>
      <c r="AG260">
        <v>0</v>
      </c>
      <c r="AH260">
        <v>0</v>
      </c>
      <c r="AI260" t="s">
        <v>51</v>
      </c>
      <c r="AJ260" t="s">
        <v>51</v>
      </c>
      <c r="AK260" t="s">
        <v>51</v>
      </c>
    </row>
    <row r="261" spans="1:37" x14ac:dyDescent="0.2">
      <c r="A261">
        <v>63663</v>
      </c>
      <c r="B261" t="s">
        <v>37</v>
      </c>
      <c r="C261" t="s">
        <v>38</v>
      </c>
      <c r="D261" t="s">
        <v>623</v>
      </c>
      <c r="E261" t="s">
        <v>624</v>
      </c>
      <c r="G261" s="4">
        <v>43948.525324074074</v>
      </c>
      <c r="H261" s="4">
        <v>43948.525347222222</v>
      </c>
      <c r="I261" t="s">
        <v>88</v>
      </c>
      <c r="J261" s="5">
        <v>2</v>
      </c>
      <c r="K261" t="s">
        <v>38</v>
      </c>
      <c r="M261">
        <v>63664</v>
      </c>
      <c r="N261" t="s">
        <v>624</v>
      </c>
      <c r="O261" t="s">
        <v>623</v>
      </c>
      <c r="P261" t="s">
        <v>38</v>
      </c>
      <c r="Q261" t="s">
        <v>88</v>
      </c>
      <c r="R261">
        <v>2</v>
      </c>
      <c r="S261" t="s">
        <v>45</v>
      </c>
      <c r="T261" t="str" s="2">
        <f>=HYPERLINK("http://demo.enginatics.com:80/ecc/user/applications/log/63663.log","http://demo.enginatics.com:80/ecc/user/applications/log/63663.log")</f>
        <v>"http://demo.enginatics.com:80/ecc/user/applications/log/63663.log")</v>
      </c>
      <c r="U261">
        <v>63665</v>
      </c>
      <c r="V261" t="s">
        <v>38</v>
      </c>
      <c r="W261" t="s">
        <v>88</v>
      </c>
      <c r="X261">
        <v>2</v>
      </c>
      <c r="Y261">
        <v>0</v>
      </c>
      <c r="Z261" t="s">
        <v>46</v>
      </c>
      <c r="AA261">
        <v>63666</v>
      </c>
      <c r="AB261" t="s">
        <v>640</v>
      </c>
      <c r="AC261" t="s">
        <v>103</v>
      </c>
      <c r="AD261" t="s">
        <v>38</v>
      </c>
      <c r="AE261" t="s">
        <v>49</v>
      </c>
      <c r="AF261" t="s">
        <v>88</v>
      </c>
      <c r="AG261">
        <v>2</v>
      </c>
      <c r="AH261">
        <v>0</v>
      </c>
      <c r="AI261" t="s">
        <v>51</v>
      </c>
      <c r="AJ261" t="s">
        <v>51</v>
      </c>
      <c r="AK261" t="s">
        <v>51</v>
      </c>
    </row>
    <row r="262" spans="1:37" x14ac:dyDescent="0.2">
      <c r="A262">
        <v>63653</v>
      </c>
      <c r="B262" t="s">
        <v>37</v>
      </c>
      <c r="C262" t="s">
        <v>38</v>
      </c>
      <c r="D262" t="s">
        <v>641</v>
      </c>
      <c r="E262" t="s">
        <v>40</v>
      </c>
      <c r="G262" s="4">
        <v>43948.522476851852</v>
      </c>
      <c r="H262" s="4">
        <v>43948.522476851852</v>
      </c>
      <c r="I262" t="s">
        <v>50</v>
      </c>
      <c r="J262" s="5">
        <v>0</v>
      </c>
      <c r="K262" t="s">
        <v>38</v>
      </c>
      <c r="M262">
        <v>63660</v>
      </c>
      <c r="N262" t="s">
        <v>642</v>
      </c>
      <c r="O262" t="s">
        <v>643</v>
      </c>
      <c r="P262" t="s">
        <v>38</v>
      </c>
      <c r="Q262" t="s">
        <v>50</v>
      </c>
      <c r="R262">
        <v>0</v>
      </c>
      <c r="S262" t="s">
        <v>45</v>
      </c>
      <c r="T262" t="str" s="2">
        <f>=HYPERLINK("http://demo.enginatics.com:80/ecc/user/applications/log/63653.log","http://demo.enginatics.com:80/ecc/user/applications/log/63653.log")</f>
        <v>"http://demo.enginatics.com:80/ecc/user/applications/log/63653.log")</v>
      </c>
      <c r="U262">
        <v>63661</v>
      </c>
      <c r="V262" t="s">
        <v>38</v>
      </c>
      <c r="W262" t="s">
        <v>50</v>
      </c>
      <c r="X262">
        <v>0</v>
      </c>
      <c r="Y262">
        <v>0</v>
      </c>
      <c r="Z262" t="s">
        <v>46</v>
      </c>
      <c r="AA262">
        <v>63662</v>
      </c>
      <c r="AB262" t="s">
        <v>644</v>
      </c>
      <c r="AC262" t="s">
        <v>68</v>
      </c>
      <c r="AD262" t="s">
        <v>38</v>
      </c>
      <c r="AE262" t="s">
        <v>49</v>
      </c>
      <c r="AF262" t="s">
        <v>50</v>
      </c>
      <c r="AG262">
        <v>0</v>
      </c>
      <c r="AH262">
        <v>0</v>
      </c>
      <c r="AI262" t="s">
        <v>51</v>
      </c>
      <c r="AJ262" t="s">
        <v>51</v>
      </c>
      <c r="AK262" t="s">
        <v>51</v>
      </c>
    </row>
    <row r="263" spans="1:37" x14ac:dyDescent="0.2">
      <c r="A263">
        <v>63653</v>
      </c>
      <c r="B263" t="s">
        <v>37</v>
      </c>
      <c r="C263" t="s">
        <v>38</v>
      </c>
      <c r="D263" t="s">
        <v>641</v>
      </c>
      <c r="E263" t="s">
        <v>40</v>
      </c>
      <c r="G263" s="4">
        <v>43948.522476851852</v>
      </c>
      <c r="H263" s="4">
        <v>43948.522476851852</v>
      </c>
      <c r="I263" t="s">
        <v>50</v>
      </c>
      <c r="J263" s="5">
        <v>0</v>
      </c>
      <c r="K263" t="s">
        <v>38</v>
      </c>
      <c r="M263">
        <v>63657</v>
      </c>
      <c r="N263" t="s">
        <v>645</v>
      </c>
      <c r="O263" t="s">
        <v>646</v>
      </c>
      <c r="P263" t="s">
        <v>38</v>
      </c>
      <c r="Q263" t="s">
        <v>50</v>
      </c>
      <c r="R263">
        <v>0</v>
      </c>
      <c r="S263" t="s">
        <v>45</v>
      </c>
      <c r="T263" t="str" s="2">
        <f>=HYPERLINK("http://demo.enginatics.com:80/ecc/user/applications/log/63653.log","http://demo.enginatics.com:80/ecc/user/applications/log/63653.log")</f>
        <v>"http://demo.enginatics.com:80/ecc/user/applications/log/63653.log")</v>
      </c>
      <c r="U263">
        <v>63658</v>
      </c>
      <c r="V263" t="s">
        <v>38</v>
      </c>
      <c r="W263" t="s">
        <v>50</v>
      </c>
      <c r="X263">
        <v>0</v>
      </c>
      <c r="Y263">
        <v>0</v>
      </c>
      <c r="Z263" t="s">
        <v>46</v>
      </c>
      <c r="AA263">
        <v>63659</v>
      </c>
      <c r="AB263" t="s">
        <v>647</v>
      </c>
      <c r="AC263" t="s">
        <v>68</v>
      </c>
      <c r="AD263" t="s">
        <v>38</v>
      </c>
      <c r="AE263" t="s">
        <v>49</v>
      </c>
      <c r="AF263" t="s">
        <v>50</v>
      </c>
      <c r="AG263">
        <v>0</v>
      </c>
      <c r="AH263">
        <v>0</v>
      </c>
      <c r="AI263" t="s">
        <v>51</v>
      </c>
      <c r="AJ263" t="s">
        <v>51</v>
      </c>
      <c r="AK263" t="s">
        <v>51</v>
      </c>
    </row>
    <row r="264" spans="1:37" x14ac:dyDescent="0.2">
      <c r="A264">
        <v>63653</v>
      </c>
      <c r="B264" t="s">
        <v>37</v>
      </c>
      <c r="C264" t="s">
        <v>38</v>
      </c>
      <c r="D264" t="s">
        <v>641</v>
      </c>
      <c r="E264" t="s">
        <v>40</v>
      </c>
      <c r="G264" s="4">
        <v>43948.522476851852</v>
      </c>
      <c r="H264" s="4">
        <v>43948.522476851852</v>
      </c>
      <c r="I264" t="s">
        <v>50</v>
      </c>
      <c r="J264" s="5">
        <v>0</v>
      </c>
      <c r="K264" t="s">
        <v>38</v>
      </c>
      <c r="M264">
        <v>63654</v>
      </c>
      <c r="N264" t="s">
        <v>648</v>
      </c>
      <c r="O264" t="s">
        <v>649</v>
      </c>
      <c r="P264" t="s">
        <v>38</v>
      </c>
      <c r="Q264" t="s">
        <v>50</v>
      </c>
      <c r="R264">
        <v>0</v>
      </c>
      <c r="S264" t="s">
        <v>45</v>
      </c>
      <c r="T264" t="str" s="2">
        <f>=HYPERLINK("http://demo.enginatics.com:80/ecc/user/applications/log/63653.log","http://demo.enginatics.com:80/ecc/user/applications/log/63653.log")</f>
        <v>"http://demo.enginatics.com:80/ecc/user/applications/log/63653.log")</v>
      </c>
      <c r="U264">
        <v>63655</v>
      </c>
      <c r="V264" t="s">
        <v>38</v>
      </c>
      <c r="W264" t="s">
        <v>50</v>
      </c>
      <c r="X264">
        <v>0</v>
      </c>
      <c r="Y264">
        <v>0</v>
      </c>
      <c r="Z264" t="s">
        <v>46</v>
      </c>
      <c r="AA264">
        <v>63656</v>
      </c>
      <c r="AB264" t="s">
        <v>650</v>
      </c>
      <c r="AC264" t="s">
        <v>68</v>
      </c>
      <c r="AD264" t="s">
        <v>38</v>
      </c>
      <c r="AE264" t="s">
        <v>49</v>
      </c>
      <c r="AF264" t="s">
        <v>50</v>
      </c>
      <c r="AG264">
        <v>0</v>
      </c>
      <c r="AH264">
        <v>0</v>
      </c>
      <c r="AI264" t="s">
        <v>51</v>
      </c>
      <c r="AJ264" t="s">
        <v>51</v>
      </c>
      <c r="AK264" t="s">
        <v>51</v>
      </c>
    </row>
    <row r="265" spans="1:37" x14ac:dyDescent="0.2">
      <c r="A265">
        <v>63631</v>
      </c>
      <c r="B265" t="s">
        <v>37</v>
      </c>
      <c r="C265" t="s">
        <v>38</v>
      </c>
      <c r="D265" t="s">
        <v>651</v>
      </c>
      <c r="E265" t="s">
        <v>40</v>
      </c>
      <c r="G265" s="4">
        <v>43948.515416666667</v>
      </c>
      <c r="H265" s="4">
        <v>43948.515509259259</v>
      </c>
      <c r="I265" t="s">
        <v>652</v>
      </c>
      <c r="J265" s="5">
        <v>8</v>
      </c>
      <c r="K265" t="s">
        <v>38</v>
      </c>
      <c r="M265">
        <v>63650</v>
      </c>
      <c r="N265" t="s">
        <v>653</v>
      </c>
      <c r="O265" t="s">
        <v>654</v>
      </c>
      <c r="P265" t="s">
        <v>38</v>
      </c>
      <c r="Q265" t="s">
        <v>44</v>
      </c>
      <c r="R265">
        <v>4</v>
      </c>
      <c r="S265" t="s">
        <v>45</v>
      </c>
      <c r="T265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65">
        <v>63651</v>
      </c>
      <c r="V265" t="s">
        <v>38</v>
      </c>
      <c r="W265" t="s">
        <v>44</v>
      </c>
      <c r="X265">
        <v>4</v>
      </c>
      <c r="Y265">
        <v>0</v>
      </c>
      <c r="Z265" t="s">
        <v>46</v>
      </c>
      <c r="AA265">
        <v>63652</v>
      </c>
      <c r="AB265" t="s">
        <v>655</v>
      </c>
      <c r="AC265" t="s">
        <v>48</v>
      </c>
      <c r="AD265" t="s">
        <v>38</v>
      </c>
      <c r="AE265" t="s">
        <v>49</v>
      </c>
      <c r="AF265" t="s">
        <v>44</v>
      </c>
      <c r="AG265">
        <v>4</v>
      </c>
      <c r="AH265">
        <v>3</v>
      </c>
      <c r="AI265" t="s">
        <v>51</v>
      </c>
      <c r="AJ265" t="s">
        <v>51</v>
      </c>
      <c r="AK265" t="s">
        <v>51</v>
      </c>
    </row>
    <row r="266" spans="1:37" x14ac:dyDescent="0.2">
      <c r="A266">
        <v>63631</v>
      </c>
      <c r="B266" t="s">
        <v>37</v>
      </c>
      <c r="C266" t="s">
        <v>38</v>
      </c>
      <c r="D266" t="s">
        <v>651</v>
      </c>
      <c r="E266" t="s">
        <v>40</v>
      </c>
      <c r="G266" s="4">
        <v>43948.515416666667</v>
      </c>
      <c r="H266" s="4">
        <v>43948.515509259259</v>
      </c>
      <c r="I266" t="s">
        <v>652</v>
      </c>
      <c r="J266" s="5">
        <v>8</v>
      </c>
      <c r="K266" t="s">
        <v>38</v>
      </c>
      <c r="M266">
        <v>63647</v>
      </c>
      <c r="N266" t="s">
        <v>656</v>
      </c>
      <c r="O266" t="s">
        <v>657</v>
      </c>
      <c r="P266" t="s">
        <v>38</v>
      </c>
      <c r="Q266" t="s">
        <v>50</v>
      </c>
      <c r="R266">
        <v>.9999999999999999999999999999999999999996</v>
      </c>
      <c r="S266" t="s">
        <v>45</v>
      </c>
      <c r="T266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66">
        <v>63648</v>
      </c>
      <c r="V266" t="s">
        <v>38</v>
      </c>
      <c r="W266" t="s">
        <v>50</v>
      </c>
      <c r="X266">
        <v>.9999999999999999999999999999999999999996</v>
      </c>
      <c r="Y266">
        <v>0</v>
      </c>
      <c r="Z266" t="s">
        <v>46</v>
      </c>
      <c r="AA266">
        <v>63649</v>
      </c>
      <c r="AB266" t="s">
        <v>658</v>
      </c>
      <c r="AC266" t="s">
        <v>48</v>
      </c>
      <c r="AD266" t="s">
        <v>38</v>
      </c>
      <c r="AE266" t="s">
        <v>49</v>
      </c>
      <c r="AF266" t="s">
        <v>50</v>
      </c>
      <c r="AG266">
        <v>.9999999999999999999999999999999999999996</v>
      </c>
      <c r="AH266">
        <v>0</v>
      </c>
      <c r="AI266" t="s">
        <v>51</v>
      </c>
      <c r="AJ266" t="s">
        <v>51</v>
      </c>
      <c r="AK266" t="s">
        <v>51</v>
      </c>
    </row>
    <row r="267" spans="1:37" x14ac:dyDescent="0.2">
      <c r="A267">
        <v>63631</v>
      </c>
      <c r="B267" t="s">
        <v>37</v>
      </c>
      <c r="C267" t="s">
        <v>38</v>
      </c>
      <c r="D267" t="s">
        <v>651</v>
      </c>
      <c r="E267" t="s">
        <v>40</v>
      </c>
      <c r="G267" s="4">
        <v>43948.515416666667</v>
      </c>
      <c r="H267" s="4">
        <v>43948.515509259259</v>
      </c>
      <c r="I267" t="s">
        <v>652</v>
      </c>
      <c r="J267" s="5">
        <v>8</v>
      </c>
      <c r="K267" t="s">
        <v>38</v>
      </c>
      <c r="M267">
        <v>63644</v>
      </c>
      <c r="N267" t="s">
        <v>659</v>
      </c>
      <c r="O267" t="s">
        <v>660</v>
      </c>
      <c r="P267" t="s">
        <v>38</v>
      </c>
      <c r="Q267" t="s">
        <v>50</v>
      </c>
      <c r="R267">
        <v>0</v>
      </c>
      <c r="S267" t="s">
        <v>45</v>
      </c>
      <c r="T267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67">
        <v>63645</v>
      </c>
      <c r="V267" t="s">
        <v>38</v>
      </c>
      <c r="W267" t="s">
        <v>50</v>
      </c>
      <c r="X267">
        <v>0</v>
      </c>
      <c r="Y267">
        <v>0</v>
      </c>
      <c r="Z267" t="s">
        <v>46</v>
      </c>
      <c r="AA267">
        <v>63646</v>
      </c>
      <c r="AB267" t="s">
        <v>661</v>
      </c>
      <c r="AC267" t="s">
        <v>48</v>
      </c>
      <c r="AD267" t="s">
        <v>38</v>
      </c>
      <c r="AE267" t="s">
        <v>49</v>
      </c>
      <c r="AF267" t="s">
        <v>50</v>
      </c>
      <c r="AG267">
        <v>0</v>
      </c>
      <c r="AH267">
        <v>0</v>
      </c>
      <c r="AI267" t="s">
        <v>51</v>
      </c>
      <c r="AJ267" t="s">
        <v>51</v>
      </c>
      <c r="AK267" t="s">
        <v>51</v>
      </c>
    </row>
    <row r="268" spans="1:37" x14ac:dyDescent="0.2">
      <c r="A268">
        <v>63631</v>
      </c>
      <c r="B268" t="s">
        <v>37</v>
      </c>
      <c r="C268" t="s">
        <v>38</v>
      </c>
      <c r="D268" t="s">
        <v>651</v>
      </c>
      <c r="E268" t="s">
        <v>40</v>
      </c>
      <c r="G268" s="4">
        <v>43948.515416666667</v>
      </c>
      <c r="H268" s="4">
        <v>43948.515509259259</v>
      </c>
      <c r="I268" t="s">
        <v>652</v>
      </c>
      <c r="J268" s="5">
        <v>8</v>
      </c>
      <c r="K268" t="s">
        <v>38</v>
      </c>
      <c r="M268">
        <v>63641</v>
      </c>
      <c r="N268" t="s">
        <v>662</v>
      </c>
      <c r="O268" t="s">
        <v>663</v>
      </c>
      <c r="P268" t="s">
        <v>38</v>
      </c>
      <c r="Q268" t="s">
        <v>50</v>
      </c>
      <c r="R268">
        <v>.9999999999999999999999999999999999999996</v>
      </c>
      <c r="S268" t="s">
        <v>45</v>
      </c>
      <c r="T268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68">
        <v>63642</v>
      </c>
      <c r="V268" t="s">
        <v>38</v>
      </c>
      <c r="W268" t="s">
        <v>50</v>
      </c>
      <c r="X268">
        <v>.9999999999999999999999999999999999999996</v>
      </c>
      <c r="Y268">
        <v>0</v>
      </c>
      <c r="Z268" t="s">
        <v>46</v>
      </c>
      <c r="AA268">
        <v>63643</v>
      </c>
      <c r="AB268" t="s">
        <v>664</v>
      </c>
      <c r="AC268" t="s">
        <v>48</v>
      </c>
      <c r="AD268" t="s">
        <v>38</v>
      </c>
      <c r="AE268" t="s">
        <v>49</v>
      </c>
      <c r="AF268" t="s">
        <v>50</v>
      </c>
      <c r="AG268">
        <v>.9999999999999999999999999999999999999996</v>
      </c>
      <c r="AH268">
        <v>0</v>
      </c>
      <c r="AI268" t="s">
        <v>51</v>
      </c>
      <c r="AJ268" t="s">
        <v>51</v>
      </c>
      <c r="AK268" t="s">
        <v>51</v>
      </c>
    </row>
    <row r="269" spans="1:37" x14ac:dyDescent="0.2">
      <c r="A269">
        <v>63631</v>
      </c>
      <c r="B269" t="s">
        <v>37</v>
      </c>
      <c r="C269" t="s">
        <v>38</v>
      </c>
      <c r="D269" t="s">
        <v>651</v>
      </c>
      <c r="E269" t="s">
        <v>40</v>
      </c>
      <c r="G269" s="4">
        <v>43948.515416666667</v>
      </c>
      <c r="H269" s="4">
        <v>43948.515509259259</v>
      </c>
      <c r="I269" t="s">
        <v>652</v>
      </c>
      <c r="J269" s="5">
        <v>8</v>
      </c>
      <c r="K269" t="s">
        <v>38</v>
      </c>
      <c r="M269">
        <v>63638</v>
      </c>
      <c r="N269" t="s">
        <v>665</v>
      </c>
      <c r="O269" t="s">
        <v>666</v>
      </c>
      <c r="P269" t="s">
        <v>38</v>
      </c>
      <c r="Q269" t="s">
        <v>50</v>
      </c>
      <c r="R269">
        <v>0</v>
      </c>
      <c r="S269" t="s">
        <v>45</v>
      </c>
      <c r="T269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69">
        <v>63639</v>
      </c>
      <c r="V269" t="s">
        <v>38</v>
      </c>
      <c r="W269" t="s">
        <v>50</v>
      </c>
      <c r="X269">
        <v>0</v>
      </c>
      <c r="Y269">
        <v>0</v>
      </c>
      <c r="Z269" t="s">
        <v>46</v>
      </c>
      <c r="AA269">
        <v>63640</v>
      </c>
      <c r="AB269" t="s">
        <v>667</v>
      </c>
      <c r="AC269" t="s">
        <v>48</v>
      </c>
      <c r="AD269" t="s">
        <v>38</v>
      </c>
      <c r="AE269" t="s">
        <v>49</v>
      </c>
      <c r="AF269" t="s">
        <v>50</v>
      </c>
      <c r="AG269">
        <v>0</v>
      </c>
      <c r="AH269">
        <v>0</v>
      </c>
      <c r="AI269" t="s">
        <v>51</v>
      </c>
      <c r="AJ269" t="s">
        <v>51</v>
      </c>
      <c r="AK269" t="s">
        <v>51</v>
      </c>
    </row>
    <row r="270" spans="1:37" x14ac:dyDescent="0.2">
      <c r="A270">
        <v>63631</v>
      </c>
      <c r="B270" t="s">
        <v>37</v>
      </c>
      <c r="C270" t="s">
        <v>38</v>
      </c>
      <c r="D270" t="s">
        <v>651</v>
      </c>
      <c r="E270" t="s">
        <v>40</v>
      </c>
      <c r="G270" s="4">
        <v>43948.515416666667</v>
      </c>
      <c r="H270" s="4">
        <v>43948.515509259259</v>
      </c>
      <c r="I270" t="s">
        <v>652</v>
      </c>
      <c r="J270" s="5">
        <v>8</v>
      </c>
      <c r="K270" t="s">
        <v>38</v>
      </c>
      <c r="M270">
        <v>63635</v>
      </c>
      <c r="N270" t="s">
        <v>668</v>
      </c>
      <c r="O270" t="s">
        <v>669</v>
      </c>
      <c r="P270" t="s">
        <v>38</v>
      </c>
      <c r="Q270" t="s">
        <v>50</v>
      </c>
      <c r="R270">
        <v>0</v>
      </c>
      <c r="S270" t="s">
        <v>45</v>
      </c>
      <c r="T270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70">
        <v>63636</v>
      </c>
      <c r="V270" t="s">
        <v>38</v>
      </c>
      <c r="W270" t="s">
        <v>50</v>
      </c>
      <c r="X270">
        <v>0</v>
      </c>
      <c r="Y270">
        <v>0</v>
      </c>
      <c r="Z270" t="s">
        <v>46</v>
      </c>
      <c r="AA270">
        <v>63637</v>
      </c>
      <c r="AB270" t="s">
        <v>670</v>
      </c>
      <c r="AC270" t="s">
        <v>48</v>
      </c>
      <c r="AD270" t="s">
        <v>38</v>
      </c>
      <c r="AE270" t="s">
        <v>49</v>
      </c>
      <c r="AF270" t="s">
        <v>50</v>
      </c>
      <c r="AG270">
        <v>0</v>
      </c>
      <c r="AH270">
        <v>0</v>
      </c>
      <c r="AI270" t="s">
        <v>51</v>
      </c>
      <c r="AJ270" t="s">
        <v>51</v>
      </c>
      <c r="AK270" t="s">
        <v>51</v>
      </c>
    </row>
    <row r="271" spans="1:37" x14ac:dyDescent="0.2">
      <c r="A271">
        <v>63631</v>
      </c>
      <c r="B271" t="s">
        <v>37</v>
      </c>
      <c r="C271" t="s">
        <v>38</v>
      </c>
      <c r="D271" t="s">
        <v>651</v>
      </c>
      <c r="E271" t="s">
        <v>40</v>
      </c>
      <c r="G271" s="4">
        <v>43948.515416666667</v>
      </c>
      <c r="H271" s="4">
        <v>43948.515509259259</v>
      </c>
      <c r="I271" t="s">
        <v>652</v>
      </c>
      <c r="J271" s="5">
        <v>8</v>
      </c>
      <c r="K271" t="s">
        <v>38</v>
      </c>
      <c r="M271">
        <v>63632</v>
      </c>
      <c r="N271" t="s">
        <v>671</v>
      </c>
      <c r="O271" t="s">
        <v>672</v>
      </c>
      <c r="P271" t="s">
        <v>38</v>
      </c>
      <c r="Q271" t="s">
        <v>50</v>
      </c>
      <c r="R271">
        <v>0</v>
      </c>
      <c r="S271" t="s">
        <v>45</v>
      </c>
      <c r="T271" t="str" s="2">
        <f>=HYPERLINK("http://demo.enginatics.com:80/ecc/user/applications/log/63631.log","http://demo.enginatics.com:80/ecc/user/applications/log/63631.log")</f>
        <v>"http://demo.enginatics.com:80/ecc/user/applications/log/63631.log")</v>
      </c>
      <c r="U271">
        <v>63633</v>
      </c>
      <c r="V271" t="s">
        <v>38</v>
      </c>
      <c r="W271" t="s">
        <v>50</v>
      </c>
      <c r="X271">
        <v>0</v>
      </c>
      <c r="Y271">
        <v>0</v>
      </c>
      <c r="Z271" t="s">
        <v>46</v>
      </c>
      <c r="AA271">
        <v>63634</v>
      </c>
      <c r="AB271" t="s">
        <v>673</v>
      </c>
      <c r="AC271" t="s">
        <v>48</v>
      </c>
      <c r="AD271" t="s">
        <v>38</v>
      </c>
      <c r="AE271" t="s">
        <v>49</v>
      </c>
      <c r="AF271" t="s">
        <v>50</v>
      </c>
      <c r="AG271">
        <v>0</v>
      </c>
      <c r="AH271">
        <v>0</v>
      </c>
      <c r="AI271" t="s">
        <v>51</v>
      </c>
      <c r="AJ271" t="s">
        <v>51</v>
      </c>
      <c r="AK271" t="s">
        <v>51</v>
      </c>
    </row>
    <row r="272" spans="1:37" x14ac:dyDescent="0.2">
      <c r="A272">
        <v>63458</v>
      </c>
      <c r="B272" t="s">
        <v>37</v>
      </c>
      <c r="C272" t="s">
        <v>38</v>
      </c>
      <c r="D272" t="s">
        <v>674</v>
      </c>
      <c r="E272" t="s">
        <v>40</v>
      </c>
      <c r="G272" s="4">
        <v>43948.510324074074</v>
      </c>
      <c r="H272" s="4">
        <v>43948.511030092593</v>
      </c>
      <c r="I272" t="s">
        <v>675</v>
      </c>
      <c r="J272" s="5">
        <v>61.00000000000000000000000000000000000004</v>
      </c>
      <c r="K272" t="s">
        <v>38</v>
      </c>
      <c r="M272">
        <v>63628</v>
      </c>
      <c r="N272" t="s">
        <v>676</v>
      </c>
      <c r="O272" t="s">
        <v>677</v>
      </c>
      <c r="P272" t="s">
        <v>38</v>
      </c>
      <c r="Q272" t="s">
        <v>75</v>
      </c>
      <c r="R272">
        <v>6</v>
      </c>
      <c r="S272" t="s">
        <v>45</v>
      </c>
      <c r="T27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2">
        <v>63629</v>
      </c>
      <c r="V272" t="s">
        <v>38</v>
      </c>
      <c r="W272" t="s">
        <v>75</v>
      </c>
      <c r="X272">
        <v>6</v>
      </c>
      <c r="Y272">
        <v>0</v>
      </c>
      <c r="Z272" t="s">
        <v>46</v>
      </c>
      <c r="AA272">
        <v>63630</v>
      </c>
      <c r="AB272" t="s">
        <v>678</v>
      </c>
      <c r="AC272" t="s">
        <v>48</v>
      </c>
      <c r="AD272" t="s">
        <v>38</v>
      </c>
      <c r="AE272" t="s">
        <v>679</v>
      </c>
      <c r="AF272" t="s">
        <v>78</v>
      </c>
      <c r="AG272">
        <v>5</v>
      </c>
      <c r="AH272">
        <v>0</v>
      </c>
      <c r="AI272" t="s">
        <v>680</v>
      </c>
      <c r="AJ272" t="s">
        <v>51</v>
      </c>
      <c r="AK272" t="s">
        <v>680</v>
      </c>
    </row>
    <row r="273" spans="1:37" x14ac:dyDescent="0.2">
      <c r="A273">
        <v>63458</v>
      </c>
      <c r="B273" t="s">
        <v>37</v>
      </c>
      <c r="C273" t="s">
        <v>38</v>
      </c>
      <c r="D273" t="s">
        <v>674</v>
      </c>
      <c r="E273" t="s">
        <v>40</v>
      </c>
      <c r="G273" s="4">
        <v>43948.510324074074</v>
      </c>
      <c r="H273" s="4">
        <v>43948.511030092593</v>
      </c>
      <c r="I273" t="s">
        <v>675</v>
      </c>
      <c r="J273" s="5">
        <v>61.00000000000000000000000000000000000004</v>
      </c>
      <c r="K273" t="s">
        <v>38</v>
      </c>
      <c r="M273">
        <v>63625</v>
      </c>
      <c r="N273" t="s">
        <v>681</v>
      </c>
      <c r="O273" t="s">
        <v>682</v>
      </c>
      <c r="P273" t="s">
        <v>38</v>
      </c>
      <c r="Q273" t="s">
        <v>247</v>
      </c>
      <c r="R273">
        <v>7</v>
      </c>
      <c r="S273" t="s">
        <v>45</v>
      </c>
      <c r="T27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3">
        <v>63626</v>
      </c>
      <c r="V273" t="s">
        <v>38</v>
      </c>
      <c r="W273" t="s">
        <v>247</v>
      </c>
      <c r="X273">
        <v>7</v>
      </c>
      <c r="Y273">
        <v>0</v>
      </c>
      <c r="Z273" t="s">
        <v>46</v>
      </c>
      <c r="AA273">
        <v>63627</v>
      </c>
      <c r="AB273" t="s">
        <v>683</v>
      </c>
      <c r="AC273" t="s">
        <v>48</v>
      </c>
      <c r="AD273" t="s">
        <v>38</v>
      </c>
      <c r="AE273" t="s">
        <v>684</v>
      </c>
      <c r="AF273" t="s">
        <v>247</v>
      </c>
      <c r="AG273">
        <v>7</v>
      </c>
      <c r="AH273">
        <v>0</v>
      </c>
      <c r="AI273" t="s">
        <v>685</v>
      </c>
      <c r="AJ273" t="s">
        <v>51</v>
      </c>
      <c r="AK273" t="s">
        <v>685</v>
      </c>
    </row>
    <row r="274" spans="1:37" x14ac:dyDescent="0.2">
      <c r="A274">
        <v>63458</v>
      </c>
      <c r="B274" t="s">
        <v>37</v>
      </c>
      <c r="C274" t="s">
        <v>38</v>
      </c>
      <c r="D274" t="s">
        <v>674</v>
      </c>
      <c r="E274" t="s">
        <v>40</v>
      </c>
      <c r="G274" s="4">
        <v>43948.510324074074</v>
      </c>
      <c r="H274" s="4">
        <v>43948.511030092593</v>
      </c>
      <c r="I274" t="s">
        <v>675</v>
      </c>
      <c r="J274" s="5">
        <v>61.00000000000000000000000000000000000004</v>
      </c>
      <c r="K274" t="s">
        <v>38</v>
      </c>
      <c r="M274">
        <v>63622</v>
      </c>
      <c r="N274" t="s">
        <v>686</v>
      </c>
      <c r="O274" t="s">
        <v>687</v>
      </c>
      <c r="P274" t="s">
        <v>38</v>
      </c>
      <c r="Q274" t="s">
        <v>652</v>
      </c>
      <c r="R274">
        <v>8</v>
      </c>
      <c r="S274" t="s">
        <v>45</v>
      </c>
      <c r="T27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4">
        <v>63623</v>
      </c>
      <c r="V274" t="s">
        <v>38</v>
      </c>
      <c r="W274" t="s">
        <v>652</v>
      </c>
      <c r="X274">
        <v>8</v>
      </c>
      <c r="Y274">
        <v>0</v>
      </c>
      <c r="Z274" t="s">
        <v>46</v>
      </c>
      <c r="AA274">
        <v>63624</v>
      </c>
      <c r="AB274" t="s">
        <v>688</v>
      </c>
      <c r="AC274" t="s">
        <v>48</v>
      </c>
      <c r="AD274" t="s">
        <v>38</v>
      </c>
      <c r="AE274" t="s">
        <v>689</v>
      </c>
      <c r="AF274" t="s">
        <v>78</v>
      </c>
      <c r="AG274">
        <v>5</v>
      </c>
      <c r="AH274">
        <v>0</v>
      </c>
      <c r="AI274" t="s">
        <v>690</v>
      </c>
      <c r="AJ274" t="s">
        <v>51</v>
      </c>
      <c r="AK274" t="s">
        <v>690</v>
      </c>
    </row>
    <row r="275" spans="1:37" x14ac:dyDescent="0.2">
      <c r="A275">
        <v>63458</v>
      </c>
      <c r="B275" t="s">
        <v>37</v>
      </c>
      <c r="C275" t="s">
        <v>38</v>
      </c>
      <c r="D275" t="s">
        <v>674</v>
      </c>
      <c r="E275" t="s">
        <v>40</v>
      </c>
      <c r="G275" s="4">
        <v>43948.510324074074</v>
      </c>
      <c r="H275" s="4">
        <v>43948.511030092593</v>
      </c>
      <c r="I275" t="s">
        <v>675</v>
      </c>
      <c r="J275" s="5">
        <v>61.00000000000000000000000000000000000004</v>
      </c>
      <c r="K275" t="s">
        <v>38</v>
      </c>
      <c r="M275">
        <v>63618</v>
      </c>
      <c r="N275" t="s">
        <v>691</v>
      </c>
      <c r="O275" t="s">
        <v>692</v>
      </c>
      <c r="P275" t="s">
        <v>38</v>
      </c>
      <c r="Q275" t="s">
        <v>693</v>
      </c>
      <c r="R275">
        <v>19.99999999999999999999999999999999999996</v>
      </c>
      <c r="S275" t="s">
        <v>45</v>
      </c>
      <c r="T27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5">
        <v>63619</v>
      </c>
      <c r="V275" t="s">
        <v>38</v>
      </c>
      <c r="W275" t="s">
        <v>693</v>
      </c>
      <c r="X275">
        <v>19.99999999999999999999999999999999999996</v>
      </c>
      <c r="Y275">
        <v>0</v>
      </c>
      <c r="Z275" t="s">
        <v>46</v>
      </c>
      <c r="AA275">
        <v>63621</v>
      </c>
      <c r="AB275" t="s">
        <v>694</v>
      </c>
      <c r="AC275" t="s">
        <v>103</v>
      </c>
      <c r="AD275" t="s">
        <v>38</v>
      </c>
      <c r="AE275" t="s">
        <v>695</v>
      </c>
      <c r="AF275" t="s">
        <v>300</v>
      </c>
      <c r="AG275">
        <v>10.00000000000000000000000000000000000002</v>
      </c>
      <c r="AH275">
        <v>7</v>
      </c>
      <c r="AI275" t="s">
        <v>696</v>
      </c>
      <c r="AJ275" t="s">
        <v>51</v>
      </c>
      <c r="AK275" t="s">
        <v>696</v>
      </c>
    </row>
    <row r="276" spans="1:37" x14ac:dyDescent="0.2">
      <c r="A276">
        <v>63458</v>
      </c>
      <c r="B276" t="s">
        <v>37</v>
      </c>
      <c r="C276" t="s">
        <v>38</v>
      </c>
      <c r="D276" t="s">
        <v>674</v>
      </c>
      <c r="E276" t="s">
        <v>40</v>
      </c>
      <c r="G276" s="4">
        <v>43948.510324074074</v>
      </c>
      <c r="H276" s="4">
        <v>43948.511030092593</v>
      </c>
      <c r="I276" t="s">
        <v>675</v>
      </c>
      <c r="J276" s="5">
        <v>61.00000000000000000000000000000000000004</v>
      </c>
      <c r="K276" t="s">
        <v>38</v>
      </c>
      <c r="M276">
        <v>63618</v>
      </c>
      <c r="N276" t="s">
        <v>691</v>
      </c>
      <c r="O276" t="s">
        <v>692</v>
      </c>
      <c r="P276" t="s">
        <v>38</v>
      </c>
      <c r="Q276" t="s">
        <v>693</v>
      </c>
      <c r="R276">
        <v>19.99999999999999999999999999999999999996</v>
      </c>
      <c r="S276" t="s">
        <v>45</v>
      </c>
      <c r="T27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6">
        <v>63619</v>
      </c>
      <c r="V276" t="s">
        <v>38</v>
      </c>
      <c r="W276" t="s">
        <v>693</v>
      </c>
      <c r="X276">
        <v>19.99999999999999999999999999999999999996</v>
      </c>
      <c r="Y276">
        <v>0</v>
      </c>
      <c r="Z276" t="s">
        <v>46</v>
      </c>
      <c r="AA276">
        <v>63620</v>
      </c>
      <c r="AB276" t="s">
        <v>697</v>
      </c>
      <c r="AC276" t="s">
        <v>48</v>
      </c>
      <c r="AD276" t="s">
        <v>38</v>
      </c>
      <c r="AE276" t="s">
        <v>695</v>
      </c>
      <c r="AF276" t="s">
        <v>300</v>
      </c>
      <c r="AG276">
        <v>10.00000000000000000000000000000000000002</v>
      </c>
      <c r="AH276">
        <v>9</v>
      </c>
      <c r="AI276" t="s">
        <v>696</v>
      </c>
      <c r="AJ276" t="s">
        <v>51</v>
      </c>
      <c r="AK276" t="s">
        <v>696</v>
      </c>
    </row>
    <row r="277" spans="1:37" x14ac:dyDescent="0.2">
      <c r="A277">
        <v>63458</v>
      </c>
      <c r="B277" t="s">
        <v>37</v>
      </c>
      <c r="C277" t="s">
        <v>38</v>
      </c>
      <c r="D277" t="s">
        <v>674</v>
      </c>
      <c r="E277" t="s">
        <v>40</v>
      </c>
      <c r="G277" s="4">
        <v>43948.510324074074</v>
      </c>
      <c r="H277" s="4">
        <v>43948.511030092593</v>
      </c>
      <c r="I277" t="s">
        <v>675</v>
      </c>
      <c r="J277" s="5">
        <v>61.00000000000000000000000000000000000004</v>
      </c>
      <c r="K277" t="s">
        <v>38</v>
      </c>
      <c r="M277">
        <v>63614</v>
      </c>
      <c r="N277" t="s">
        <v>698</v>
      </c>
      <c r="O277" t="s">
        <v>699</v>
      </c>
      <c r="P277" t="s">
        <v>38</v>
      </c>
      <c r="Q277" t="s">
        <v>247</v>
      </c>
      <c r="R277">
        <v>7</v>
      </c>
      <c r="S277" t="s">
        <v>45</v>
      </c>
      <c r="T27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7">
        <v>63615</v>
      </c>
      <c r="V277" t="s">
        <v>38</v>
      </c>
      <c r="W277" t="s">
        <v>247</v>
      </c>
      <c r="X277">
        <v>7</v>
      </c>
      <c r="Y277">
        <v>0</v>
      </c>
      <c r="Z277" t="s">
        <v>46</v>
      </c>
      <c r="AA277">
        <v>63617</v>
      </c>
      <c r="AB277" t="s">
        <v>700</v>
      </c>
      <c r="AC277" t="s">
        <v>103</v>
      </c>
      <c r="AD277" t="s">
        <v>38</v>
      </c>
      <c r="AE277" t="s">
        <v>701</v>
      </c>
      <c r="AF277" t="s">
        <v>78</v>
      </c>
      <c r="AG277">
        <v>5</v>
      </c>
      <c r="AH277">
        <v>0</v>
      </c>
      <c r="AI277" t="s">
        <v>702</v>
      </c>
      <c r="AJ277" t="s">
        <v>51</v>
      </c>
      <c r="AK277" t="s">
        <v>703</v>
      </c>
    </row>
    <row r="278" spans="1:37" x14ac:dyDescent="0.2">
      <c r="A278">
        <v>63458</v>
      </c>
      <c r="B278" t="s">
        <v>37</v>
      </c>
      <c r="C278" t="s">
        <v>38</v>
      </c>
      <c r="D278" t="s">
        <v>674</v>
      </c>
      <c r="E278" t="s">
        <v>40</v>
      </c>
      <c r="G278" s="4">
        <v>43948.510324074074</v>
      </c>
      <c r="H278" s="4">
        <v>43948.511030092593</v>
      </c>
      <c r="I278" t="s">
        <v>675</v>
      </c>
      <c r="J278" s="5">
        <v>61.00000000000000000000000000000000000004</v>
      </c>
      <c r="K278" t="s">
        <v>38</v>
      </c>
      <c r="M278">
        <v>63614</v>
      </c>
      <c r="N278" t="s">
        <v>698</v>
      </c>
      <c r="O278" t="s">
        <v>699</v>
      </c>
      <c r="P278" t="s">
        <v>38</v>
      </c>
      <c r="Q278" t="s">
        <v>247</v>
      </c>
      <c r="R278">
        <v>7</v>
      </c>
      <c r="S278" t="s">
        <v>45</v>
      </c>
      <c r="T27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8">
        <v>63615</v>
      </c>
      <c r="V278" t="s">
        <v>38</v>
      </c>
      <c r="W278" t="s">
        <v>247</v>
      </c>
      <c r="X278">
        <v>7</v>
      </c>
      <c r="Y278">
        <v>0</v>
      </c>
      <c r="Z278" t="s">
        <v>46</v>
      </c>
      <c r="AA278">
        <v>63616</v>
      </c>
      <c r="AB278" t="s">
        <v>704</v>
      </c>
      <c r="AC278" t="s">
        <v>48</v>
      </c>
      <c r="AD278" t="s">
        <v>38</v>
      </c>
      <c r="AE278" t="s">
        <v>701</v>
      </c>
      <c r="AF278" t="s">
        <v>88</v>
      </c>
      <c r="AG278">
        <v>2</v>
      </c>
      <c r="AH278">
        <v>0</v>
      </c>
      <c r="AI278" t="s">
        <v>703</v>
      </c>
      <c r="AJ278" t="s">
        <v>51</v>
      </c>
      <c r="AK278" t="s">
        <v>703</v>
      </c>
    </row>
    <row r="279" spans="1:37" x14ac:dyDescent="0.2">
      <c r="A279">
        <v>63458</v>
      </c>
      <c r="B279" t="s">
        <v>37</v>
      </c>
      <c r="C279" t="s">
        <v>38</v>
      </c>
      <c r="D279" t="s">
        <v>674</v>
      </c>
      <c r="E279" t="s">
        <v>40</v>
      </c>
      <c r="G279" s="4">
        <v>43948.510324074074</v>
      </c>
      <c r="H279" s="4">
        <v>43948.511030092593</v>
      </c>
      <c r="I279" t="s">
        <v>675</v>
      </c>
      <c r="J279" s="5">
        <v>61.00000000000000000000000000000000000004</v>
      </c>
      <c r="K279" t="s">
        <v>38</v>
      </c>
      <c r="M279">
        <v>63459</v>
      </c>
      <c r="N279" t="s">
        <v>705</v>
      </c>
      <c r="O279" t="s">
        <v>706</v>
      </c>
      <c r="P279" t="s">
        <v>38</v>
      </c>
      <c r="Q279" t="s">
        <v>313</v>
      </c>
      <c r="R279">
        <v>13</v>
      </c>
      <c r="S279" t="s">
        <v>45</v>
      </c>
      <c r="T27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79">
        <v>63460</v>
      </c>
      <c r="V279" t="s">
        <v>38</v>
      </c>
      <c r="W279" t="s">
        <v>313</v>
      </c>
      <c r="X279">
        <v>13</v>
      </c>
      <c r="Y279">
        <v>0</v>
      </c>
      <c r="Z279" t="s">
        <v>46</v>
      </c>
      <c r="AA279">
        <v>63613</v>
      </c>
      <c r="AB279" t="s">
        <v>707</v>
      </c>
      <c r="AC279" t="s">
        <v>103</v>
      </c>
      <c r="AD279" t="s">
        <v>38</v>
      </c>
      <c r="AE279" t="s">
        <v>49</v>
      </c>
      <c r="AF279" t="s">
        <v>50</v>
      </c>
      <c r="AG279">
        <v>0</v>
      </c>
      <c r="AH279">
        <v>0</v>
      </c>
      <c r="AI279" t="s">
        <v>51</v>
      </c>
      <c r="AJ279" t="s">
        <v>51</v>
      </c>
      <c r="AK279" t="s">
        <v>51</v>
      </c>
    </row>
    <row r="280" spans="1:37" x14ac:dyDescent="0.2">
      <c r="A280">
        <v>63458</v>
      </c>
      <c r="B280" t="s">
        <v>37</v>
      </c>
      <c r="C280" t="s">
        <v>38</v>
      </c>
      <c r="D280" t="s">
        <v>674</v>
      </c>
      <c r="E280" t="s">
        <v>40</v>
      </c>
      <c r="G280" s="4">
        <v>43948.510324074074</v>
      </c>
      <c r="H280" s="4">
        <v>43948.511030092593</v>
      </c>
      <c r="I280" t="s">
        <v>675</v>
      </c>
      <c r="J280" s="5">
        <v>61.00000000000000000000000000000000000004</v>
      </c>
      <c r="K280" t="s">
        <v>38</v>
      </c>
      <c r="M280">
        <v>63459</v>
      </c>
      <c r="N280" t="s">
        <v>705</v>
      </c>
      <c r="O280" t="s">
        <v>706</v>
      </c>
      <c r="P280" t="s">
        <v>38</v>
      </c>
      <c r="Q280" t="s">
        <v>313</v>
      </c>
      <c r="R280">
        <v>13</v>
      </c>
      <c r="S280" t="s">
        <v>45</v>
      </c>
      <c r="T28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0">
        <v>63460</v>
      </c>
      <c r="V280" t="s">
        <v>38</v>
      </c>
      <c r="W280" t="s">
        <v>313</v>
      </c>
      <c r="X280">
        <v>13</v>
      </c>
      <c r="Y280">
        <v>0</v>
      </c>
      <c r="Z280" t="s">
        <v>46</v>
      </c>
      <c r="AA280">
        <v>63612</v>
      </c>
      <c r="AB280" t="s">
        <v>708</v>
      </c>
      <c r="AC280" t="s">
        <v>103</v>
      </c>
      <c r="AD280" t="s">
        <v>38</v>
      </c>
      <c r="AE280" t="s">
        <v>49</v>
      </c>
      <c r="AF280" t="s">
        <v>50</v>
      </c>
      <c r="AG280">
        <v>0</v>
      </c>
      <c r="AH280">
        <v>0</v>
      </c>
      <c r="AI280" t="s">
        <v>51</v>
      </c>
      <c r="AJ280" t="s">
        <v>51</v>
      </c>
      <c r="AK280" t="s">
        <v>51</v>
      </c>
    </row>
    <row r="281" spans="1:37" x14ac:dyDescent="0.2">
      <c r="A281">
        <v>63458</v>
      </c>
      <c r="B281" t="s">
        <v>37</v>
      </c>
      <c r="C281" t="s">
        <v>38</v>
      </c>
      <c r="D281" t="s">
        <v>674</v>
      </c>
      <c r="E281" t="s">
        <v>40</v>
      </c>
      <c r="G281" s="4">
        <v>43948.510324074074</v>
      </c>
      <c r="H281" s="4">
        <v>43948.511030092593</v>
      </c>
      <c r="I281" t="s">
        <v>675</v>
      </c>
      <c r="J281" s="5">
        <v>61.00000000000000000000000000000000000004</v>
      </c>
      <c r="K281" t="s">
        <v>38</v>
      </c>
      <c r="M281">
        <v>63459</v>
      </c>
      <c r="N281" t="s">
        <v>705</v>
      </c>
      <c r="O281" t="s">
        <v>706</v>
      </c>
      <c r="P281" t="s">
        <v>38</v>
      </c>
      <c r="Q281" t="s">
        <v>313</v>
      </c>
      <c r="R281">
        <v>13</v>
      </c>
      <c r="S281" t="s">
        <v>45</v>
      </c>
      <c r="T28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1">
        <v>63460</v>
      </c>
      <c r="V281" t="s">
        <v>38</v>
      </c>
      <c r="W281" t="s">
        <v>313</v>
      </c>
      <c r="X281">
        <v>13</v>
      </c>
      <c r="Y281">
        <v>0</v>
      </c>
      <c r="Z281" t="s">
        <v>46</v>
      </c>
      <c r="AA281">
        <v>63611</v>
      </c>
      <c r="AB281" t="s">
        <v>709</v>
      </c>
      <c r="AC281" t="s">
        <v>103</v>
      </c>
      <c r="AD281" t="s">
        <v>38</v>
      </c>
      <c r="AE281" t="s">
        <v>49</v>
      </c>
      <c r="AF281" t="s">
        <v>50</v>
      </c>
      <c r="AG281">
        <v>.9999999999999999999999999999999999999996</v>
      </c>
      <c r="AH281">
        <v>0</v>
      </c>
      <c r="AI281" t="s">
        <v>51</v>
      </c>
      <c r="AJ281" t="s">
        <v>51</v>
      </c>
      <c r="AK281" t="s">
        <v>51</v>
      </c>
    </row>
    <row r="282" spans="1:37" x14ac:dyDescent="0.2">
      <c r="A282">
        <v>63458</v>
      </c>
      <c r="B282" t="s">
        <v>37</v>
      </c>
      <c r="C282" t="s">
        <v>38</v>
      </c>
      <c r="D282" t="s">
        <v>674</v>
      </c>
      <c r="E282" t="s">
        <v>40</v>
      </c>
      <c r="G282" s="4">
        <v>43948.510324074074</v>
      </c>
      <c r="H282" s="4">
        <v>43948.511030092593</v>
      </c>
      <c r="I282" t="s">
        <v>675</v>
      </c>
      <c r="J282" s="5">
        <v>61.00000000000000000000000000000000000004</v>
      </c>
      <c r="K282" t="s">
        <v>38</v>
      </c>
      <c r="M282">
        <v>63459</v>
      </c>
      <c r="N282" t="s">
        <v>705</v>
      </c>
      <c r="O282" t="s">
        <v>706</v>
      </c>
      <c r="P282" t="s">
        <v>38</v>
      </c>
      <c r="Q282" t="s">
        <v>313</v>
      </c>
      <c r="R282">
        <v>13</v>
      </c>
      <c r="S282" t="s">
        <v>45</v>
      </c>
      <c r="T28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2">
        <v>63460</v>
      </c>
      <c r="V282" t="s">
        <v>38</v>
      </c>
      <c r="W282" t="s">
        <v>313</v>
      </c>
      <c r="X282">
        <v>13</v>
      </c>
      <c r="Y282">
        <v>0</v>
      </c>
      <c r="Z282" t="s">
        <v>46</v>
      </c>
      <c r="AA282">
        <v>63610</v>
      </c>
      <c r="AB282" t="s">
        <v>710</v>
      </c>
      <c r="AC282" t="s">
        <v>103</v>
      </c>
      <c r="AD282" t="s">
        <v>38</v>
      </c>
      <c r="AE282" t="s">
        <v>49</v>
      </c>
      <c r="AF282" t="s">
        <v>50</v>
      </c>
      <c r="AG282">
        <v>0</v>
      </c>
      <c r="AH282">
        <v>0</v>
      </c>
      <c r="AI282" t="s">
        <v>51</v>
      </c>
      <c r="AJ282" t="s">
        <v>51</v>
      </c>
      <c r="AK282" t="s">
        <v>51</v>
      </c>
    </row>
    <row r="283" spans="1:37" x14ac:dyDescent="0.2">
      <c r="A283">
        <v>63458</v>
      </c>
      <c r="B283" t="s">
        <v>37</v>
      </c>
      <c r="C283" t="s">
        <v>38</v>
      </c>
      <c r="D283" t="s">
        <v>674</v>
      </c>
      <c r="E283" t="s">
        <v>40</v>
      </c>
      <c r="G283" s="4">
        <v>43948.510324074074</v>
      </c>
      <c r="H283" s="4">
        <v>43948.511030092593</v>
      </c>
      <c r="I283" t="s">
        <v>675</v>
      </c>
      <c r="J283" s="5">
        <v>61.00000000000000000000000000000000000004</v>
      </c>
      <c r="K283" t="s">
        <v>38</v>
      </c>
      <c r="M283">
        <v>63459</v>
      </c>
      <c r="N283" t="s">
        <v>705</v>
      </c>
      <c r="O283" t="s">
        <v>706</v>
      </c>
      <c r="P283" t="s">
        <v>38</v>
      </c>
      <c r="Q283" t="s">
        <v>313</v>
      </c>
      <c r="R283">
        <v>13</v>
      </c>
      <c r="S283" t="s">
        <v>45</v>
      </c>
      <c r="T28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3">
        <v>63460</v>
      </c>
      <c r="V283" t="s">
        <v>38</v>
      </c>
      <c r="W283" t="s">
        <v>313</v>
      </c>
      <c r="X283">
        <v>13</v>
      </c>
      <c r="Y283">
        <v>0</v>
      </c>
      <c r="Z283" t="s">
        <v>46</v>
      </c>
      <c r="AA283">
        <v>63609</v>
      </c>
      <c r="AB283" t="s">
        <v>711</v>
      </c>
      <c r="AC283" t="s">
        <v>103</v>
      </c>
      <c r="AD283" t="s">
        <v>38</v>
      </c>
      <c r="AE283" t="s">
        <v>49</v>
      </c>
      <c r="AF283" t="s">
        <v>50</v>
      </c>
      <c r="AG283">
        <v>0</v>
      </c>
      <c r="AH283">
        <v>0</v>
      </c>
      <c r="AI283" t="s">
        <v>51</v>
      </c>
      <c r="AJ283" t="s">
        <v>51</v>
      </c>
      <c r="AK283" t="s">
        <v>51</v>
      </c>
    </row>
    <row r="284" spans="1:37" x14ac:dyDescent="0.2">
      <c r="A284">
        <v>63458</v>
      </c>
      <c r="B284" t="s">
        <v>37</v>
      </c>
      <c r="C284" t="s">
        <v>38</v>
      </c>
      <c r="D284" t="s">
        <v>674</v>
      </c>
      <c r="E284" t="s">
        <v>40</v>
      </c>
      <c r="G284" s="4">
        <v>43948.510324074074</v>
      </c>
      <c r="H284" s="4">
        <v>43948.511030092593</v>
      </c>
      <c r="I284" t="s">
        <v>675</v>
      </c>
      <c r="J284" s="5">
        <v>61.00000000000000000000000000000000000004</v>
      </c>
      <c r="K284" t="s">
        <v>38</v>
      </c>
      <c r="M284">
        <v>63459</v>
      </c>
      <c r="N284" t="s">
        <v>705</v>
      </c>
      <c r="O284" t="s">
        <v>706</v>
      </c>
      <c r="P284" t="s">
        <v>38</v>
      </c>
      <c r="Q284" t="s">
        <v>313</v>
      </c>
      <c r="R284">
        <v>13</v>
      </c>
      <c r="S284" t="s">
        <v>45</v>
      </c>
      <c r="T28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4">
        <v>63460</v>
      </c>
      <c r="V284" t="s">
        <v>38</v>
      </c>
      <c r="W284" t="s">
        <v>313</v>
      </c>
      <c r="X284">
        <v>13</v>
      </c>
      <c r="Y284">
        <v>0</v>
      </c>
      <c r="Z284" t="s">
        <v>46</v>
      </c>
      <c r="AA284">
        <v>63608</v>
      </c>
      <c r="AB284" t="s">
        <v>712</v>
      </c>
      <c r="AC284" t="s">
        <v>103</v>
      </c>
      <c r="AD284" t="s">
        <v>38</v>
      </c>
      <c r="AE284" t="s">
        <v>49</v>
      </c>
      <c r="AF284" t="s">
        <v>50</v>
      </c>
      <c r="AG284">
        <v>0</v>
      </c>
      <c r="AH284">
        <v>0</v>
      </c>
      <c r="AI284" t="s">
        <v>51</v>
      </c>
      <c r="AJ284" t="s">
        <v>51</v>
      </c>
      <c r="AK284" t="s">
        <v>51</v>
      </c>
    </row>
    <row r="285" spans="1:37" x14ac:dyDescent="0.2">
      <c r="A285">
        <v>63458</v>
      </c>
      <c r="B285" t="s">
        <v>37</v>
      </c>
      <c r="C285" t="s">
        <v>38</v>
      </c>
      <c r="D285" t="s">
        <v>674</v>
      </c>
      <c r="E285" t="s">
        <v>40</v>
      </c>
      <c r="G285" s="4">
        <v>43948.510324074074</v>
      </c>
      <c r="H285" s="4">
        <v>43948.511030092593</v>
      </c>
      <c r="I285" t="s">
        <v>675</v>
      </c>
      <c r="J285" s="5">
        <v>61.00000000000000000000000000000000000004</v>
      </c>
      <c r="K285" t="s">
        <v>38</v>
      </c>
      <c r="M285">
        <v>63459</v>
      </c>
      <c r="N285" t="s">
        <v>705</v>
      </c>
      <c r="O285" t="s">
        <v>706</v>
      </c>
      <c r="P285" t="s">
        <v>38</v>
      </c>
      <c r="Q285" t="s">
        <v>313</v>
      </c>
      <c r="R285">
        <v>13</v>
      </c>
      <c r="S285" t="s">
        <v>45</v>
      </c>
      <c r="T28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5">
        <v>63460</v>
      </c>
      <c r="V285" t="s">
        <v>38</v>
      </c>
      <c r="W285" t="s">
        <v>313</v>
      </c>
      <c r="X285">
        <v>13</v>
      </c>
      <c r="Y285">
        <v>0</v>
      </c>
      <c r="Z285" t="s">
        <v>46</v>
      </c>
      <c r="AA285">
        <v>63607</v>
      </c>
      <c r="AB285" t="s">
        <v>713</v>
      </c>
      <c r="AC285" t="s">
        <v>103</v>
      </c>
      <c r="AD285" t="s">
        <v>38</v>
      </c>
      <c r="AE285" t="s">
        <v>49</v>
      </c>
      <c r="AF285" t="s">
        <v>50</v>
      </c>
      <c r="AG285">
        <v>0</v>
      </c>
      <c r="AH285">
        <v>0</v>
      </c>
      <c r="AI285" t="s">
        <v>51</v>
      </c>
      <c r="AJ285" t="s">
        <v>51</v>
      </c>
      <c r="AK285" t="s">
        <v>51</v>
      </c>
    </row>
    <row r="286" spans="1:37" x14ac:dyDescent="0.2">
      <c r="A286">
        <v>63458</v>
      </c>
      <c r="B286" t="s">
        <v>37</v>
      </c>
      <c r="C286" t="s">
        <v>38</v>
      </c>
      <c r="D286" t="s">
        <v>674</v>
      </c>
      <c r="E286" t="s">
        <v>40</v>
      </c>
      <c r="G286" s="4">
        <v>43948.510324074074</v>
      </c>
      <c r="H286" s="4">
        <v>43948.511030092593</v>
      </c>
      <c r="I286" t="s">
        <v>675</v>
      </c>
      <c r="J286" s="5">
        <v>61.00000000000000000000000000000000000004</v>
      </c>
      <c r="K286" t="s">
        <v>38</v>
      </c>
      <c r="M286">
        <v>63459</v>
      </c>
      <c r="N286" t="s">
        <v>705</v>
      </c>
      <c r="O286" t="s">
        <v>706</v>
      </c>
      <c r="P286" t="s">
        <v>38</v>
      </c>
      <c r="Q286" t="s">
        <v>313</v>
      </c>
      <c r="R286">
        <v>13</v>
      </c>
      <c r="S286" t="s">
        <v>45</v>
      </c>
      <c r="T28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6">
        <v>63460</v>
      </c>
      <c r="V286" t="s">
        <v>38</v>
      </c>
      <c r="W286" t="s">
        <v>313</v>
      </c>
      <c r="X286">
        <v>13</v>
      </c>
      <c r="Y286">
        <v>0</v>
      </c>
      <c r="Z286" t="s">
        <v>46</v>
      </c>
      <c r="AA286">
        <v>63606</v>
      </c>
      <c r="AB286" t="s">
        <v>714</v>
      </c>
      <c r="AC286" t="s">
        <v>103</v>
      </c>
      <c r="AD286" t="s">
        <v>38</v>
      </c>
      <c r="AE286" t="s">
        <v>49</v>
      </c>
      <c r="AF286" t="s">
        <v>50</v>
      </c>
      <c r="AG286">
        <v>0</v>
      </c>
      <c r="AH286">
        <v>0</v>
      </c>
      <c r="AI286" t="s">
        <v>51</v>
      </c>
      <c r="AJ286" t="s">
        <v>51</v>
      </c>
      <c r="AK286" t="s">
        <v>51</v>
      </c>
    </row>
    <row r="287" spans="1:37" x14ac:dyDescent="0.2">
      <c r="A287">
        <v>63458</v>
      </c>
      <c r="B287" t="s">
        <v>37</v>
      </c>
      <c r="C287" t="s">
        <v>38</v>
      </c>
      <c r="D287" t="s">
        <v>674</v>
      </c>
      <c r="E287" t="s">
        <v>40</v>
      </c>
      <c r="G287" s="4">
        <v>43948.510324074074</v>
      </c>
      <c r="H287" s="4">
        <v>43948.511030092593</v>
      </c>
      <c r="I287" t="s">
        <v>675</v>
      </c>
      <c r="J287" s="5">
        <v>61.00000000000000000000000000000000000004</v>
      </c>
      <c r="K287" t="s">
        <v>38</v>
      </c>
      <c r="M287">
        <v>63459</v>
      </c>
      <c r="N287" t="s">
        <v>705</v>
      </c>
      <c r="O287" t="s">
        <v>706</v>
      </c>
      <c r="P287" t="s">
        <v>38</v>
      </c>
      <c r="Q287" t="s">
        <v>313</v>
      </c>
      <c r="R287">
        <v>13</v>
      </c>
      <c r="S287" t="s">
        <v>45</v>
      </c>
      <c r="T28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7">
        <v>63460</v>
      </c>
      <c r="V287" t="s">
        <v>38</v>
      </c>
      <c r="W287" t="s">
        <v>313</v>
      </c>
      <c r="X287">
        <v>13</v>
      </c>
      <c r="Y287">
        <v>0</v>
      </c>
      <c r="Z287" t="s">
        <v>46</v>
      </c>
      <c r="AA287">
        <v>63605</v>
      </c>
      <c r="AB287" t="s">
        <v>715</v>
      </c>
      <c r="AC287" t="s">
        <v>103</v>
      </c>
      <c r="AD287" t="s">
        <v>38</v>
      </c>
      <c r="AE287" t="s">
        <v>49</v>
      </c>
      <c r="AF287" t="s">
        <v>50</v>
      </c>
      <c r="AG287">
        <v>0</v>
      </c>
      <c r="AH287">
        <v>0</v>
      </c>
      <c r="AI287" t="s">
        <v>51</v>
      </c>
      <c r="AJ287" t="s">
        <v>51</v>
      </c>
      <c r="AK287" t="s">
        <v>51</v>
      </c>
    </row>
    <row r="288" spans="1:37" x14ac:dyDescent="0.2">
      <c r="A288">
        <v>63458</v>
      </c>
      <c r="B288" t="s">
        <v>37</v>
      </c>
      <c r="C288" t="s">
        <v>38</v>
      </c>
      <c r="D288" t="s">
        <v>674</v>
      </c>
      <c r="E288" t="s">
        <v>40</v>
      </c>
      <c r="G288" s="4">
        <v>43948.510324074074</v>
      </c>
      <c r="H288" s="4">
        <v>43948.511030092593</v>
      </c>
      <c r="I288" t="s">
        <v>675</v>
      </c>
      <c r="J288" s="5">
        <v>61.00000000000000000000000000000000000004</v>
      </c>
      <c r="K288" t="s">
        <v>38</v>
      </c>
      <c r="M288">
        <v>63459</v>
      </c>
      <c r="N288" t="s">
        <v>705</v>
      </c>
      <c r="O288" t="s">
        <v>706</v>
      </c>
      <c r="P288" t="s">
        <v>38</v>
      </c>
      <c r="Q288" t="s">
        <v>313</v>
      </c>
      <c r="R288">
        <v>13</v>
      </c>
      <c r="S288" t="s">
        <v>45</v>
      </c>
      <c r="T28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8">
        <v>63460</v>
      </c>
      <c r="V288" t="s">
        <v>38</v>
      </c>
      <c r="W288" t="s">
        <v>313</v>
      </c>
      <c r="X288">
        <v>13</v>
      </c>
      <c r="Y288">
        <v>0</v>
      </c>
      <c r="Z288" t="s">
        <v>46</v>
      </c>
      <c r="AA288">
        <v>63604</v>
      </c>
      <c r="AB288" t="s">
        <v>716</v>
      </c>
      <c r="AC288" t="s">
        <v>103</v>
      </c>
      <c r="AD288" t="s">
        <v>38</v>
      </c>
      <c r="AE288" t="s">
        <v>49</v>
      </c>
      <c r="AF288" t="s">
        <v>50</v>
      </c>
      <c r="AG288">
        <v>0</v>
      </c>
      <c r="AH288">
        <v>0</v>
      </c>
      <c r="AI288" t="s">
        <v>51</v>
      </c>
      <c r="AJ288" t="s">
        <v>51</v>
      </c>
      <c r="AK288" t="s">
        <v>51</v>
      </c>
    </row>
    <row r="289" spans="1:37" x14ac:dyDescent="0.2">
      <c r="A289">
        <v>63458</v>
      </c>
      <c r="B289" t="s">
        <v>37</v>
      </c>
      <c r="C289" t="s">
        <v>38</v>
      </c>
      <c r="D289" t="s">
        <v>674</v>
      </c>
      <c r="E289" t="s">
        <v>40</v>
      </c>
      <c r="G289" s="4">
        <v>43948.510324074074</v>
      </c>
      <c r="H289" s="4">
        <v>43948.511030092593</v>
      </c>
      <c r="I289" t="s">
        <v>675</v>
      </c>
      <c r="J289" s="5">
        <v>61.00000000000000000000000000000000000004</v>
      </c>
      <c r="K289" t="s">
        <v>38</v>
      </c>
      <c r="M289">
        <v>63459</v>
      </c>
      <c r="N289" t="s">
        <v>705</v>
      </c>
      <c r="O289" t="s">
        <v>706</v>
      </c>
      <c r="P289" t="s">
        <v>38</v>
      </c>
      <c r="Q289" t="s">
        <v>313</v>
      </c>
      <c r="R289">
        <v>13</v>
      </c>
      <c r="S289" t="s">
        <v>45</v>
      </c>
      <c r="T28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89">
        <v>63460</v>
      </c>
      <c r="V289" t="s">
        <v>38</v>
      </c>
      <c r="W289" t="s">
        <v>313</v>
      </c>
      <c r="X289">
        <v>13</v>
      </c>
      <c r="Y289">
        <v>0</v>
      </c>
      <c r="Z289" t="s">
        <v>46</v>
      </c>
      <c r="AA289">
        <v>63603</v>
      </c>
      <c r="AB289" t="s">
        <v>717</v>
      </c>
      <c r="AC289" t="s">
        <v>103</v>
      </c>
      <c r="AD289" t="s">
        <v>38</v>
      </c>
      <c r="AE289" t="s">
        <v>49</v>
      </c>
      <c r="AF289" t="s">
        <v>50</v>
      </c>
      <c r="AG289">
        <v>0</v>
      </c>
      <c r="AH289">
        <v>0</v>
      </c>
      <c r="AI289" t="s">
        <v>51</v>
      </c>
      <c r="AJ289" t="s">
        <v>51</v>
      </c>
      <c r="AK289" t="s">
        <v>51</v>
      </c>
    </row>
    <row r="290" spans="1:37" x14ac:dyDescent="0.2">
      <c r="A290">
        <v>63458</v>
      </c>
      <c r="B290" t="s">
        <v>37</v>
      </c>
      <c r="C290" t="s">
        <v>38</v>
      </c>
      <c r="D290" t="s">
        <v>674</v>
      </c>
      <c r="E290" t="s">
        <v>40</v>
      </c>
      <c r="G290" s="4">
        <v>43948.510324074074</v>
      </c>
      <c r="H290" s="4">
        <v>43948.511030092593</v>
      </c>
      <c r="I290" t="s">
        <v>675</v>
      </c>
      <c r="J290" s="5">
        <v>61.00000000000000000000000000000000000004</v>
      </c>
      <c r="K290" t="s">
        <v>38</v>
      </c>
      <c r="M290">
        <v>63459</v>
      </c>
      <c r="N290" t="s">
        <v>705</v>
      </c>
      <c r="O290" t="s">
        <v>706</v>
      </c>
      <c r="P290" t="s">
        <v>38</v>
      </c>
      <c r="Q290" t="s">
        <v>313</v>
      </c>
      <c r="R290">
        <v>13</v>
      </c>
      <c r="S290" t="s">
        <v>45</v>
      </c>
      <c r="T29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0">
        <v>63460</v>
      </c>
      <c r="V290" t="s">
        <v>38</v>
      </c>
      <c r="W290" t="s">
        <v>313</v>
      </c>
      <c r="X290">
        <v>13</v>
      </c>
      <c r="Y290">
        <v>0</v>
      </c>
      <c r="Z290" t="s">
        <v>46</v>
      </c>
      <c r="AA290">
        <v>63602</v>
      </c>
      <c r="AB290" t="s">
        <v>718</v>
      </c>
      <c r="AC290" t="s">
        <v>103</v>
      </c>
      <c r="AD290" t="s">
        <v>38</v>
      </c>
      <c r="AE290" t="s">
        <v>49</v>
      </c>
      <c r="AF290" t="s">
        <v>50</v>
      </c>
      <c r="AG290">
        <v>0</v>
      </c>
      <c r="AH290">
        <v>0</v>
      </c>
      <c r="AI290" t="s">
        <v>51</v>
      </c>
      <c r="AJ290" t="s">
        <v>51</v>
      </c>
      <c r="AK290" t="s">
        <v>51</v>
      </c>
    </row>
    <row r="291" spans="1:37" x14ac:dyDescent="0.2">
      <c r="A291">
        <v>63458</v>
      </c>
      <c r="B291" t="s">
        <v>37</v>
      </c>
      <c r="C291" t="s">
        <v>38</v>
      </c>
      <c r="D291" t="s">
        <v>674</v>
      </c>
      <c r="E291" t="s">
        <v>40</v>
      </c>
      <c r="G291" s="4">
        <v>43948.510324074074</v>
      </c>
      <c r="H291" s="4">
        <v>43948.511030092593</v>
      </c>
      <c r="I291" t="s">
        <v>675</v>
      </c>
      <c r="J291" s="5">
        <v>61.00000000000000000000000000000000000004</v>
      </c>
      <c r="K291" t="s">
        <v>38</v>
      </c>
      <c r="M291">
        <v>63459</v>
      </c>
      <c r="N291" t="s">
        <v>705</v>
      </c>
      <c r="O291" t="s">
        <v>706</v>
      </c>
      <c r="P291" t="s">
        <v>38</v>
      </c>
      <c r="Q291" t="s">
        <v>313</v>
      </c>
      <c r="R291">
        <v>13</v>
      </c>
      <c r="S291" t="s">
        <v>45</v>
      </c>
      <c r="T29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1">
        <v>63460</v>
      </c>
      <c r="V291" t="s">
        <v>38</v>
      </c>
      <c r="W291" t="s">
        <v>313</v>
      </c>
      <c r="X291">
        <v>13</v>
      </c>
      <c r="Y291">
        <v>0</v>
      </c>
      <c r="Z291" t="s">
        <v>46</v>
      </c>
      <c r="AA291">
        <v>63601</v>
      </c>
      <c r="AB291" t="s">
        <v>719</v>
      </c>
      <c r="AC291" t="s">
        <v>103</v>
      </c>
      <c r="AD291" t="s">
        <v>38</v>
      </c>
      <c r="AE291" t="s">
        <v>49</v>
      </c>
      <c r="AF291" t="s">
        <v>50</v>
      </c>
      <c r="AG291">
        <v>0</v>
      </c>
      <c r="AH291">
        <v>0</v>
      </c>
      <c r="AI291" t="s">
        <v>51</v>
      </c>
      <c r="AJ291" t="s">
        <v>51</v>
      </c>
      <c r="AK291" t="s">
        <v>51</v>
      </c>
    </row>
    <row r="292" spans="1:37" x14ac:dyDescent="0.2">
      <c r="A292">
        <v>63458</v>
      </c>
      <c r="B292" t="s">
        <v>37</v>
      </c>
      <c r="C292" t="s">
        <v>38</v>
      </c>
      <c r="D292" t="s">
        <v>674</v>
      </c>
      <c r="E292" t="s">
        <v>40</v>
      </c>
      <c r="G292" s="4">
        <v>43948.510324074074</v>
      </c>
      <c r="H292" s="4">
        <v>43948.511030092593</v>
      </c>
      <c r="I292" t="s">
        <v>675</v>
      </c>
      <c r="J292" s="5">
        <v>61.00000000000000000000000000000000000004</v>
      </c>
      <c r="K292" t="s">
        <v>38</v>
      </c>
      <c r="M292">
        <v>63459</v>
      </c>
      <c r="N292" t="s">
        <v>705</v>
      </c>
      <c r="O292" t="s">
        <v>706</v>
      </c>
      <c r="P292" t="s">
        <v>38</v>
      </c>
      <c r="Q292" t="s">
        <v>313</v>
      </c>
      <c r="R292">
        <v>13</v>
      </c>
      <c r="S292" t="s">
        <v>45</v>
      </c>
      <c r="T29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2">
        <v>63460</v>
      </c>
      <c r="V292" t="s">
        <v>38</v>
      </c>
      <c r="W292" t="s">
        <v>313</v>
      </c>
      <c r="X292">
        <v>13</v>
      </c>
      <c r="Y292">
        <v>0</v>
      </c>
      <c r="Z292" t="s">
        <v>46</v>
      </c>
      <c r="AA292">
        <v>63600</v>
      </c>
      <c r="AB292" t="s">
        <v>720</v>
      </c>
      <c r="AC292" t="s">
        <v>103</v>
      </c>
      <c r="AD292" t="s">
        <v>38</v>
      </c>
      <c r="AE292" t="s">
        <v>49</v>
      </c>
      <c r="AF292" t="s">
        <v>50</v>
      </c>
      <c r="AG292">
        <v>0</v>
      </c>
      <c r="AH292">
        <v>0</v>
      </c>
      <c r="AI292" t="s">
        <v>51</v>
      </c>
      <c r="AJ292" t="s">
        <v>51</v>
      </c>
      <c r="AK292" t="s">
        <v>51</v>
      </c>
    </row>
    <row r="293" spans="1:37" x14ac:dyDescent="0.2">
      <c r="A293">
        <v>63458</v>
      </c>
      <c r="B293" t="s">
        <v>37</v>
      </c>
      <c r="C293" t="s">
        <v>38</v>
      </c>
      <c r="D293" t="s">
        <v>674</v>
      </c>
      <c r="E293" t="s">
        <v>40</v>
      </c>
      <c r="G293" s="4">
        <v>43948.510324074074</v>
      </c>
      <c r="H293" s="4">
        <v>43948.511030092593</v>
      </c>
      <c r="I293" t="s">
        <v>675</v>
      </c>
      <c r="J293" s="5">
        <v>61.00000000000000000000000000000000000004</v>
      </c>
      <c r="K293" t="s">
        <v>38</v>
      </c>
      <c r="M293">
        <v>63459</v>
      </c>
      <c r="N293" t="s">
        <v>705</v>
      </c>
      <c r="O293" t="s">
        <v>706</v>
      </c>
      <c r="P293" t="s">
        <v>38</v>
      </c>
      <c r="Q293" t="s">
        <v>313</v>
      </c>
      <c r="R293">
        <v>13</v>
      </c>
      <c r="S293" t="s">
        <v>45</v>
      </c>
      <c r="T29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3">
        <v>63460</v>
      </c>
      <c r="V293" t="s">
        <v>38</v>
      </c>
      <c r="W293" t="s">
        <v>313</v>
      </c>
      <c r="X293">
        <v>13</v>
      </c>
      <c r="Y293">
        <v>0</v>
      </c>
      <c r="Z293" t="s">
        <v>46</v>
      </c>
      <c r="AA293">
        <v>63599</v>
      </c>
      <c r="AB293" t="s">
        <v>721</v>
      </c>
      <c r="AC293" t="s">
        <v>103</v>
      </c>
      <c r="AD293" t="s">
        <v>38</v>
      </c>
      <c r="AE293" t="s">
        <v>49</v>
      </c>
      <c r="AF293" t="s">
        <v>50</v>
      </c>
      <c r="AG293">
        <v>0</v>
      </c>
      <c r="AH293">
        <v>0</v>
      </c>
      <c r="AI293" t="s">
        <v>51</v>
      </c>
      <c r="AJ293" t="s">
        <v>51</v>
      </c>
      <c r="AK293" t="s">
        <v>51</v>
      </c>
    </row>
    <row r="294" spans="1:37" x14ac:dyDescent="0.2">
      <c r="A294">
        <v>63458</v>
      </c>
      <c r="B294" t="s">
        <v>37</v>
      </c>
      <c r="C294" t="s">
        <v>38</v>
      </c>
      <c r="D294" t="s">
        <v>674</v>
      </c>
      <c r="E294" t="s">
        <v>40</v>
      </c>
      <c r="G294" s="4">
        <v>43948.510324074074</v>
      </c>
      <c r="H294" s="4">
        <v>43948.511030092593</v>
      </c>
      <c r="I294" t="s">
        <v>675</v>
      </c>
      <c r="J294" s="5">
        <v>61.00000000000000000000000000000000000004</v>
      </c>
      <c r="K294" t="s">
        <v>38</v>
      </c>
      <c r="M294">
        <v>63459</v>
      </c>
      <c r="N294" t="s">
        <v>705</v>
      </c>
      <c r="O294" t="s">
        <v>706</v>
      </c>
      <c r="P294" t="s">
        <v>38</v>
      </c>
      <c r="Q294" t="s">
        <v>313</v>
      </c>
      <c r="R294">
        <v>13</v>
      </c>
      <c r="S294" t="s">
        <v>45</v>
      </c>
      <c r="T29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4">
        <v>63460</v>
      </c>
      <c r="V294" t="s">
        <v>38</v>
      </c>
      <c r="W294" t="s">
        <v>313</v>
      </c>
      <c r="X294">
        <v>13</v>
      </c>
      <c r="Y294">
        <v>0</v>
      </c>
      <c r="Z294" t="s">
        <v>46</v>
      </c>
      <c r="AA294">
        <v>63598</v>
      </c>
      <c r="AB294" t="s">
        <v>722</v>
      </c>
      <c r="AC294" t="s">
        <v>103</v>
      </c>
      <c r="AD294" t="s">
        <v>38</v>
      </c>
      <c r="AE294" t="s">
        <v>49</v>
      </c>
      <c r="AF294" t="s">
        <v>50</v>
      </c>
      <c r="AG294">
        <v>0</v>
      </c>
      <c r="AH294">
        <v>0</v>
      </c>
      <c r="AI294" t="s">
        <v>51</v>
      </c>
      <c r="AJ294" t="s">
        <v>51</v>
      </c>
      <c r="AK294" t="s">
        <v>51</v>
      </c>
    </row>
    <row r="295" spans="1:37" x14ac:dyDescent="0.2">
      <c r="A295">
        <v>63458</v>
      </c>
      <c r="B295" t="s">
        <v>37</v>
      </c>
      <c r="C295" t="s">
        <v>38</v>
      </c>
      <c r="D295" t="s">
        <v>674</v>
      </c>
      <c r="E295" t="s">
        <v>40</v>
      </c>
      <c r="G295" s="4">
        <v>43948.510324074074</v>
      </c>
      <c r="H295" s="4">
        <v>43948.511030092593</v>
      </c>
      <c r="I295" t="s">
        <v>675</v>
      </c>
      <c r="J295" s="5">
        <v>61.00000000000000000000000000000000000004</v>
      </c>
      <c r="K295" t="s">
        <v>38</v>
      </c>
      <c r="M295">
        <v>63459</v>
      </c>
      <c r="N295" t="s">
        <v>705</v>
      </c>
      <c r="O295" t="s">
        <v>706</v>
      </c>
      <c r="P295" t="s">
        <v>38</v>
      </c>
      <c r="Q295" t="s">
        <v>313</v>
      </c>
      <c r="R295">
        <v>13</v>
      </c>
      <c r="S295" t="s">
        <v>45</v>
      </c>
      <c r="T29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5">
        <v>63460</v>
      </c>
      <c r="V295" t="s">
        <v>38</v>
      </c>
      <c r="W295" t="s">
        <v>313</v>
      </c>
      <c r="X295">
        <v>13</v>
      </c>
      <c r="Y295">
        <v>0</v>
      </c>
      <c r="Z295" t="s">
        <v>46</v>
      </c>
      <c r="AA295">
        <v>63597</v>
      </c>
      <c r="AB295" t="s">
        <v>723</v>
      </c>
      <c r="AC295" t="s">
        <v>103</v>
      </c>
      <c r="AD295" t="s">
        <v>38</v>
      </c>
      <c r="AE295" t="s">
        <v>49</v>
      </c>
      <c r="AF295" t="s">
        <v>50</v>
      </c>
      <c r="AG295">
        <v>0</v>
      </c>
      <c r="AH295">
        <v>0</v>
      </c>
      <c r="AI295" t="s">
        <v>51</v>
      </c>
      <c r="AJ295" t="s">
        <v>51</v>
      </c>
      <c r="AK295" t="s">
        <v>51</v>
      </c>
    </row>
    <row r="296" spans="1:37" x14ac:dyDescent="0.2">
      <c r="A296">
        <v>63458</v>
      </c>
      <c r="B296" t="s">
        <v>37</v>
      </c>
      <c r="C296" t="s">
        <v>38</v>
      </c>
      <c r="D296" t="s">
        <v>674</v>
      </c>
      <c r="E296" t="s">
        <v>40</v>
      </c>
      <c r="G296" s="4">
        <v>43948.510324074074</v>
      </c>
      <c r="H296" s="4">
        <v>43948.511030092593</v>
      </c>
      <c r="I296" t="s">
        <v>675</v>
      </c>
      <c r="J296" s="5">
        <v>61.00000000000000000000000000000000000004</v>
      </c>
      <c r="K296" t="s">
        <v>38</v>
      </c>
      <c r="M296">
        <v>63459</v>
      </c>
      <c r="N296" t="s">
        <v>705</v>
      </c>
      <c r="O296" t="s">
        <v>706</v>
      </c>
      <c r="P296" t="s">
        <v>38</v>
      </c>
      <c r="Q296" t="s">
        <v>313</v>
      </c>
      <c r="R296">
        <v>13</v>
      </c>
      <c r="S296" t="s">
        <v>45</v>
      </c>
      <c r="T29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6">
        <v>63460</v>
      </c>
      <c r="V296" t="s">
        <v>38</v>
      </c>
      <c r="W296" t="s">
        <v>313</v>
      </c>
      <c r="X296">
        <v>13</v>
      </c>
      <c r="Y296">
        <v>0</v>
      </c>
      <c r="Z296" t="s">
        <v>46</v>
      </c>
      <c r="AA296">
        <v>63596</v>
      </c>
      <c r="AB296" t="s">
        <v>724</v>
      </c>
      <c r="AC296" t="s">
        <v>103</v>
      </c>
      <c r="AD296" t="s">
        <v>38</v>
      </c>
      <c r="AE296" t="s">
        <v>49</v>
      </c>
      <c r="AF296" t="s">
        <v>50</v>
      </c>
      <c r="AG296">
        <v>0</v>
      </c>
      <c r="AH296">
        <v>0</v>
      </c>
      <c r="AI296" t="s">
        <v>51</v>
      </c>
      <c r="AJ296" t="s">
        <v>51</v>
      </c>
      <c r="AK296" t="s">
        <v>51</v>
      </c>
    </row>
    <row r="297" spans="1:37" x14ac:dyDescent="0.2">
      <c r="A297">
        <v>63458</v>
      </c>
      <c r="B297" t="s">
        <v>37</v>
      </c>
      <c r="C297" t="s">
        <v>38</v>
      </c>
      <c r="D297" t="s">
        <v>674</v>
      </c>
      <c r="E297" t="s">
        <v>40</v>
      </c>
      <c r="G297" s="4">
        <v>43948.510324074074</v>
      </c>
      <c r="H297" s="4">
        <v>43948.511030092593</v>
      </c>
      <c r="I297" t="s">
        <v>675</v>
      </c>
      <c r="J297" s="5">
        <v>61.00000000000000000000000000000000000004</v>
      </c>
      <c r="K297" t="s">
        <v>38</v>
      </c>
      <c r="M297">
        <v>63459</v>
      </c>
      <c r="N297" t="s">
        <v>705</v>
      </c>
      <c r="O297" t="s">
        <v>706</v>
      </c>
      <c r="P297" t="s">
        <v>38</v>
      </c>
      <c r="Q297" t="s">
        <v>313</v>
      </c>
      <c r="R297">
        <v>13</v>
      </c>
      <c r="S297" t="s">
        <v>45</v>
      </c>
      <c r="T29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7">
        <v>63460</v>
      </c>
      <c r="V297" t="s">
        <v>38</v>
      </c>
      <c r="W297" t="s">
        <v>313</v>
      </c>
      <c r="X297">
        <v>13</v>
      </c>
      <c r="Y297">
        <v>0</v>
      </c>
      <c r="Z297" t="s">
        <v>46</v>
      </c>
      <c r="AA297">
        <v>63595</v>
      </c>
      <c r="AB297" t="s">
        <v>725</v>
      </c>
      <c r="AC297" t="s">
        <v>103</v>
      </c>
      <c r="AD297" t="s">
        <v>38</v>
      </c>
      <c r="AE297" t="s">
        <v>49</v>
      </c>
      <c r="AF297" t="s">
        <v>50</v>
      </c>
      <c r="AG297">
        <v>0</v>
      </c>
      <c r="AH297">
        <v>0</v>
      </c>
      <c r="AI297" t="s">
        <v>51</v>
      </c>
      <c r="AJ297" t="s">
        <v>51</v>
      </c>
      <c r="AK297" t="s">
        <v>51</v>
      </c>
    </row>
    <row r="298" spans="1:37" x14ac:dyDescent="0.2">
      <c r="A298">
        <v>63458</v>
      </c>
      <c r="B298" t="s">
        <v>37</v>
      </c>
      <c r="C298" t="s">
        <v>38</v>
      </c>
      <c r="D298" t="s">
        <v>674</v>
      </c>
      <c r="E298" t="s">
        <v>40</v>
      </c>
      <c r="G298" s="4">
        <v>43948.510324074074</v>
      </c>
      <c r="H298" s="4">
        <v>43948.511030092593</v>
      </c>
      <c r="I298" t="s">
        <v>675</v>
      </c>
      <c r="J298" s="5">
        <v>61.00000000000000000000000000000000000004</v>
      </c>
      <c r="K298" t="s">
        <v>38</v>
      </c>
      <c r="M298">
        <v>63459</v>
      </c>
      <c r="N298" t="s">
        <v>705</v>
      </c>
      <c r="O298" t="s">
        <v>706</v>
      </c>
      <c r="P298" t="s">
        <v>38</v>
      </c>
      <c r="Q298" t="s">
        <v>313</v>
      </c>
      <c r="R298">
        <v>13</v>
      </c>
      <c r="S298" t="s">
        <v>45</v>
      </c>
      <c r="T29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8">
        <v>63460</v>
      </c>
      <c r="V298" t="s">
        <v>38</v>
      </c>
      <c r="W298" t="s">
        <v>313</v>
      </c>
      <c r="X298">
        <v>13</v>
      </c>
      <c r="Y298">
        <v>0</v>
      </c>
      <c r="Z298" t="s">
        <v>46</v>
      </c>
      <c r="AA298">
        <v>63594</v>
      </c>
      <c r="AB298" t="s">
        <v>726</v>
      </c>
      <c r="AC298" t="s">
        <v>103</v>
      </c>
      <c r="AD298" t="s">
        <v>38</v>
      </c>
      <c r="AE298" t="s">
        <v>49</v>
      </c>
      <c r="AF298" t="s">
        <v>50</v>
      </c>
      <c r="AG298">
        <v>0</v>
      </c>
      <c r="AH298">
        <v>0</v>
      </c>
      <c r="AI298" t="s">
        <v>51</v>
      </c>
      <c r="AJ298" t="s">
        <v>51</v>
      </c>
      <c r="AK298" t="s">
        <v>51</v>
      </c>
    </row>
    <row r="299" spans="1:37" x14ac:dyDescent="0.2">
      <c r="A299">
        <v>63458</v>
      </c>
      <c r="B299" t="s">
        <v>37</v>
      </c>
      <c r="C299" t="s">
        <v>38</v>
      </c>
      <c r="D299" t="s">
        <v>674</v>
      </c>
      <c r="E299" t="s">
        <v>40</v>
      </c>
      <c r="G299" s="4">
        <v>43948.510324074074</v>
      </c>
      <c r="H299" s="4">
        <v>43948.511030092593</v>
      </c>
      <c r="I299" t="s">
        <v>675</v>
      </c>
      <c r="J299" s="5">
        <v>61.00000000000000000000000000000000000004</v>
      </c>
      <c r="K299" t="s">
        <v>38</v>
      </c>
      <c r="M299">
        <v>63459</v>
      </c>
      <c r="N299" t="s">
        <v>705</v>
      </c>
      <c r="O299" t="s">
        <v>706</v>
      </c>
      <c r="P299" t="s">
        <v>38</v>
      </c>
      <c r="Q299" t="s">
        <v>313</v>
      </c>
      <c r="R299">
        <v>13</v>
      </c>
      <c r="S299" t="s">
        <v>45</v>
      </c>
      <c r="T29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299">
        <v>63460</v>
      </c>
      <c r="V299" t="s">
        <v>38</v>
      </c>
      <c r="W299" t="s">
        <v>313</v>
      </c>
      <c r="X299">
        <v>13</v>
      </c>
      <c r="Y299">
        <v>0</v>
      </c>
      <c r="Z299" t="s">
        <v>46</v>
      </c>
      <c r="AA299">
        <v>63593</v>
      </c>
      <c r="AB299" t="s">
        <v>727</v>
      </c>
      <c r="AC299" t="s">
        <v>103</v>
      </c>
      <c r="AD299" t="s">
        <v>38</v>
      </c>
      <c r="AE299" t="s">
        <v>49</v>
      </c>
      <c r="AF299" t="s">
        <v>50</v>
      </c>
      <c r="AG299">
        <v>0</v>
      </c>
      <c r="AH299">
        <v>0</v>
      </c>
      <c r="AI299" t="s">
        <v>51</v>
      </c>
      <c r="AJ299" t="s">
        <v>51</v>
      </c>
      <c r="AK299" t="s">
        <v>51</v>
      </c>
    </row>
    <row r="300" spans="1:37" x14ac:dyDescent="0.2">
      <c r="A300">
        <v>63458</v>
      </c>
      <c r="B300" t="s">
        <v>37</v>
      </c>
      <c r="C300" t="s">
        <v>38</v>
      </c>
      <c r="D300" t="s">
        <v>674</v>
      </c>
      <c r="E300" t="s">
        <v>40</v>
      </c>
      <c r="G300" s="4">
        <v>43948.510324074074</v>
      </c>
      <c r="H300" s="4">
        <v>43948.511030092593</v>
      </c>
      <c r="I300" t="s">
        <v>675</v>
      </c>
      <c r="J300" s="5">
        <v>61.00000000000000000000000000000000000004</v>
      </c>
      <c r="K300" t="s">
        <v>38</v>
      </c>
      <c r="M300">
        <v>63459</v>
      </c>
      <c r="N300" t="s">
        <v>705</v>
      </c>
      <c r="O300" t="s">
        <v>706</v>
      </c>
      <c r="P300" t="s">
        <v>38</v>
      </c>
      <c r="Q300" t="s">
        <v>313</v>
      </c>
      <c r="R300">
        <v>13</v>
      </c>
      <c r="S300" t="s">
        <v>45</v>
      </c>
      <c r="T30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0">
        <v>63460</v>
      </c>
      <c r="V300" t="s">
        <v>38</v>
      </c>
      <c r="W300" t="s">
        <v>313</v>
      </c>
      <c r="X300">
        <v>13</v>
      </c>
      <c r="Y300">
        <v>0</v>
      </c>
      <c r="Z300" t="s">
        <v>46</v>
      </c>
      <c r="AA300">
        <v>63592</v>
      </c>
      <c r="AB300" t="s">
        <v>728</v>
      </c>
      <c r="AC300" t="s">
        <v>103</v>
      </c>
      <c r="AD300" t="s">
        <v>38</v>
      </c>
      <c r="AE300" t="s">
        <v>49</v>
      </c>
      <c r="AF300" t="s">
        <v>50</v>
      </c>
      <c r="AG300">
        <v>0</v>
      </c>
      <c r="AH300">
        <v>0</v>
      </c>
      <c r="AI300" t="s">
        <v>51</v>
      </c>
      <c r="AJ300" t="s">
        <v>51</v>
      </c>
      <c r="AK300" t="s">
        <v>51</v>
      </c>
    </row>
    <row r="301" spans="1:37" x14ac:dyDescent="0.2">
      <c r="A301">
        <v>63458</v>
      </c>
      <c r="B301" t="s">
        <v>37</v>
      </c>
      <c r="C301" t="s">
        <v>38</v>
      </c>
      <c r="D301" t="s">
        <v>674</v>
      </c>
      <c r="E301" t="s">
        <v>40</v>
      </c>
      <c r="G301" s="4">
        <v>43948.510324074074</v>
      </c>
      <c r="H301" s="4">
        <v>43948.511030092593</v>
      </c>
      <c r="I301" t="s">
        <v>675</v>
      </c>
      <c r="J301" s="5">
        <v>61.00000000000000000000000000000000000004</v>
      </c>
      <c r="K301" t="s">
        <v>38</v>
      </c>
      <c r="M301">
        <v>63459</v>
      </c>
      <c r="N301" t="s">
        <v>705</v>
      </c>
      <c r="O301" t="s">
        <v>706</v>
      </c>
      <c r="P301" t="s">
        <v>38</v>
      </c>
      <c r="Q301" t="s">
        <v>313</v>
      </c>
      <c r="R301">
        <v>13</v>
      </c>
      <c r="S301" t="s">
        <v>45</v>
      </c>
      <c r="T30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1">
        <v>63460</v>
      </c>
      <c r="V301" t="s">
        <v>38</v>
      </c>
      <c r="W301" t="s">
        <v>313</v>
      </c>
      <c r="X301">
        <v>13</v>
      </c>
      <c r="Y301">
        <v>0</v>
      </c>
      <c r="Z301" t="s">
        <v>46</v>
      </c>
      <c r="AA301">
        <v>63591</v>
      </c>
      <c r="AB301" t="s">
        <v>729</v>
      </c>
      <c r="AC301" t="s">
        <v>103</v>
      </c>
      <c r="AD301" t="s">
        <v>38</v>
      </c>
      <c r="AE301" t="s">
        <v>49</v>
      </c>
      <c r="AF301" t="s">
        <v>50</v>
      </c>
      <c r="AG301">
        <v>0</v>
      </c>
      <c r="AH301">
        <v>0</v>
      </c>
      <c r="AI301" t="s">
        <v>51</v>
      </c>
      <c r="AJ301" t="s">
        <v>51</v>
      </c>
      <c r="AK301" t="s">
        <v>51</v>
      </c>
    </row>
    <row r="302" spans="1:37" x14ac:dyDescent="0.2">
      <c r="A302">
        <v>63458</v>
      </c>
      <c r="B302" t="s">
        <v>37</v>
      </c>
      <c r="C302" t="s">
        <v>38</v>
      </c>
      <c r="D302" t="s">
        <v>674</v>
      </c>
      <c r="E302" t="s">
        <v>40</v>
      </c>
      <c r="G302" s="4">
        <v>43948.510324074074</v>
      </c>
      <c r="H302" s="4">
        <v>43948.511030092593</v>
      </c>
      <c r="I302" t="s">
        <v>675</v>
      </c>
      <c r="J302" s="5">
        <v>61.00000000000000000000000000000000000004</v>
      </c>
      <c r="K302" t="s">
        <v>38</v>
      </c>
      <c r="M302">
        <v>63459</v>
      </c>
      <c r="N302" t="s">
        <v>705</v>
      </c>
      <c r="O302" t="s">
        <v>706</v>
      </c>
      <c r="P302" t="s">
        <v>38</v>
      </c>
      <c r="Q302" t="s">
        <v>313</v>
      </c>
      <c r="R302">
        <v>13</v>
      </c>
      <c r="S302" t="s">
        <v>45</v>
      </c>
      <c r="T30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2">
        <v>63460</v>
      </c>
      <c r="V302" t="s">
        <v>38</v>
      </c>
      <c r="W302" t="s">
        <v>313</v>
      </c>
      <c r="X302">
        <v>13</v>
      </c>
      <c r="Y302">
        <v>0</v>
      </c>
      <c r="Z302" t="s">
        <v>46</v>
      </c>
      <c r="AA302">
        <v>63590</v>
      </c>
      <c r="AB302" t="s">
        <v>730</v>
      </c>
      <c r="AC302" t="s">
        <v>103</v>
      </c>
      <c r="AD302" t="s">
        <v>38</v>
      </c>
      <c r="AE302" t="s">
        <v>49</v>
      </c>
      <c r="AF302" t="s">
        <v>50</v>
      </c>
      <c r="AG302">
        <v>0</v>
      </c>
      <c r="AH302">
        <v>0</v>
      </c>
      <c r="AI302" t="s">
        <v>51</v>
      </c>
      <c r="AJ302" t="s">
        <v>51</v>
      </c>
      <c r="AK302" t="s">
        <v>51</v>
      </c>
    </row>
    <row r="303" spans="1:37" x14ac:dyDescent="0.2">
      <c r="A303">
        <v>63458</v>
      </c>
      <c r="B303" t="s">
        <v>37</v>
      </c>
      <c r="C303" t="s">
        <v>38</v>
      </c>
      <c r="D303" t="s">
        <v>674</v>
      </c>
      <c r="E303" t="s">
        <v>40</v>
      </c>
      <c r="G303" s="4">
        <v>43948.510324074074</v>
      </c>
      <c r="H303" s="4">
        <v>43948.511030092593</v>
      </c>
      <c r="I303" t="s">
        <v>675</v>
      </c>
      <c r="J303" s="5">
        <v>61.00000000000000000000000000000000000004</v>
      </c>
      <c r="K303" t="s">
        <v>38</v>
      </c>
      <c r="M303">
        <v>63459</v>
      </c>
      <c r="N303" t="s">
        <v>705</v>
      </c>
      <c r="O303" t="s">
        <v>706</v>
      </c>
      <c r="P303" t="s">
        <v>38</v>
      </c>
      <c r="Q303" t="s">
        <v>313</v>
      </c>
      <c r="R303">
        <v>13</v>
      </c>
      <c r="S303" t="s">
        <v>45</v>
      </c>
      <c r="T30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3">
        <v>63460</v>
      </c>
      <c r="V303" t="s">
        <v>38</v>
      </c>
      <c r="W303" t="s">
        <v>313</v>
      </c>
      <c r="X303">
        <v>13</v>
      </c>
      <c r="Y303">
        <v>0</v>
      </c>
      <c r="Z303" t="s">
        <v>46</v>
      </c>
      <c r="AA303">
        <v>63589</v>
      </c>
      <c r="AB303" t="s">
        <v>731</v>
      </c>
      <c r="AC303" t="s">
        <v>103</v>
      </c>
      <c r="AD303" t="s">
        <v>38</v>
      </c>
      <c r="AE303" t="s">
        <v>49</v>
      </c>
      <c r="AF303" t="s">
        <v>50</v>
      </c>
      <c r="AG303">
        <v>0</v>
      </c>
      <c r="AH303">
        <v>0</v>
      </c>
      <c r="AI303" t="s">
        <v>51</v>
      </c>
      <c r="AJ303" t="s">
        <v>51</v>
      </c>
      <c r="AK303" t="s">
        <v>51</v>
      </c>
    </row>
    <row r="304" spans="1:37" x14ac:dyDescent="0.2">
      <c r="A304">
        <v>63458</v>
      </c>
      <c r="B304" t="s">
        <v>37</v>
      </c>
      <c r="C304" t="s">
        <v>38</v>
      </c>
      <c r="D304" t="s">
        <v>674</v>
      </c>
      <c r="E304" t="s">
        <v>40</v>
      </c>
      <c r="G304" s="4">
        <v>43948.510324074074</v>
      </c>
      <c r="H304" s="4">
        <v>43948.511030092593</v>
      </c>
      <c r="I304" t="s">
        <v>675</v>
      </c>
      <c r="J304" s="5">
        <v>61.00000000000000000000000000000000000004</v>
      </c>
      <c r="K304" t="s">
        <v>38</v>
      </c>
      <c r="M304">
        <v>63459</v>
      </c>
      <c r="N304" t="s">
        <v>705</v>
      </c>
      <c r="O304" t="s">
        <v>706</v>
      </c>
      <c r="P304" t="s">
        <v>38</v>
      </c>
      <c r="Q304" t="s">
        <v>313</v>
      </c>
      <c r="R304">
        <v>13</v>
      </c>
      <c r="S304" t="s">
        <v>45</v>
      </c>
      <c r="T30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4">
        <v>63460</v>
      </c>
      <c r="V304" t="s">
        <v>38</v>
      </c>
      <c r="W304" t="s">
        <v>313</v>
      </c>
      <c r="X304">
        <v>13</v>
      </c>
      <c r="Y304">
        <v>0</v>
      </c>
      <c r="Z304" t="s">
        <v>46</v>
      </c>
      <c r="AA304">
        <v>63588</v>
      </c>
      <c r="AB304" t="s">
        <v>732</v>
      </c>
      <c r="AC304" t="s">
        <v>103</v>
      </c>
      <c r="AD304" t="s">
        <v>38</v>
      </c>
      <c r="AE304" t="s">
        <v>49</v>
      </c>
      <c r="AF304" t="s">
        <v>50</v>
      </c>
      <c r="AG304">
        <v>0</v>
      </c>
      <c r="AH304">
        <v>0</v>
      </c>
      <c r="AI304" t="s">
        <v>51</v>
      </c>
      <c r="AJ304" t="s">
        <v>51</v>
      </c>
      <c r="AK304" t="s">
        <v>51</v>
      </c>
    </row>
    <row r="305" spans="1:37" x14ac:dyDescent="0.2">
      <c r="A305">
        <v>63458</v>
      </c>
      <c r="B305" t="s">
        <v>37</v>
      </c>
      <c r="C305" t="s">
        <v>38</v>
      </c>
      <c r="D305" t="s">
        <v>674</v>
      </c>
      <c r="E305" t="s">
        <v>40</v>
      </c>
      <c r="G305" s="4">
        <v>43948.510324074074</v>
      </c>
      <c r="H305" s="4">
        <v>43948.511030092593</v>
      </c>
      <c r="I305" t="s">
        <v>675</v>
      </c>
      <c r="J305" s="5">
        <v>61.00000000000000000000000000000000000004</v>
      </c>
      <c r="K305" t="s">
        <v>38</v>
      </c>
      <c r="M305">
        <v>63459</v>
      </c>
      <c r="N305" t="s">
        <v>705</v>
      </c>
      <c r="O305" t="s">
        <v>706</v>
      </c>
      <c r="P305" t="s">
        <v>38</v>
      </c>
      <c r="Q305" t="s">
        <v>313</v>
      </c>
      <c r="R305">
        <v>13</v>
      </c>
      <c r="S305" t="s">
        <v>45</v>
      </c>
      <c r="T30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5">
        <v>63460</v>
      </c>
      <c r="V305" t="s">
        <v>38</v>
      </c>
      <c r="W305" t="s">
        <v>313</v>
      </c>
      <c r="X305">
        <v>13</v>
      </c>
      <c r="Y305">
        <v>0</v>
      </c>
      <c r="Z305" t="s">
        <v>46</v>
      </c>
      <c r="AA305">
        <v>63587</v>
      </c>
      <c r="AB305" t="s">
        <v>733</v>
      </c>
      <c r="AC305" t="s">
        <v>103</v>
      </c>
      <c r="AD305" t="s">
        <v>38</v>
      </c>
      <c r="AE305" t="s">
        <v>49</v>
      </c>
      <c r="AF305" t="s">
        <v>50</v>
      </c>
      <c r="AG305">
        <v>0</v>
      </c>
      <c r="AH305">
        <v>0</v>
      </c>
      <c r="AI305" t="s">
        <v>51</v>
      </c>
      <c r="AJ305" t="s">
        <v>51</v>
      </c>
      <c r="AK305" t="s">
        <v>51</v>
      </c>
    </row>
    <row r="306" spans="1:37" x14ac:dyDescent="0.2">
      <c r="A306">
        <v>63458</v>
      </c>
      <c r="B306" t="s">
        <v>37</v>
      </c>
      <c r="C306" t="s">
        <v>38</v>
      </c>
      <c r="D306" t="s">
        <v>674</v>
      </c>
      <c r="E306" t="s">
        <v>40</v>
      </c>
      <c r="G306" s="4">
        <v>43948.510324074074</v>
      </c>
      <c r="H306" s="4">
        <v>43948.511030092593</v>
      </c>
      <c r="I306" t="s">
        <v>675</v>
      </c>
      <c r="J306" s="5">
        <v>61.00000000000000000000000000000000000004</v>
      </c>
      <c r="K306" t="s">
        <v>38</v>
      </c>
      <c r="M306">
        <v>63459</v>
      </c>
      <c r="N306" t="s">
        <v>705</v>
      </c>
      <c r="O306" t="s">
        <v>706</v>
      </c>
      <c r="P306" t="s">
        <v>38</v>
      </c>
      <c r="Q306" t="s">
        <v>313</v>
      </c>
      <c r="R306">
        <v>13</v>
      </c>
      <c r="S306" t="s">
        <v>45</v>
      </c>
      <c r="T30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6">
        <v>63460</v>
      </c>
      <c r="V306" t="s">
        <v>38</v>
      </c>
      <c r="W306" t="s">
        <v>313</v>
      </c>
      <c r="X306">
        <v>13</v>
      </c>
      <c r="Y306">
        <v>0</v>
      </c>
      <c r="Z306" t="s">
        <v>46</v>
      </c>
      <c r="AA306">
        <v>63586</v>
      </c>
      <c r="AB306" t="s">
        <v>734</v>
      </c>
      <c r="AC306" t="s">
        <v>103</v>
      </c>
      <c r="AD306" t="s">
        <v>38</v>
      </c>
      <c r="AE306" t="s">
        <v>49</v>
      </c>
      <c r="AF306" t="s">
        <v>50</v>
      </c>
      <c r="AG306">
        <v>0</v>
      </c>
      <c r="AH306">
        <v>0</v>
      </c>
      <c r="AI306" t="s">
        <v>51</v>
      </c>
      <c r="AJ306" t="s">
        <v>51</v>
      </c>
      <c r="AK306" t="s">
        <v>51</v>
      </c>
    </row>
    <row r="307" spans="1:37" x14ac:dyDescent="0.2">
      <c r="A307">
        <v>63458</v>
      </c>
      <c r="B307" t="s">
        <v>37</v>
      </c>
      <c r="C307" t="s">
        <v>38</v>
      </c>
      <c r="D307" t="s">
        <v>674</v>
      </c>
      <c r="E307" t="s">
        <v>40</v>
      </c>
      <c r="G307" s="4">
        <v>43948.510324074074</v>
      </c>
      <c r="H307" s="4">
        <v>43948.511030092593</v>
      </c>
      <c r="I307" t="s">
        <v>675</v>
      </c>
      <c r="J307" s="5">
        <v>61.00000000000000000000000000000000000004</v>
      </c>
      <c r="K307" t="s">
        <v>38</v>
      </c>
      <c r="M307">
        <v>63459</v>
      </c>
      <c r="N307" t="s">
        <v>705</v>
      </c>
      <c r="O307" t="s">
        <v>706</v>
      </c>
      <c r="P307" t="s">
        <v>38</v>
      </c>
      <c r="Q307" t="s">
        <v>313</v>
      </c>
      <c r="R307">
        <v>13</v>
      </c>
      <c r="S307" t="s">
        <v>45</v>
      </c>
      <c r="T30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7">
        <v>63460</v>
      </c>
      <c r="V307" t="s">
        <v>38</v>
      </c>
      <c r="W307" t="s">
        <v>313</v>
      </c>
      <c r="X307">
        <v>13</v>
      </c>
      <c r="Y307">
        <v>0</v>
      </c>
      <c r="Z307" t="s">
        <v>46</v>
      </c>
      <c r="AA307">
        <v>63585</v>
      </c>
      <c r="AB307" t="s">
        <v>735</v>
      </c>
      <c r="AC307" t="s">
        <v>103</v>
      </c>
      <c r="AD307" t="s">
        <v>38</v>
      </c>
      <c r="AE307" t="s">
        <v>49</v>
      </c>
      <c r="AF307" t="s">
        <v>50</v>
      </c>
      <c r="AG307">
        <v>0</v>
      </c>
      <c r="AH307">
        <v>0</v>
      </c>
      <c r="AI307" t="s">
        <v>51</v>
      </c>
      <c r="AJ307" t="s">
        <v>51</v>
      </c>
      <c r="AK307" t="s">
        <v>51</v>
      </c>
    </row>
    <row r="308" spans="1:37" x14ac:dyDescent="0.2">
      <c r="A308">
        <v>63458</v>
      </c>
      <c r="B308" t="s">
        <v>37</v>
      </c>
      <c r="C308" t="s">
        <v>38</v>
      </c>
      <c r="D308" t="s">
        <v>674</v>
      </c>
      <c r="E308" t="s">
        <v>40</v>
      </c>
      <c r="G308" s="4">
        <v>43948.510324074074</v>
      </c>
      <c r="H308" s="4">
        <v>43948.511030092593</v>
      </c>
      <c r="I308" t="s">
        <v>675</v>
      </c>
      <c r="J308" s="5">
        <v>61.00000000000000000000000000000000000004</v>
      </c>
      <c r="K308" t="s">
        <v>38</v>
      </c>
      <c r="M308">
        <v>63459</v>
      </c>
      <c r="N308" t="s">
        <v>705</v>
      </c>
      <c r="O308" t="s">
        <v>706</v>
      </c>
      <c r="P308" t="s">
        <v>38</v>
      </c>
      <c r="Q308" t="s">
        <v>313</v>
      </c>
      <c r="R308">
        <v>13</v>
      </c>
      <c r="S308" t="s">
        <v>45</v>
      </c>
      <c r="T30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8">
        <v>63460</v>
      </c>
      <c r="V308" t="s">
        <v>38</v>
      </c>
      <c r="W308" t="s">
        <v>313</v>
      </c>
      <c r="X308">
        <v>13</v>
      </c>
      <c r="Y308">
        <v>0</v>
      </c>
      <c r="Z308" t="s">
        <v>46</v>
      </c>
      <c r="AA308">
        <v>63584</v>
      </c>
      <c r="AB308" t="s">
        <v>736</v>
      </c>
      <c r="AC308" t="s">
        <v>103</v>
      </c>
      <c r="AD308" t="s">
        <v>38</v>
      </c>
      <c r="AE308" t="s">
        <v>49</v>
      </c>
      <c r="AF308" t="s">
        <v>50</v>
      </c>
      <c r="AG308">
        <v>0</v>
      </c>
      <c r="AH308">
        <v>0</v>
      </c>
      <c r="AI308" t="s">
        <v>51</v>
      </c>
      <c r="AJ308" t="s">
        <v>51</v>
      </c>
      <c r="AK308" t="s">
        <v>51</v>
      </c>
    </row>
    <row r="309" spans="1:37" x14ac:dyDescent="0.2">
      <c r="A309">
        <v>63458</v>
      </c>
      <c r="B309" t="s">
        <v>37</v>
      </c>
      <c r="C309" t="s">
        <v>38</v>
      </c>
      <c r="D309" t="s">
        <v>674</v>
      </c>
      <c r="E309" t="s">
        <v>40</v>
      </c>
      <c r="G309" s="4">
        <v>43948.510324074074</v>
      </c>
      <c r="H309" s="4">
        <v>43948.511030092593</v>
      </c>
      <c r="I309" t="s">
        <v>675</v>
      </c>
      <c r="J309" s="5">
        <v>61.00000000000000000000000000000000000004</v>
      </c>
      <c r="K309" t="s">
        <v>38</v>
      </c>
      <c r="M309">
        <v>63459</v>
      </c>
      <c r="N309" t="s">
        <v>705</v>
      </c>
      <c r="O309" t="s">
        <v>706</v>
      </c>
      <c r="P309" t="s">
        <v>38</v>
      </c>
      <c r="Q309" t="s">
        <v>313</v>
      </c>
      <c r="R309">
        <v>13</v>
      </c>
      <c r="S309" t="s">
        <v>45</v>
      </c>
      <c r="T30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09">
        <v>63460</v>
      </c>
      <c r="V309" t="s">
        <v>38</v>
      </c>
      <c r="W309" t="s">
        <v>313</v>
      </c>
      <c r="X309">
        <v>13</v>
      </c>
      <c r="Y309">
        <v>0</v>
      </c>
      <c r="Z309" t="s">
        <v>46</v>
      </c>
      <c r="AA309">
        <v>63583</v>
      </c>
      <c r="AB309" t="s">
        <v>737</v>
      </c>
      <c r="AC309" t="s">
        <v>103</v>
      </c>
      <c r="AD309" t="s">
        <v>38</v>
      </c>
      <c r="AE309" t="s">
        <v>49</v>
      </c>
      <c r="AF309" t="s">
        <v>50</v>
      </c>
      <c r="AG309">
        <v>0</v>
      </c>
      <c r="AH309">
        <v>0</v>
      </c>
      <c r="AI309" t="s">
        <v>51</v>
      </c>
      <c r="AJ309" t="s">
        <v>51</v>
      </c>
      <c r="AK309" t="s">
        <v>51</v>
      </c>
    </row>
    <row r="310" spans="1:37" x14ac:dyDescent="0.2">
      <c r="A310">
        <v>63458</v>
      </c>
      <c r="B310" t="s">
        <v>37</v>
      </c>
      <c r="C310" t="s">
        <v>38</v>
      </c>
      <c r="D310" t="s">
        <v>674</v>
      </c>
      <c r="E310" t="s">
        <v>40</v>
      </c>
      <c r="G310" s="4">
        <v>43948.510324074074</v>
      </c>
      <c r="H310" s="4">
        <v>43948.511030092593</v>
      </c>
      <c r="I310" t="s">
        <v>675</v>
      </c>
      <c r="J310" s="5">
        <v>61.00000000000000000000000000000000000004</v>
      </c>
      <c r="K310" t="s">
        <v>38</v>
      </c>
      <c r="M310">
        <v>63459</v>
      </c>
      <c r="N310" t="s">
        <v>705</v>
      </c>
      <c r="O310" t="s">
        <v>706</v>
      </c>
      <c r="P310" t="s">
        <v>38</v>
      </c>
      <c r="Q310" t="s">
        <v>313</v>
      </c>
      <c r="R310">
        <v>13</v>
      </c>
      <c r="S310" t="s">
        <v>45</v>
      </c>
      <c r="T31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0">
        <v>63460</v>
      </c>
      <c r="V310" t="s">
        <v>38</v>
      </c>
      <c r="W310" t="s">
        <v>313</v>
      </c>
      <c r="X310">
        <v>13</v>
      </c>
      <c r="Y310">
        <v>0</v>
      </c>
      <c r="Z310" t="s">
        <v>46</v>
      </c>
      <c r="AA310">
        <v>63582</v>
      </c>
      <c r="AB310" t="s">
        <v>738</v>
      </c>
      <c r="AC310" t="s">
        <v>103</v>
      </c>
      <c r="AD310" t="s">
        <v>38</v>
      </c>
      <c r="AE310" t="s">
        <v>49</v>
      </c>
      <c r="AF310" t="s">
        <v>50</v>
      </c>
      <c r="AG310">
        <v>0</v>
      </c>
      <c r="AH310">
        <v>0</v>
      </c>
      <c r="AI310" t="s">
        <v>51</v>
      </c>
      <c r="AJ310" t="s">
        <v>51</v>
      </c>
      <c r="AK310" t="s">
        <v>51</v>
      </c>
    </row>
    <row r="311" spans="1:37" x14ac:dyDescent="0.2">
      <c r="A311">
        <v>63458</v>
      </c>
      <c r="B311" t="s">
        <v>37</v>
      </c>
      <c r="C311" t="s">
        <v>38</v>
      </c>
      <c r="D311" t="s">
        <v>674</v>
      </c>
      <c r="E311" t="s">
        <v>40</v>
      </c>
      <c r="G311" s="4">
        <v>43948.510324074074</v>
      </c>
      <c r="H311" s="4">
        <v>43948.511030092593</v>
      </c>
      <c r="I311" t="s">
        <v>675</v>
      </c>
      <c r="J311" s="5">
        <v>61.00000000000000000000000000000000000004</v>
      </c>
      <c r="K311" t="s">
        <v>38</v>
      </c>
      <c r="M311">
        <v>63459</v>
      </c>
      <c r="N311" t="s">
        <v>705</v>
      </c>
      <c r="O311" t="s">
        <v>706</v>
      </c>
      <c r="P311" t="s">
        <v>38</v>
      </c>
      <c r="Q311" t="s">
        <v>313</v>
      </c>
      <c r="R311">
        <v>13</v>
      </c>
      <c r="S311" t="s">
        <v>45</v>
      </c>
      <c r="T31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1">
        <v>63460</v>
      </c>
      <c r="V311" t="s">
        <v>38</v>
      </c>
      <c r="W311" t="s">
        <v>313</v>
      </c>
      <c r="X311">
        <v>13</v>
      </c>
      <c r="Y311">
        <v>0</v>
      </c>
      <c r="Z311" t="s">
        <v>46</v>
      </c>
      <c r="AA311">
        <v>63581</v>
      </c>
      <c r="AB311" t="s">
        <v>739</v>
      </c>
      <c r="AC311" t="s">
        <v>103</v>
      </c>
      <c r="AD311" t="s">
        <v>38</v>
      </c>
      <c r="AE311" t="s">
        <v>49</v>
      </c>
      <c r="AF311" t="s">
        <v>50</v>
      </c>
      <c r="AG311">
        <v>0</v>
      </c>
      <c r="AH311">
        <v>0</v>
      </c>
      <c r="AI311" t="s">
        <v>51</v>
      </c>
      <c r="AJ311" t="s">
        <v>51</v>
      </c>
      <c r="AK311" t="s">
        <v>51</v>
      </c>
    </row>
    <row r="312" spans="1:37" x14ac:dyDescent="0.2">
      <c r="A312">
        <v>63458</v>
      </c>
      <c r="B312" t="s">
        <v>37</v>
      </c>
      <c r="C312" t="s">
        <v>38</v>
      </c>
      <c r="D312" t="s">
        <v>674</v>
      </c>
      <c r="E312" t="s">
        <v>40</v>
      </c>
      <c r="G312" s="4">
        <v>43948.510324074074</v>
      </c>
      <c r="H312" s="4">
        <v>43948.511030092593</v>
      </c>
      <c r="I312" t="s">
        <v>675</v>
      </c>
      <c r="J312" s="5">
        <v>61.00000000000000000000000000000000000004</v>
      </c>
      <c r="K312" t="s">
        <v>38</v>
      </c>
      <c r="M312">
        <v>63459</v>
      </c>
      <c r="N312" t="s">
        <v>705</v>
      </c>
      <c r="O312" t="s">
        <v>706</v>
      </c>
      <c r="P312" t="s">
        <v>38</v>
      </c>
      <c r="Q312" t="s">
        <v>313</v>
      </c>
      <c r="R312">
        <v>13</v>
      </c>
      <c r="S312" t="s">
        <v>45</v>
      </c>
      <c r="T31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2">
        <v>63460</v>
      </c>
      <c r="V312" t="s">
        <v>38</v>
      </c>
      <c r="W312" t="s">
        <v>313</v>
      </c>
      <c r="X312">
        <v>13</v>
      </c>
      <c r="Y312">
        <v>0</v>
      </c>
      <c r="Z312" t="s">
        <v>46</v>
      </c>
      <c r="AA312">
        <v>63580</v>
      </c>
      <c r="AB312" t="s">
        <v>740</v>
      </c>
      <c r="AC312" t="s">
        <v>103</v>
      </c>
      <c r="AD312" t="s">
        <v>38</v>
      </c>
      <c r="AE312" t="s">
        <v>49</v>
      </c>
      <c r="AF312" t="s">
        <v>50</v>
      </c>
      <c r="AG312">
        <v>0</v>
      </c>
      <c r="AH312">
        <v>0</v>
      </c>
      <c r="AI312" t="s">
        <v>51</v>
      </c>
      <c r="AJ312" t="s">
        <v>51</v>
      </c>
      <c r="AK312" t="s">
        <v>51</v>
      </c>
    </row>
    <row r="313" spans="1:37" x14ac:dyDescent="0.2">
      <c r="A313">
        <v>63458</v>
      </c>
      <c r="B313" t="s">
        <v>37</v>
      </c>
      <c r="C313" t="s">
        <v>38</v>
      </c>
      <c r="D313" t="s">
        <v>674</v>
      </c>
      <c r="E313" t="s">
        <v>40</v>
      </c>
      <c r="G313" s="4">
        <v>43948.510324074074</v>
      </c>
      <c r="H313" s="4">
        <v>43948.511030092593</v>
      </c>
      <c r="I313" t="s">
        <v>675</v>
      </c>
      <c r="J313" s="5">
        <v>61.00000000000000000000000000000000000004</v>
      </c>
      <c r="K313" t="s">
        <v>38</v>
      </c>
      <c r="M313">
        <v>63459</v>
      </c>
      <c r="N313" t="s">
        <v>705</v>
      </c>
      <c r="O313" t="s">
        <v>706</v>
      </c>
      <c r="P313" t="s">
        <v>38</v>
      </c>
      <c r="Q313" t="s">
        <v>313</v>
      </c>
      <c r="R313">
        <v>13</v>
      </c>
      <c r="S313" t="s">
        <v>45</v>
      </c>
      <c r="T31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3">
        <v>63460</v>
      </c>
      <c r="V313" t="s">
        <v>38</v>
      </c>
      <c r="W313" t="s">
        <v>313</v>
      </c>
      <c r="X313">
        <v>13</v>
      </c>
      <c r="Y313">
        <v>0</v>
      </c>
      <c r="Z313" t="s">
        <v>46</v>
      </c>
      <c r="AA313">
        <v>63579</v>
      </c>
      <c r="AB313" t="s">
        <v>741</v>
      </c>
      <c r="AC313" t="s">
        <v>103</v>
      </c>
      <c r="AD313" t="s">
        <v>38</v>
      </c>
      <c r="AE313" t="s">
        <v>49</v>
      </c>
      <c r="AF313" t="s">
        <v>50</v>
      </c>
      <c r="AG313">
        <v>0</v>
      </c>
      <c r="AH313">
        <v>0</v>
      </c>
      <c r="AI313" t="s">
        <v>51</v>
      </c>
      <c r="AJ313" t="s">
        <v>51</v>
      </c>
      <c r="AK313" t="s">
        <v>51</v>
      </c>
    </row>
    <row r="314" spans="1:37" x14ac:dyDescent="0.2">
      <c r="A314">
        <v>63458</v>
      </c>
      <c r="B314" t="s">
        <v>37</v>
      </c>
      <c r="C314" t="s">
        <v>38</v>
      </c>
      <c r="D314" t="s">
        <v>674</v>
      </c>
      <c r="E314" t="s">
        <v>40</v>
      </c>
      <c r="G314" s="4">
        <v>43948.510324074074</v>
      </c>
      <c r="H314" s="4">
        <v>43948.511030092593</v>
      </c>
      <c r="I314" t="s">
        <v>675</v>
      </c>
      <c r="J314" s="5">
        <v>61.00000000000000000000000000000000000004</v>
      </c>
      <c r="K314" t="s">
        <v>38</v>
      </c>
      <c r="M314">
        <v>63459</v>
      </c>
      <c r="N314" t="s">
        <v>705</v>
      </c>
      <c r="O314" t="s">
        <v>706</v>
      </c>
      <c r="P314" t="s">
        <v>38</v>
      </c>
      <c r="Q314" t="s">
        <v>313</v>
      </c>
      <c r="R314">
        <v>13</v>
      </c>
      <c r="S314" t="s">
        <v>45</v>
      </c>
      <c r="T31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4">
        <v>63460</v>
      </c>
      <c r="V314" t="s">
        <v>38</v>
      </c>
      <c r="W314" t="s">
        <v>313</v>
      </c>
      <c r="X314">
        <v>13</v>
      </c>
      <c r="Y314">
        <v>0</v>
      </c>
      <c r="Z314" t="s">
        <v>46</v>
      </c>
      <c r="AA314">
        <v>63578</v>
      </c>
      <c r="AB314" t="s">
        <v>742</v>
      </c>
      <c r="AC314" t="s">
        <v>103</v>
      </c>
      <c r="AD314" t="s">
        <v>38</v>
      </c>
      <c r="AE314" t="s">
        <v>49</v>
      </c>
      <c r="AF314" t="s">
        <v>50</v>
      </c>
      <c r="AG314">
        <v>0</v>
      </c>
      <c r="AH314">
        <v>0</v>
      </c>
      <c r="AI314" t="s">
        <v>51</v>
      </c>
      <c r="AJ314" t="s">
        <v>51</v>
      </c>
      <c r="AK314" t="s">
        <v>51</v>
      </c>
    </row>
    <row r="315" spans="1:37" x14ac:dyDescent="0.2">
      <c r="A315">
        <v>63458</v>
      </c>
      <c r="B315" t="s">
        <v>37</v>
      </c>
      <c r="C315" t="s">
        <v>38</v>
      </c>
      <c r="D315" t="s">
        <v>674</v>
      </c>
      <c r="E315" t="s">
        <v>40</v>
      </c>
      <c r="G315" s="4">
        <v>43948.510324074074</v>
      </c>
      <c r="H315" s="4">
        <v>43948.511030092593</v>
      </c>
      <c r="I315" t="s">
        <v>675</v>
      </c>
      <c r="J315" s="5">
        <v>61.00000000000000000000000000000000000004</v>
      </c>
      <c r="K315" t="s">
        <v>38</v>
      </c>
      <c r="M315">
        <v>63459</v>
      </c>
      <c r="N315" t="s">
        <v>705</v>
      </c>
      <c r="O315" t="s">
        <v>706</v>
      </c>
      <c r="P315" t="s">
        <v>38</v>
      </c>
      <c r="Q315" t="s">
        <v>313</v>
      </c>
      <c r="R315">
        <v>13</v>
      </c>
      <c r="S315" t="s">
        <v>45</v>
      </c>
      <c r="T31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5">
        <v>63460</v>
      </c>
      <c r="V315" t="s">
        <v>38</v>
      </c>
      <c r="W315" t="s">
        <v>313</v>
      </c>
      <c r="X315">
        <v>13</v>
      </c>
      <c r="Y315">
        <v>0</v>
      </c>
      <c r="Z315" t="s">
        <v>46</v>
      </c>
      <c r="AA315">
        <v>63577</v>
      </c>
      <c r="AB315" t="s">
        <v>743</v>
      </c>
      <c r="AC315" t="s">
        <v>103</v>
      </c>
      <c r="AD315" t="s">
        <v>38</v>
      </c>
      <c r="AE315" t="s">
        <v>49</v>
      </c>
      <c r="AF315" t="s">
        <v>50</v>
      </c>
      <c r="AG315">
        <v>0</v>
      </c>
      <c r="AH315">
        <v>0</v>
      </c>
      <c r="AI315" t="s">
        <v>51</v>
      </c>
      <c r="AJ315" t="s">
        <v>51</v>
      </c>
      <c r="AK315" t="s">
        <v>51</v>
      </c>
    </row>
    <row r="316" spans="1:37" x14ac:dyDescent="0.2">
      <c r="A316">
        <v>63458</v>
      </c>
      <c r="B316" t="s">
        <v>37</v>
      </c>
      <c r="C316" t="s">
        <v>38</v>
      </c>
      <c r="D316" t="s">
        <v>674</v>
      </c>
      <c r="E316" t="s">
        <v>40</v>
      </c>
      <c r="G316" s="4">
        <v>43948.510324074074</v>
      </c>
      <c r="H316" s="4">
        <v>43948.511030092593</v>
      </c>
      <c r="I316" t="s">
        <v>675</v>
      </c>
      <c r="J316" s="5">
        <v>61.00000000000000000000000000000000000004</v>
      </c>
      <c r="K316" t="s">
        <v>38</v>
      </c>
      <c r="M316">
        <v>63459</v>
      </c>
      <c r="N316" t="s">
        <v>705</v>
      </c>
      <c r="O316" t="s">
        <v>706</v>
      </c>
      <c r="P316" t="s">
        <v>38</v>
      </c>
      <c r="Q316" t="s">
        <v>313</v>
      </c>
      <c r="R316">
        <v>13</v>
      </c>
      <c r="S316" t="s">
        <v>45</v>
      </c>
      <c r="T31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6">
        <v>63460</v>
      </c>
      <c r="V316" t="s">
        <v>38</v>
      </c>
      <c r="W316" t="s">
        <v>313</v>
      </c>
      <c r="X316">
        <v>13</v>
      </c>
      <c r="Y316">
        <v>0</v>
      </c>
      <c r="Z316" t="s">
        <v>46</v>
      </c>
      <c r="AA316">
        <v>63576</v>
      </c>
      <c r="AB316" t="s">
        <v>744</v>
      </c>
      <c r="AC316" t="s">
        <v>103</v>
      </c>
      <c r="AD316" t="s">
        <v>38</v>
      </c>
      <c r="AE316" t="s">
        <v>49</v>
      </c>
      <c r="AF316" t="s">
        <v>50</v>
      </c>
      <c r="AG316">
        <v>0</v>
      </c>
      <c r="AH316">
        <v>0</v>
      </c>
      <c r="AI316" t="s">
        <v>51</v>
      </c>
      <c r="AJ316" t="s">
        <v>51</v>
      </c>
      <c r="AK316" t="s">
        <v>51</v>
      </c>
    </row>
    <row r="317" spans="1:37" x14ac:dyDescent="0.2">
      <c r="A317">
        <v>63458</v>
      </c>
      <c r="B317" t="s">
        <v>37</v>
      </c>
      <c r="C317" t="s">
        <v>38</v>
      </c>
      <c r="D317" t="s">
        <v>674</v>
      </c>
      <c r="E317" t="s">
        <v>40</v>
      </c>
      <c r="G317" s="4">
        <v>43948.510324074074</v>
      </c>
      <c r="H317" s="4">
        <v>43948.511030092593</v>
      </c>
      <c r="I317" t="s">
        <v>675</v>
      </c>
      <c r="J317" s="5">
        <v>61.00000000000000000000000000000000000004</v>
      </c>
      <c r="K317" t="s">
        <v>38</v>
      </c>
      <c r="M317">
        <v>63459</v>
      </c>
      <c r="N317" t="s">
        <v>705</v>
      </c>
      <c r="O317" t="s">
        <v>706</v>
      </c>
      <c r="P317" t="s">
        <v>38</v>
      </c>
      <c r="Q317" t="s">
        <v>313</v>
      </c>
      <c r="R317">
        <v>13</v>
      </c>
      <c r="S317" t="s">
        <v>45</v>
      </c>
      <c r="T31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7">
        <v>63460</v>
      </c>
      <c r="V317" t="s">
        <v>38</v>
      </c>
      <c r="W317" t="s">
        <v>313</v>
      </c>
      <c r="X317">
        <v>13</v>
      </c>
      <c r="Y317">
        <v>0</v>
      </c>
      <c r="Z317" t="s">
        <v>46</v>
      </c>
      <c r="AA317">
        <v>63575</v>
      </c>
      <c r="AB317" t="s">
        <v>745</v>
      </c>
      <c r="AC317" t="s">
        <v>103</v>
      </c>
      <c r="AD317" t="s">
        <v>38</v>
      </c>
      <c r="AE317" t="s">
        <v>49</v>
      </c>
      <c r="AF317" t="s">
        <v>50</v>
      </c>
      <c r="AG317">
        <v>0</v>
      </c>
      <c r="AH317">
        <v>0</v>
      </c>
      <c r="AI317" t="s">
        <v>51</v>
      </c>
      <c r="AJ317" t="s">
        <v>51</v>
      </c>
      <c r="AK317" t="s">
        <v>51</v>
      </c>
    </row>
    <row r="318" spans="1:37" x14ac:dyDescent="0.2">
      <c r="A318">
        <v>63458</v>
      </c>
      <c r="B318" t="s">
        <v>37</v>
      </c>
      <c r="C318" t="s">
        <v>38</v>
      </c>
      <c r="D318" t="s">
        <v>674</v>
      </c>
      <c r="E318" t="s">
        <v>40</v>
      </c>
      <c r="G318" s="4">
        <v>43948.510324074074</v>
      </c>
      <c r="H318" s="4">
        <v>43948.511030092593</v>
      </c>
      <c r="I318" t="s">
        <v>675</v>
      </c>
      <c r="J318" s="5">
        <v>61.00000000000000000000000000000000000004</v>
      </c>
      <c r="K318" t="s">
        <v>38</v>
      </c>
      <c r="M318">
        <v>63459</v>
      </c>
      <c r="N318" t="s">
        <v>705</v>
      </c>
      <c r="O318" t="s">
        <v>706</v>
      </c>
      <c r="P318" t="s">
        <v>38</v>
      </c>
      <c r="Q318" t="s">
        <v>313</v>
      </c>
      <c r="R318">
        <v>13</v>
      </c>
      <c r="S318" t="s">
        <v>45</v>
      </c>
      <c r="T31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8">
        <v>63460</v>
      </c>
      <c r="V318" t="s">
        <v>38</v>
      </c>
      <c r="W318" t="s">
        <v>313</v>
      </c>
      <c r="X318">
        <v>13</v>
      </c>
      <c r="Y318">
        <v>0</v>
      </c>
      <c r="Z318" t="s">
        <v>46</v>
      </c>
      <c r="AA318">
        <v>63574</v>
      </c>
      <c r="AB318" t="s">
        <v>746</v>
      </c>
      <c r="AC318" t="s">
        <v>103</v>
      </c>
      <c r="AD318" t="s">
        <v>38</v>
      </c>
      <c r="AE318" t="s">
        <v>49</v>
      </c>
      <c r="AF318" t="s">
        <v>50</v>
      </c>
      <c r="AG318">
        <v>0</v>
      </c>
      <c r="AH318">
        <v>0</v>
      </c>
      <c r="AI318" t="s">
        <v>51</v>
      </c>
      <c r="AJ318" t="s">
        <v>51</v>
      </c>
      <c r="AK318" t="s">
        <v>51</v>
      </c>
    </row>
    <row r="319" spans="1:37" x14ac:dyDescent="0.2">
      <c r="A319">
        <v>63458</v>
      </c>
      <c r="B319" t="s">
        <v>37</v>
      </c>
      <c r="C319" t="s">
        <v>38</v>
      </c>
      <c r="D319" t="s">
        <v>674</v>
      </c>
      <c r="E319" t="s">
        <v>40</v>
      </c>
      <c r="G319" s="4">
        <v>43948.510324074074</v>
      </c>
      <c r="H319" s="4">
        <v>43948.511030092593</v>
      </c>
      <c r="I319" t="s">
        <v>675</v>
      </c>
      <c r="J319" s="5">
        <v>61.00000000000000000000000000000000000004</v>
      </c>
      <c r="K319" t="s">
        <v>38</v>
      </c>
      <c r="M319">
        <v>63459</v>
      </c>
      <c r="N319" t="s">
        <v>705</v>
      </c>
      <c r="O319" t="s">
        <v>706</v>
      </c>
      <c r="P319" t="s">
        <v>38</v>
      </c>
      <c r="Q319" t="s">
        <v>313</v>
      </c>
      <c r="R319">
        <v>13</v>
      </c>
      <c r="S319" t="s">
        <v>45</v>
      </c>
      <c r="T31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19">
        <v>63460</v>
      </c>
      <c r="V319" t="s">
        <v>38</v>
      </c>
      <c r="W319" t="s">
        <v>313</v>
      </c>
      <c r="X319">
        <v>13</v>
      </c>
      <c r="Y319">
        <v>0</v>
      </c>
      <c r="Z319" t="s">
        <v>46</v>
      </c>
      <c r="AA319">
        <v>63573</v>
      </c>
      <c r="AB319" t="s">
        <v>747</v>
      </c>
      <c r="AC319" t="s">
        <v>103</v>
      </c>
      <c r="AD319" t="s">
        <v>38</v>
      </c>
      <c r="AE319" t="s">
        <v>49</v>
      </c>
      <c r="AF319" t="s">
        <v>50</v>
      </c>
      <c r="AG319">
        <v>0</v>
      </c>
      <c r="AH319">
        <v>0</v>
      </c>
      <c r="AI319" t="s">
        <v>51</v>
      </c>
      <c r="AJ319" t="s">
        <v>51</v>
      </c>
      <c r="AK319" t="s">
        <v>51</v>
      </c>
    </row>
    <row r="320" spans="1:37" x14ac:dyDescent="0.2">
      <c r="A320">
        <v>63458</v>
      </c>
      <c r="B320" t="s">
        <v>37</v>
      </c>
      <c r="C320" t="s">
        <v>38</v>
      </c>
      <c r="D320" t="s">
        <v>674</v>
      </c>
      <c r="E320" t="s">
        <v>40</v>
      </c>
      <c r="G320" s="4">
        <v>43948.510324074074</v>
      </c>
      <c r="H320" s="4">
        <v>43948.511030092593</v>
      </c>
      <c r="I320" t="s">
        <v>675</v>
      </c>
      <c r="J320" s="5">
        <v>61.00000000000000000000000000000000000004</v>
      </c>
      <c r="K320" t="s">
        <v>38</v>
      </c>
      <c r="M320">
        <v>63459</v>
      </c>
      <c r="N320" t="s">
        <v>705</v>
      </c>
      <c r="O320" t="s">
        <v>706</v>
      </c>
      <c r="P320" t="s">
        <v>38</v>
      </c>
      <c r="Q320" t="s">
        <v>313</v>
      </c>
      <c r="R320">
        <v>13</v>
      </c>
      <c r="S320" t="s">
        <v>45</v>
      </c>
      <c r="T32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0">
        <v>63460</v>
      </c>
      <c r="V320" t="s">
        <v>38</v>
      </c>
      <c r="W320" t="s">
        <v>313</v>
      </c>
      <c r="X320">
        <v>13</v>
      </c>
      <c r="Y320">
        <v>0</v>
      </c>
      <c r="Z320" t="s">
        <v>46</v>
      </c>
      <c r="AA320">
        <v>63572</v>
      </c>
      <c r="AB320" t="s">
        <v>748</v>
      </c>
      <c r="AC320" t="s">
        <v>103</v>
      </c>
      <c r="AD320" t="s">
        <v>38</v>
      </c>
      <c r="AE320" t="s">
        <v>49</v>
      </c>
      <c r="AF320" t="s">
        <v>50</v>
      </c>
      <c r="AG320">
        <v>0</v>
      </c>
      <c r="AH320">
        <v>0</v>
      </c>
      <c r="AI320" t="s">
        <v>51</v>
      </c>
      <c r="AJ320" t="s">
        <v>51</v>
      </c>
      <c r="AK320" t="s">
        <v>51</v>
      </c>
    </row>
    <row r="321" spans="1:37" x14ac:dyDescent="0.2">
      <c r="A321">
        <v>63458</v>
      </c>
      <c r="B321" t="s">
        <v>37</v>
      </c>
      <c r="C321" t="s">
        <v>38</v>
      </c>
      <c r="D321" t="s">
        <v>674</v>
      </c>
      <c r="E321" t="s">
        <v>40</v>
      </c>
      <c r="G321" s="4">
        <v>43948.510324074074</v>
      </c>
      <c r="H321" s="4">
        <v>43948.511030092593</v>
      </c>
      <c r="I321" t="s">
        <v>675</v>
      </c>
      <c r="J321" s="5">
        <v>61.00000000000000000000000000000000000004</v>
      </c>
      <c r="K321" t="s">
        <v>38</v>
      </c>
      <c r="M321">
        <v>63459</v>
      </c>
      <c r="N321" t="s">
        <v>705</v>
      </c>
      <c r="O321" t="s">
        <v>706</v>
      </c>
      <c r="P321" t="s">
        <v>38</v>
      </c>
      <c r="Q321" t="s">
        <v>313</v>
      </c>
      <c r="R321">
        <v>13</v>
      </c>
      <c r="S321" t="s">
        <v>45</v>
      </c>
      <c r="T32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1">
        <v>63460</v>
      </c>
      <c r="V321" t="s">
        <v>38</v>
      </c>
      <c r="W321" t="s">
        <v>313</v>
      </c>
      <c r="X321">
        <v>13</v>
      </c>
      <c r="Y321">
        <v>0</v>
      </c>
      <c r="Z321" t="s">
        <v>46</v>
      </c>
      <c r="AA321">
        <v>63571</v>
      </c>
      <c r="AB321" t="s">
        <v>749</v>
      </c>
      <c r="AC321" t="s">
        <v>103</v>
      </c>
      <c r="AD321" t="s">
        <v>38</v>
      </c>
      <c r="AE321" t="s">
        <v>49</v>
      </c>
      <c r="AF321" t="s">
        <v>50</v>
      </c>
      <c r="AG321">
        <v>.9999999999999999999999999999999999999996</v>
      </c>
      <c r="AH321">
        <v>0</v>
      </c>
      <c r="AI321" t="s">
        <v>51</v>
      </c>
      <c r="AJ321" t="s">
        <v>51</v>
      </c>
      <c r="AK321" t="s">
        <v>51</v>
      </c>
    </row>
    <row r="322" spans="1:37" x14ac:dyDescent="0.2">
      <c r="A322">
        <v>63458</v>
      </c>
      <c r="B322" t="s">
        <v>37</v>
      </c>
      <c r="C322" t="s">
        <v>38</v>
      </c>
      <c r="D322" t="s">
        <v>674</v>
      </c>
      <c r="E322" t="s">
        <v>40</v>
      </c>
      <c r="G322" s="4">
        <v>43948.510324074074</v>
      </c>
      <c r="H322" s="4">
        <v>43948.511030092593</v>
      </c>
      <c r="I322" t="s">
        <v>675</v>
      </c>
      <c r="J322" s="5">
        <v>61.00000000000000000000000000000000000004</v>
      </c>
      <c r="K322" t="s">
        <v>38</v>
      </c>
      <c r="M322">
        <v>63459</v>
      </c>
      <c r="N322" t="s">
        <v>705</v>
      </c>
      <c r="O322" t="s">
        <v>706</v>
      </c>
      <c r="P322" t="s">
        <v>38</v>
      </c>
      <c r="Q322" t="s">
        <v>313</v>
      </c>
      <c r="R322">
        <v>13</v>
      </c>
      <c r="S322" t="s">
        <v>45</v>
      </c>
      <c r="T32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2">
        <v>63460</v>
      </c>
      <c r="V322" t="s">
        <v>38</v>
      </c>
      <c r="W322" t="s">
        <v>313</v>
      </c>
      <c r="X322">
        <v>13</v>
      </c>
      <c r="Y322">
        <v>0</v>
      </c>
      <c r="Z322" t="s">
        <v>46</v>
      </c>
      <c r="AA322">
        <v>63570</v>
      </c>
      <c r="AB322" t="s">
        <v>750</v>
      </c>
      <c r="AC322" t="s">
        <v>103</v>
      </c>
      <c r="AD322" t="s">
        <v>38</v>
      </c>
      <c r="AE322" t="s">
        <v>49</v>
      </c>
      <c r="AF322" t="s">
        <v>50</v>
      </c>
      <c r="AG322">
        <v>0</v>
      </c>
      <c r="AH322">
        <v>0</v>
      </c>
      <c r="AI322" t="s">
        <v>51</v>
      </c>
      <c r="AJ322" t="s">
        <v>51</v>
      </c>
      <c r="AK322" t="s">
        <v>51</v>
      </c>
    </row>
    <row r="323" spans="1:37" x14ac:dyDescent="0.2">
      <c r="A323">
        <v>63458</v>
      </c>
      <c r="B323" t="s">
        <v>37</v>
      </c>
      <c r="C323" t="s">
        <v>38</v>
      </c>
      <c r="D323" t="s">
        <v>674</v>
      </c>
      <c r="E323" t="s">
        <v>40</v>
      </c>
      <c r="G323" s="4">
        <v>43948.510324074074</v>
      </c>
      <c r="H323" s="4">
        <v>43948.511030092593</v>
      </c>
      <c r="I323" t="s">
        <v>675</v>
      </c>
      <c r="J323" s="5">
        <v>61.00000000000000000000000000000000000004</v>
      </c>
      <c r="K323" t="s">
        <v>38</v>
      </c>
      <c r="M323">
        <v>63459</v>
      </c>
      <c r="N323" t="s">
        <v>705</v>
      </c>
      <c r="O323" t="s">
        <v>706</v>
      </c>
      <c r="P323" t="s">
        <v>38</v>
      </c>
      <c r="Q323" t="s">
        <v>313</v>
      </c>
      <c r="R323">
        <v>13</v>
      </c>
      <c r="S323" t="s">
        <v>45</v>
      </c>
      <c r="T32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3">
        <v>63460</v>
      </c>
      <c r="V323" t="s">
        <v>38</v>
      </c>
      <c r="W323" t="s">
        <v>313</v>
      </c>
      <c r="X323">
        <v>13</v>
      </c>
      <c r="Y323">
        <v>0</v>
      </c>
      <c r="Z323" t="s">
        <v>46</v>
      </c>
      <c r="AA323">
        <v>63569</v>
      </c>
      <c r="AB323" t="s">
        <v>751</v>
      </c>
      <c r="AC323" t="s">
        <v>103</v>
      </c>
      <c r="AD323" t="s">
        <v>38</v>
      </c>
      <c r="AE323" t="s">
        <v>49</v>
      </c>
      <c r="AF323" t="s">
        <v>50</v>
      </c>
      <c r="AG323">
        <v>0</v>
      </c>
      <c r="AH323">
        <v>0</v>
      </c>
      <c r="AI323" t="s">
        <v>51</v>
      </c>
      <c r="AJ323" t="s">
        <v>51</v>
      </c>
      <c r="AK323" t="s">
        <v>51</v>
      </c>
    </row>
    <row r="324" spans="1:37" x14ac:dyDescent="0.2">
      <c r="A324">
        <v>63458</v>
      </c>
      <c r="B324" t="s">
        <v>37</v>
      </c>
      <c r="C324" t="s">
        <v>38</v>
      </c>
      <c r="D324" t="s">
        <v>674</v>
      </c>
      <c r="E324" t="s">
        <v>40</v>
      </c>
      <c r="G324" s="4">
        <v>43948.510324074074</v>
      </c>
      <c r="H324" s="4">
        <v>43948.511030092593</v>
      </c>
      <c r="I324" t="s">
        <v>675</v>
      </c>
      <c r="J324" s="5">
        <v>61.00000000000000000000000000000000000004</v>
      </c>
      <c r="K324" t="s">
        <v>38</v>
      </c>
      <c r="M324">
        <v>63459</v>
      </c>
      <c r="N324" t="s">
        <v>705</v>
      </c>
      <c r="O324" t="s">
        <v>706</v>
      </c>
      <c r="P324" t="s">
        <v>38</v>
      </c>
      <c r="Q324" t="s">
        <v>313</v>
      </c>
      <c r="R324">
        <v>13</v>
      </c>
      <c r="S324" t="s">
        <v>45</v>
      </c>
      <c r="T32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4">
        <v>63460</v>
      </c>
      <c r="V324" t="s">
        <v>38</v>
      </c>
      <c r="W324" t="s">
        <v>313</v>
      </c>
      <c r="X324">
        <v>13</v>
      </c>
      <c r="Y324">
        <v>0</v>
      </c>
      <c r="Z324" t="s">
        <v>46</v>
      </c>
      <c r="AA324">
        <v>63568</v>
      </c>
      <c r="AB324" t="s">
        <v>752</v>
      </c>
      <c r="AC324" t="s">
        <v>103</v>
      </c>
      <c r="AD324" t="s">
        <v>38</v>
      </c>
      <c r="AE324" t="s">
        <v>49</v>
      </c>
      <c r="AF324" t="s">
        <v>50</v>
      </c>
      <c r="AG324">
        <v>0</v>
      </c>
      <c r="AH324">
        <v>0</v>
      </c>
      <c r="AI324" t="s">
        <v>51</v>
      </c>
      <c r="AJ324" t="s">
        <v>51</v>
      </c>
      <c r="AK324" t="s">
        <v>51</v>
      </c>
    </row>
    <row r="325" spans="1:37" x14ac:dyDescent="0.2">
      <c r="A325">
        <v>63458</v>
      </c>
      <c r="B325" t="s">
        <v>37</v>
      </c>
      <c r="C325" t="s">
        <v>38</v>
      </c>
      <c r="D325" t="s">
        <v>674</v>
      </c>
      <c r="E325" t="s">
        <v>40</v>
      </c>
      <c r="G325" s="4">
        <v>43948.510324074074</v>
      </c>
      <c r="H325" s="4">
        <v>43948.511030092593</v>
      </c>
      <c r="I325" t="s">
        <v>675</v>
      </c>
      <c r="J325" s="5">
        <v>61.00000000000000000000000000000000000004</v>
      </c>
      <c r="K325" t="s">
        <v>38</v>
      </c>
      <c r="M325">
        <v>63459</v>
      </c>
      <c r="N325" t="s">
        <v>705</v>
      </c>
      <c r="O325" t="s">
        <v>706</v>
      </c>
      <c r="P325" t="s">
        <v>38</v>
      </c>
      <c r="Q325" t="s">
        <v>313</v>
      </c>
      <c r="R325">
        <v>13</v>
      </c>
      <c r="S325" t="s">
        <v>45</v>
      </c>
      <c r="T32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5">
        <v>63460</v>
      </c>
      <c r="V325" t="s">
        <v>38</v>
      </c>
      <c r="W325" t="s">
        <v>313</v>
      </c>
      <c r="X325">
        <v>13</v>
      </c>
      <c r="Y325">
        <v>0</v>
      </c>
      <c r="Z325" t="s">
        <v>46</v>
      </c>
      <c r="AA325">
        <v>63567</v>
      </c>
      <c r="AB325" t="s">
        <v>753</v>
      </c>
      <c r="AC325" t="s">
        <v>103</v>
      </c>
      <c r="AD325" t="s">
        <v>38</v>
      </c>
      <c r="AE325" t="s">
        <v>49</v>
      </c>
      <c r="AF325" t="s">
        <v>50</v>
      </c>
      <c r="AG325">
        <v>0</v>
      </c>
      <c r="AH325">
        <v>0</v>
      </c>
      <c r="AI325" t="s">
        <v>51</v>
      </c>
      <c r="AJ325" t="s">
        <v>51</v>
      </c>
      <c r="AK325" t="s">
        <v>51</v>
      </c>
    </row>
    <row r="326" spans="1:37" x14ac:dyDescent="0.2">
      <c r="A326">
        <v>63458</v>
      </c>
      <c r="B326" t="s">
        <v>37</v>
      </c>
      <c r="C326" t="s">
        <v>38</v>
      </c>
      <c r="D326" t="s">
        <v>674</v>
      </c>
      <c r="E326" t="s">
        <v>40</v>
      </c>
      <c r="G326" s="4">
        <v>43948.510324074074</v>
      </c>
      <c r="H326" s="4">
        <v>43948.511030092593</v>
      </c>
      <c r="I326" t="s">
        <v>675</v>
      </c>
      <c r="J326" s="5">
        <v>61.00000000000000000000000000000000000004</v>
      </c>
      <c r="K326" t="s">
        <v>38</v>
      </c>
      <c r="M326">
        <v>63459</v>
      </c>
      <c r="N326" t="s">
        <v>705</v>
      </c>
      <c r="O326" t="s">
        <v>706</v>
      </c>
      <c r="P326" t="s">
        <v>38</v>
      </c>
      <c r="Q326" t="s">
        <v>313</v>
      </c>
      <c r="R326">
        <v>13</v>
      </c>
      <c r="S326" t="s">
        <v>45</v>
      </c>
      <c r="T32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6">
        <v>63460</v>
      </c>
      <c r="V326" t="s">
        <v>38</v>
      </c>
      <c r="W326" t="s">
        <v>313</v>
      </c>
      <c r="X326">
        <v>13</v>
      </c>
      <c r="Y326">
        <v>0</v>
      </c>
      <c r="Z326" t="s">
        <v>46</v>
      </c>
      <c r="AA326">
        <v>63566</v>
      </c>
      <c r="AB326" t="s">
        <v>754</v>
      </c>
      <c r="AC326" t="s">
        <v>103</v>
      </c>
      <c r="AD326" t="s">
        <v>38</v>
      </c>
      <c r="AE326" t="s">
        <v>49</v>
      </c>
      <c r="AF326" t="s">
        <v>50</v>
      </c>
      <c r="AG326">
        <v>0</v>
      </c>
      <c r="AH326">
        <v>0</v>
      </c>
      <c r="AI326" t="s">
        <v>51</v>
      </c>
      <c r="AJ326" t="s">
        <v>51</v>
      </c>
      <c r="AK326" t="s">
        <v>51</v>
      </c>
    </row>
    <row r="327" spans="1:37" x14ac:dyDescent="0.2">
      <c r="A327">
        <v>63458</v>
      </c>
      <c r="B327" t="s">
        <v>37</v>
      </c>
      <c r="C327" t="s">
        <v>38</v>
      </c>
      <c r="D327" t="s">
        <v>674</v>
      </c>
      <c r="E327" t="s">
        <v>40</v>
      </c>
      <c r="G327" s="4">
        <v>43948.510324074074</v>
      </c>
      <c r="H327" s="4">
        <v>43948.511030092593</v>
      </c>
      <c r="I327" t="s">
        <v>675</v>
      </c>
      <c r="J327" s="5">
        <v>61.00000000000000000000000000000000000004</v>
      </c>
      <c r="K327" t="s">
        <v>38</v>
      </c>
      <c r="M327">
        <v>63459</v>
      </c>
      <c r="N327" t="s">
        <v>705</v>
      </c>
      <c r="O327" t="s">
        <v>706</v>
      </c>
      <c r="P327" t="s">
        <v>38</v>
      </c>
      <c r="Q327" t="s">
        <v>313</v>
      </c>
      <c r="R327">
        <v>13</v>
      </c>
      <c r="S327" t="s">
        <v>45</v>
      </c>
      <c r="T32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7">
        <v>63460</v>
      </c>
      <c r="V327" t="s">
        <v>38</v>
      </c>
      <c r="W327" t="s">
        <v>313</v>
      </c>
      <c r="X327">
        <v>13</v>
      </c>
      <c r="Y327">
        <v>0</v>
      </c>
      <c r="Z327" t="s">
        <v>46</v>
      </c>
      <c r="AA327">
        <v>63565</v>
      </c>
      <c r="AB327" t="s">
        <v>755</v>
      </c>
      <c r="AC327" t="s">
        <v>103</v>
      </c>
      <c r="AD327" t="s">
        <v>38</v>
      </c>
      <c r="AE327" t="s">
        <v>49</v>
      </c>
      <c r="AF327" t="s">
        <v>50</v>
      </c>
      <c r="AG327">
        <v>0</v>
      </c>
      <c r="AH327">
        <v>0</v>
      </c>
      <c r="AI327" t="s">
        <v>51</v>
      </c>
      <c r="AJ327" t="s">
        <v>51</v>
      </c>
      <c r="AK327" t="s">
        <v>51</v>
      </c>
    </row>
    <row r="328" spans="1:37" x14ac:dyDescent="0.2">
      <c r="A328">
        <v>63458</v>
      </c>
      <c r="B328" t="s">
        <v>37</v>
      </c>
      <c r="C328" t="s">
        <v>38</v>
      </c>
      <c r="D328" t="s">
        <v>674</v>
      </c>
      <c r="E328" t="s">
        <v>40</v>
      </c>
      <c r="G328" s="4">
        <v>43948.510324074074</v>
      </c>
      <c r="H328" s="4">
        <v>43948.511030092593</v>
      </c>
      <c r="I328" t="s">
        <v>675</v>
      </c>
      <c r="J328" s="5">
        <v>61.00000000000000000000000000000000000004</v>
      </c>
      <c r="K328" t="s">
        <v>38</v>
      </c>
      <c r="M328">
        <v>63459</v>
      </c>
      <c r="N328" t="s">
        <v>705</v>
      </c>
      <c r="O328" t="s">
        <v>706</v>
      </c>
      <c r="P328" t="s">
        <v>38</v>
      </c>
      <c r="Q328" t="s">
        <v>313</v>
      </c>
      <c r="R328">
        <v>13</v>
      </c>
      <c r="S328" t="s">
        <v>45</v>
      </c>
      <c r="T32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8">
        <v>63460</v>
      </c>
      <c r="V328" t="s">
        <v>38</v>
      </c>
      <c r="W328" t="s">
        <v>313</v>
      </c>
      <c r="X328">
        <v>13</v>
      </c>
      <c r="Y328">
        <v>0</v>
      </c>
      <c r="Z328" t="s">
        <v>46</v>
      </c>
      <c r="AA328">
        <v>63564</v>
      </c>
      <c r="AB328" t="s">
        <v>756</v>
      </c>
      <c r="AC328" t="s">
        <v>103</v>
      </c>
      <c r="AD328" t="s">
        <v>38</v>
      </c>
      <c r="AE328" t="s">
        <v>49</v>
      </c>
      <c r="AF328" t="s">
        <v>50</v>
      </c>
      <c r="AG328">
        <v>0</v>
      </c>
      <c r="AH328">
        <v>0</v>
      </c>
      <c r="AI328" t="s">
        <v>51</v>
      </c>
      <c r="AJ328" t="s">
        <v>51</v>
      </c>
      <c r="AK328" t="s">
        <v>51</v>
      </c>
    </row>
    <row r="329" spans="1:37" x14ac:dyDescent="0.2">
      <c r="A329">
        <v>63458</v>
      </c>
      <c r="B329" t="s">
        <v>37</v>
      </c>
      <c r="C329" t="s">
        <v>38</v>
      </c>
      <c r="D329" t="s">
        <v>674</v>
      </c>
      <c r="E329" t="s">
        <v>40</v>
      </c>
      <c r="G329" s="4">
        <v>43948.510324074074</v>
      </c>
      <c r="H329" s="4">
        <v>43948.511030092593</v>
      </c>
      <c r="I329" t="s">
        <v>675</v>
      </c>
      <c r="J329" s="5">
        <v>61.00000000000000000000000000000000000004</v>
      </c>
      <c r="K329" t="s">
        <v>38</v>
      </c>
      <c r="M329">
        <v>63459</v>
      </c>
      <c r="N329" t="s">
        <v>705</v>
      </c>
      <c r="O329" t="s">
        <v>706</v>
      </c>
      <c r="P329" t="s">
        <v>38</v>
      </c>
      <c r="Q329" t="s">
        <v>313</v>
      </c>
      <c r="R329">
        <v>13</v>
      </c>
      <c r="S329" t="s">
        <v>45</v>
      </c>
      <c r="T32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29">
        <v>63460</v>
      </c>
      <c r="V329" t="s">
        <v>38</v>
      </c>
      <c r="W329" t="s">
        <v>313</v>
      </c>
      <c r="X329">
        <v>13</v>
      </c>
      <c r="Y329">
        <v>0</v>
      </c>
      <c r="Z329" t="s">
        <v>46</v>
      </c>
      <c r="AA329">
        <v>63563</v>
      </c>
      <c r="AB329" t="s">
        <v>757</v>
      </c>
      <c r="AC329" t="s">
        <v>103</v>
      </c>
      <c r="AD329" t="s">
        <v>38</v>
      </c>
      <c r="AE329" t="s">
        <v>49</v>
      </c>
      <c r="AF329" t="s">
        <v>50</v>
      </c>
      <c r="AG329">
        <v>0</v>
      </c>
      <c r="AH329">
        <v>0</v>
      </c>
      <c r="AI329" t="s">
        <v>51</v>
      </c>
      <c r="AJ329" t="s">
        <v>51</v>
      </c>
      <c r="AK329" t="s">
        <v>51</v>
      </c>
    </row>
    <row r="330" spans="1:37" x14ac:dyDescent="0.2">
      <c r="A330">
        <v>63458</v>
      </c>
      <c r="B330" t="s">
        <v>37</v>
      </c>
      <c r="C330" t="s">
        <v>38</v>
      </c>
      <c r="D330" t="s">
        <v>674</v>
      </c>
      <c r="E330" t="s">
        <v>40</v>
      </c>
      <c r="G330" s="4">
        <v>43948.510324074074</v>
      </c>
      <c r="H330" s="4">
        <v>43948.511030092593</v>
      </c>
      <c r="I330" t="s">
        <v>675</v>
      </c>
      <c r="J330" s="5">
        <v>61.00000000000000000000000000000000000004</v>
      </c>
      <c r="K330" t="s">
        <v>38</v>
      </c>
      <c r="M330">
        <v>63459</v>
      </c>
      <c r="N330" t="s">
        <v>705</v>
      </c>
      <c r="O330" t="s">
        <v>706</v>
      </c>
      <c r="P330" t="s">
        <v>38</v>
      </c>
      <c r="Q330" t="s">
        <v>313</v>
      </c>
      <c r="R330">
        <v>13</v>
      </c>
      <c r="S330" t="s">
        <v>45</v>
      </c>
      <c r="T33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0">
        <v>63460</v>
      </c>
      <c r="V330" t="s">
        <v>38</v>
      </c>
      <c r="W330" t="s">
        <v>313</v>
      </c>
      <c r="X330">
        <v>13</v>
      </c>
      <c r="Y330">
        <v>0</v>
      </c>
      <c r="Z330" t="s">
        <v>46</v>
      </c>
      <c r="AA330">
        <v>63562</v>
      </c>
      <c r="AB330" t="s">
        <v>758</v>
      </c>
      <c r="AC330" t="s">
        <v>103</v>
      </c>
      <c r="AD330" t="s">
        <v>38</v>
      </c>
      <c r="AE330" t="s">
        <v>49</v>
      </c>
      <c r="AF330" t="s">
        <v>50</v>
      </c>
      <c r="AG330">
        <v>0</v>
      </c>
      <c r="AH330">
        <v>0</v>
      </c>
      <c r="AI330" t="s">
        <v>51</v>
      </c>
      <c r="AJ330" t="s">
        <v>51</v>
      </c>
      <c r="AK330" t="s">
        <v>51</v>
      </c>
    </row>
    <row r="331" spans="1:37" x14ac:dyDescent="0.2">
      <c r="A331">
        <v>63458</v>
      </c>
      <c r="B331" t="s">
        <v>37</v>
      </c>
      <c r="C331" t="s">
        <v>38</v>
      </c>
      <c r="D331" t="s">
        <v>674</v>
      </c>
      <c r="E331" t="s">
        <v>40</v>
      </c>
      <c r="G331" s="4">
        <v>43948.510324074074</v>
      </c>
      <c r="H331" s="4">
        <v>43948.511030092593</v>
      </c>
      <c r="I331" t="s">
        <v>675</v>
      </c>
      <c r="J331" s="5">
        <v>61.00000000000000000000000000000000000004</v>
      </c>
      <c r="K331" t="s">
        <v>38</v>
      </c>
      <c r="M331">
        <v>63459</v>
      </c>
      <c r="N331" t="s">
        <v>705</v>
      </c>
      <c r="O331" t="s">
        <v>706</v>
      </c>
      <c r="P331" t="s">
        <v>38</v>
      </c>
      <c r="Q331" t="s">
        <v>313</v>
      </c>
      <c r="R331">
        <v>13</v>
      </c>
      <c r="S331" t="s">
        <v>45</v>
      </c>
      <c r="T33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1">
        <v>63460</v>
      </c>
      <c r="V331" t="s">
        <v>38</v>
      </c>
      <c r="W331" t="s">
        <v>313</v>
      </c>
      <c r="X331">
        <v>13</v>
      </c>
      <c r="Y331">
        <v>0</v>
      </c>
      <c r="Z331" t="s">
        <v>46</v>
      </c>
      <c r="AA331">
        <v>63561</v>
      </c>
      <c r="AB331" t="s">
        <v>759</v>
      </c>
      <c r="AC331" t="s">
        <v>103</v>
      </c>
      <c r="AD331" t="s">
        <v>38</v>
      </c>
      <c r="AE331" t="s">
        <v>49</v>
      </c>
      <c r="AF331" t="s">
        <v>50</v>
      </c>
      <c r="AG331">
        <v>0</v>
      </c>
      <c r="AH331">
        <v>0</v>
      </c>
      <c r="AI331" t="s">
        <v>51</v>
      </c>
      <c r="AJ331" t="s">
        <v>51</v>
      </c>
      <c r="AK331" t="s">
        <v>51</v>
      </c>
    </row>
    <row r="332" spans="1:37" x14ac:dyDescent="0.2">
      <c r="A332">
        <v>63458</v>
      </c>
      <c r="B332" t="s">
        <v>37</v>
      </c>
      <c r="C332" t="s">
        <v>38</v>
      </c>
      <c r="D332" t="s">
        <v>674</v>
      </c>
      <c r="E332" t="s">
        <v>40</v>
      </c>
      <c r="G332" s="4">
        <v>43948.510324074074</v>
      </c>
      <c r="H332" s="4">
        <v>43948.511030092593</v>
      </c>
      <c r="I332" t="s">
        <v>675</v>
      </c>
      <c r="J332" s="5">
        <v>61.00000000000000000000000000000000000004</v>
      </c>
      <c r="K332" t="s">
        <v>38</v>
      </c>
      <c r="M332">
        <v>63459</v>
      </c>
      <c r="N332" t="s">
        <v>705</v>
      </c>
      <c r="O332" t="s">
        <v>706</v>
      </c>
      <c r="P332" t="s">
        <v>38</v>
      </c>
      <c r="Q332" t="s">
        <v>313</v>
      </c>
      <c r="R332">
        <v>13</v>
      </c>
      <c r="S332" t="s">
        <v>45</v>
      </c>
      <c r="T33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2">
        <v>63460</v>
      </c>
      <c r="V332" t="s">
        <v>38</v>
      </c>
      <c r="W332" t="s">
        <v>313</v>
      </c>
      <c r="X332">
        <v>13</v>
      </c>
      <c r="Y332">
        <v>0</v>
      </c>
      <c r="Z332" t="s">
        <v>46</v>
      </c>
      <c r="AA332">
        <v>63560</v>
      </c>
      <c r="AB332" t="s">
        <v>760</v>
      </c>
      <c r="AC332" t="s">
        <v>103</v>
      </c>
      <c r="AD332" t="s">
        <v>38</v>
      </c>
      <c r="AE332" t="s">
        <v>49</v>
      </c>
      <c r="AF332" t="s">
        <v>50</v>
      </c>
      <c r="AG332">
        <v>0</v>
      </c>
      <c r="AH332">
        <v>0</v>
      </c>
      <c r="AI332" t="s">
        <v>51</v>
      </c>
      <c r="AJ332" t="s">
        <v>51</v>
      </c>
      <c r="AK332" t="s">
        <v>51</v>
      </c>
    </row>
    <row r="333" spans="1:37" x14ac:dyDescent="0.2">
      <c r="A333">
        <v>63458</v>
      </c>
      <c r="B333" t="s">
        <v>37</v>
      </c>
      <c r="C333" t="s">
        <v>38</v>
      </c>
      <c r="D333" t="s">
        <v>674</v>
      </c>
      <c r="E333" t="s">
        <v>40</v>
      </c>
      <c r="G333" s="4">
        <v>43948.510324074074</v>
      </c>
      <c r="H333" s="4">
        <v>43948.511030092593</v>
      </c>
      <c r="I333" t="s">
        <v>675</v>
      </c>
      <c r="J333" s="5">
        <v>61.00000000000000000000000000000000000004</v>
      </c>
      <c r="K333" t="s">
        <v>38</v>
      </c>
      <c r="M333">
        <v>63459</v>
      </c>
      <c r="N333" t="s">
        <v>705</v>
      </c>
      <c r="O333" t="s">
        <v>706</v>
      </c>
      <c r="P333" t="s">
        <v>38</v>
      </c>
      <c r="Q333" t="s">
        <v>313</v>
      </c>
      <c r="R333">
        <v>13</v>
      </c>
      <c r="S333" t="s">
        <v>45</v>
      </c>
      <c r="T33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3">
        <v>63460</v>
      </c>
      <c r="V333" t="s">
        <v>38</v>
      </c>
      <c r="W333" t="s">
        <v>313</v>
      </c>
      <c r="X333">
        <v>13</v>
      </c>
      <c r="Y333">
        <v>0</v>
      </c>
      <c r="Z333" t="s">
        <v>46</v>
      </c>
      <c r="AA333">
        <v>63559</v>
      </c>
      <c r="AB333" t="s">
        <v>761</v>
      </c>
      <c r="AC333" t="s">
        <v>103</v>
      </c>
      <c r="AD333" t="s">
        <v>38</v>
      </c>
      <c r="AE333" t="s">
        <v>49</v>
      </c>
      <c r="AF333" t="s">
        <v>50</v>
      </c>
      <c r="AG333">
        <v>0</v>
      </c>
      <c r="AH333">
        <v>0</v>
      </c>
      <c r="AI333" t="s">
        <v>51</v>
      </c>
      <c r="AJ333" t="s">
        <v>51</v>
      </c>
      <c r="AK333" t="s">
        <v>51</v>
      </c>
    </row>
    <row r="334" spans="1:37" x14ac:dyDescent="0.2">
      <c r="A334">
        <v>63458</v>
      </c>
      <c r="B334" t="s">
        <v>37</v>
      </c>
      <c r="C334" t="s">
        <v>38</v>
      </c>
      <c r="D334" t="s">
        <v>674</v>
      </c>
      <c r="E334" t="s">
        <v>40</v>
      </c>
      <c r="G334" s="4">
        <v>43948.510324074074</v>
      </c>
      <c r="H334" s="4">
        <v>43948.511030092593</v>
      </c>
      <c r="I334" t="s">
        <v>675</v>
      </c>
      <c r="J334" s="5">
        <v>61.00000000000000000000000000000000000004</v>
      </c>
      <c r="K334" t="s">
        <v>38</v>
      </c>
      <c r="M334">
        <v>63459</v>
      </c>
      <c r="N334" t="s">
        <v>705</v>
      </c>
      <c r="O334" t="s">
        <v>706</v>
      </c>
      <c r="P334" t="s">
        <v>38</v>
      </c>
      <c r="Q334" t="s">
        <v>313</v>
      </c>
      <c r="R334">
        <v>13</v>
      </c>
      <c r="S334" t="s">
        <v>45</v>
      </c>
      <c r="T33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4">
        <v>63460</v>
      </c>
      <c r="V334" t="s">
        <v>38</v>
      </c>
      <c r="W334" t="s">
        <v>313</v>
      </c>
      <c r="X334">
        <v>13</v>
      </c>
      <c r="Y334">
        <v>0</v>
      </c>
      <c r="Z334" t="s">
        <v>46</v>
      </c>
      <c r="AA334">
        <v>63558</v>
      </c>
      <c r="AB334" t="s">
        <v>762</v>
      </c>
      <c r="AC334" t="s">
        <v>103</v>
      </c>
      <c r="AD334" t="s">
        <v>38</v>
      </c>
      <c r="AE334" t="s">
        <v>49</v>
      </c>
      <c r="AF334" t="s">
        <v>50</v>
      </c>
      <c r="AG334">
        <v>0</v>
      </c>
      <c r="AH334">
        <v>0</v>
      </c>
      <c r="AI334" t="s">
        <v>51</v>
      </c>
      <c r="AJ334" t="s">
        <v>51</v>
      </c>
      <c r="AK334" t="s">
        <v>51</v>
      </c>
    </row>
    <row r="335" spans="1:37" x14ac:dyDescent="0.2">
      <c r="A335">
        <v>63458</v>
      </c>
      <c r="B335" t="s">
        <v>37</v>
      </c>
      <c r="C335" t="s">
        <v>38</v>
      </c>
      <c r="D335" t="s">
        <v>674</v>
      </c>
      <c r="E335" t="s">
        <v>40</v>
      </c>
      <c r="G335" s="4">
        <v>43948.510324074074</v>
      </c>
      <c r="H335" s="4">
        <v>43948.511030092593</v>
      </c>
      <c r="I335" t="s">
        <v>675</v>
      </c>
      <c r="J335" s="5">
        <v>61.00000000000000000000000000000000000004</v>
      </c>
      <c r="K335" t="s">
        <v>38</v>
      </c>
      <c r="M335">
        <v>63459</v>
      </c>
      <c r="N335" t="s">
        <v>705</v>
      </c>
      <c r="O335" t="s">
        <v>706</v>
      </c>
      <c r="P335" t="s">
        <v>38</v>
      </c>
      <c r="Q335" t="s">
        <v>313</v>
      </c>
      <c r="R335">
        <v>13</v>
      </c>
      <c r="S335" t="s">
        <v>45</v>
      </c>
      <c r="T33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5">
        <v>63460</v>
      </c>
      <c r="V335" t="s">
        <v>38</v>
      </c>
      <c r="W335" t="s">
        <v>313</v>
      </c>
      <c r="X335">
        <v>13</v>
      </c>
      <c r="Y335">
        <v>0</v>
      </c>
      <c r="Z335" t="s">
        <v>46</v>
      </c>
      <c r="AA335">
        <v>63557</v>
      </c>
      <c r="AB335" t="s">
        <v>763</v>
      </c>
      <c r="AC335" t="s">
        <v>103</v>
      </c>
      <c r="AD335" t="s">
        <v>38</v>
      </c>
      <c r="AE335" t="s">
        <v>49</v>
      </c>
      <c r="AF335" t="s">
        <v>50</v>
      </c>
      <c r="AG335">
        <v>0</v>
      </c>
      <c r="AH335">
        <v>0</v>
      </c>
      <c r="AI335" t="s">
        <v>51</v>
      </c>
      <c r="AJ335" t="s">
        <v>51</v>
      </c>
      <c r="AK335" t="s">
        <v>51</v>
      </c>
    </row>
    <row r="336" spans="1:37" x14ac:dyDescent="0.2">
      <c r="A336">
        <v>63458</v>
      </c>
      <c r="B336" t="s">
        <v>37</v>
      </c>
      <c r="C336" t="s">
        <v>38</v>
      </c>
      <c r="D336" t="s">
        <v>674</v>
      </c>
      <c r="E336" t="s">
        <v>40</v>
      </c>
      <c r="G336" s="4">
        <v>43948.510324074074</v>
      </c>
      <c r="H336" s="4">
        <v>43948.511030092593</v>
      </c>
      <c r="I336" t="s">
        <v>675</v>
      </c>
      <c r="J336" s="5">
        <v>61.00000000000000000000000000000000000004</v>
      </c>
      <c r="K336" t="s">
        <v>38</v>
      </c>
      <c r="M336">
        <v>63459</v>
      </c>
      <c r="N336" t="s">
        <v>705</v>
      </c>
      <c r="O336" t="s">
        <v>706</v>
      </c>
      <c r="P336" t="s">
        <v>38</v>
      </c>
      <c r="Q336" t="s">
        <v>313</v>
      </c>
      <c r="R336">
        <v>13</v>
      </c>
      <c r="S336" t="s">
        <v>45</v>
      </c>
      <c r="T33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6">
        <v>63460</v>
      </c>
      <c r="V336" t="s">
        <v>38</v>
      </c>
      <c r="W336" t="s">
        <v>313</v>
      </c>
      <c r="X336">
        <v>13</v>
      </c>
      <c r="Y336">
        <v>0</v>
      </c>
      <c r="Z336" t="s">
        <v>46</v>
      </c>
      <c r="AA336">
        <v>63556</v>
      </c>
      <c r="AB336" t="s">
        <v>764</v>
      </c>
      <c r="AC336" t="s">
        <v>103</v>
      </c>
      <c r="AD336" t="s">
        <v>38</v>
      </c>
      <c r="AE336" t="s">
        <v>49</v>
      </c>
      <c r="AF336" t="s">
        <v>50</v>
      </c>
      <c r="AG336">
        <v>0</v>
      </c>
      <c r="AH336">
        <v>0</v>
      </c>
      <c r="AI336" t="s">
        <v>51</v>
      </c>
      <c r="AJ336" t="s">
        <v>51</v>
      </c>
      <c r="AK336" t="s">
        <v>51</v>
      </c>
    </row>
    <row r="337" spans="1:37" x14ac:dyDescent="0.2">
      <c r="A337">
        <v>63458</v>
      </c>
      <c r="B337" t="s">
        <v>37</v>
      </c>
      <c r="C337" t="s">
        <v>38</v>
      </c>
      <c r="D337" t="s">
        <v>674</v>
      </c>
      <c r="E337" t="s">
        <v>40</v>
      </c>
      <c r="G337" s="4">
        <v>43948.510324074074</v>
      </c>
      <c r="H337" s="4">
        <v>43948.511030092593</v>
      </c>
      <c r="I337" t="s">
        <v>675</v>
      </c>
      <c r="J337" s="5">
        <v>61.00000000000000000000000000000000000004</v>
      </c>
      <c r="K337" t="s">
        <v>38</v>
      </c>
      <c r="M337">
        <v>63459</v>
      </c>
      <c r="N337" t="s">
        <v>705</v>
      </c>
      <c r="O337" t="s">
        <v>706</v>
      </c>
      <c r="P337" t="s">
        <v>38</v>
      </c>
      <c r="Q337" t="s">
        <v>313</v>
      </c>
      <c r="R337">
        <v>13</v>
      </c>
      <c r="S337" t="s">
        <v>45</v>
      </c>
      <c r="T33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7">
        <v>63460</v>
      </c>
      <c r="V337" t="s">
        <v>38</v>
      </c>
      <c r="W337" t="s">
        <v>313</v>
      </c>
      <c r="X337">
        <v>13</v>
      </c>
      <c r="Y337">
        <v>0</v>
      </c>
      <c r="Z337" t="s">
        <v>46</v>
      </c>
      <c r="AA337">
        <v>63555</v>
      </c>
      <c r="AB337" t="s">
        <v>765</v>
      </c>
      <c r="AC337" t="s">
        <v>103</v>
      </c>
      <c r="AD337" t="s">
        <v>38</v>
      </c>
      <c r="AE337" t="s">
        <v>49</v>
      </c>
      <c r="AF337" t="s">
        <v>50</v>
      </c>
      <c r="AG337">
        <v>0</v>
      </c>
      <c r="AH337">
        <v>0</v>
      </c>
      <c r="AI337" t="s">
        <v>51</v>
      </c>
      <c r="AJ337" t="s">
        <v>51</v>
      </c>
      <c r="AK337" t="s">
        <v>51</v>
      </c>
    </row>
    <row r="338" spans="1:37" x14ac:dyDescent="0.2">
      <c r="A338">
        <v>63458</v>
      </c>
      <c r="B338" t="s">
        <v>37</v>
      </c>
      <c r="C338" t="s">
        <v>38</v>
      </c>
      <c r="D338" t="s">
        <v>674</v>
      </c>
      <c r="E338" t="s">
        <v>40</v>
      </c>
      <c r="G338" s="4">
        <v>43948.510324074074</v>
      </c>
      <c r="H338" s="4">
        <v>43948.511030092593</v>
      </c>
      <c r="I338" t="s">
        <v>675</v>
      </c>
      <c r="J338" s="5">
        <v>61.00000000000000000000000000000000000004</v>
      </c>
      <c r="K338" t="s">
        <v>38</v>
      </c>
      <c r="M338">
        <v>63459</v>
      </c>
      <c r="N338" t="s">
        <v>705</v>
      </c>
      <c r="O338" t="s">
        <v>706</v>
      </c>
      <c r="P338" t="s">
        <v>38</v>
      </c>
      <c r="Q338" t="s">
        <v>313</v>
      </c>
      <c r="R338">
        <v>13</v>
      </c>
      <c r="S338" t="s">
        <v>45</v>
      </c>
      <c r="T33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8">
        <v>63460</v>
      </c>
      <c r="V338" t="s">
        <v>38</v>
      </c>
      <c r="W338" t="s">
        <v>313</v>
      </c>
      <c r="X338">
        <v>13</v>
      </c>
      <c r="Y338">
        <v>0</v>
      </c>
      <c r="Z338" t="s">
        <v>46</v>
      </c>
      <c r="AA338">
        <v>63554</v>
      </c>
      <c r="AB338" t="s">
        <v>766</v>
      </c>
      <c r="AC338" t="s">
        <v>103</v>
      </c>
      <c r="AD338" t="s">
        <v>38</v>
      </c>
      <c r="AE338" t="s">
        <v>49</v>
      </c>
      <c r="AF338" t="s">
        <v>50</v>
      </c>
      <c r="AG338">
        <v>0</v>
      </c>
      <c r="AH338">
        <v>0</v>
      </c>
      <c r="AI338" t="s">
        <v>51</v>
      </c>
      <c r="AJ338" t="s">
        <v>51</v>
      </c>
      <c r="AK338" t="s">
        <v>51</v>
      </c>
    </row>
    <row r="339" spans="1:37" x14ac:dyDescent="0.2">
      <c r="A339">
        <v>63458</v>
      </c>
      <c r="B339" t="s">
        <v>37</v>
      </c>
      <c r="C339" t="s">
        <v>38</v>
      </c>
      <c r="D339" t="s">
        <v>674</v>
      </c>
      <c r="E339" t="s">
        <v>40</v>
      </c>
      <c r="G339" s="4">
        <v>43948.510324074074</v>
      </c>
      <c r="H339" s="4">
        <v>43948.511030092593</v>
      </c>
      <c r="I339" t="s">
        <v>675</v>
      </c>
      <c r="J339" s="5">
        <v>61.00000000000000000000000000000000000004</v>
      </c>
      <c r="K339" t="s">
        <v>38</v>
      </c>
      <c r="M339">
        <v>63459</v>
      </c>
      <c r="N339" t="s">
        <v>705</v>
      </c>
      <c r="O339" t="s">
        <v>706</v>
      </c>
      <c r="P339" t="s">
        <v>38</v>
      </c>
      <c r="Q339" t="s">
        <v>313</v>
      </c>
      <c r="R339">
        <v>13</v>
      </c>
      <c r="S339" t="s">
        <v>45</v>
      </c>
      <c r="T33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39">
        <v>63460</v>
      </c>
      <c r="V339" t="s">
        <v>38</v>
      </c>
      <c r="W339" t="s">
        <v>313</v>
      </c>
      <c r="X339">
        <v>13</v>
      </c>
      <c r="Y339">
        <v>0</v>
      </c>
      <c r="Z339" t="s">
        <v>46</v>
      </c>
      <c r="AA339">
        <v>63553</v>
      </c>
      <c r="AB339" t="s">
        <v>767</v>
      </c>
      <c r="AC339" t="s">
        <v>103</v>
      </c>
      <c r="AD339" t="s">
        <v>38</v>
      </c>
      <c r="AE339" t="s">
        <v>49</v>
      </c>
      <c r="AF339" t="s">
        <v>50</v>
      </c>
      <c r="AG339">
        <v>0</v>
      </c>
      <c r="AH339">
        <v>0</v>
      </c>
      <c r="AI339" t="s">
        <v>51</v>
      </c>
      <c r="AJ339" t="s">
        <v>51</v>
      </c>
      <c r="AK339" t="s">
        <v>51</v>
      </c>
    </row>
    <row r="340" spans="1:37" x14ac:dyDescent="0.2">
      <c r="A340">
        <v>63458</v>
      </c>
      <c r="B340" t="s">
        <v>37</v>
      </c>
      <c r="C340" t="s">
        <v>38</v>
      </c>
      <c r="D340" t="s">
        <v>674</v>
      </c>
      <c r="E340" t="s">
        <v>40</v>
      </c>
      <c r="G340" s="4">
        <v>43948.510324074074</v>
      </c>
      <c r="H340" s="4">
        <v>43948.511030092593</v>
      </c>
      <c r="I340" t="s">
        <v>675</v>
      </c>
      <c r="J340" s="5">
        <v>61.00000000000000000000000000000000000004</v>
      </c>
      <c r="K340" t="s">
        <v>38</v>
      </c>
      <c r="M340">
        <v>63459</v>
      </c>
      <c r="N340" t="s">
        <v>705</v>
      </c>
      <c r="O340" t="s">
        <v>706</v>
      </c>
      <c r="P340" t="s">
        <v>38</v>
      </c>
      <c r="Q340" t="s">
        <v>313</v>
      </c>
      <c r="R340">
        <v>13</v>
      </c>
      <c r="S340" t="s">
        <v>45</v>
      </c>
      <c r="T34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0">
        <v>63460</v>
      </c>
      <c r="V340" t="s">
        <v>38</v>
      </c>
      <c r="W340" t="s">
        <v>313</v>
      </c>
      <c r="X340">
        <v>13</v>
      </c>
      <c r="Y340">
        <v>0</v>
      </c>
      <c r="Z340" t="s">
        <v>46</v>
      </c>
      <c r="AA340">
        <v>63552</v>
      </c>
      <c r="AB340" t="s">
        <v>768</v>
      </c>
      <c r="AC340" t="s">
        <v>103</v>
      </c>
      <c r="AD340" t="s">
        <v>38</v>
      </c>
      <c r="AE340" t="s">
        <v>49</v>
      </c>
      <c r="AF340" t="s">
        <v>50</v>
      </c>
      <c r="AG340">
        <v>0</v>
      </c>
      <c r="AH340">
        <v>0</v>
      </c>
      <c r="AI340" t="s">
        <v>51</v>
      </c>
      <c r="AJ340" t="s">
        <v>51</v>
      </c>
      <c r="AK340" t="s">
        <v>51</v>
      </c>
    </row>
    <row r="341" spans="1:37" x14ac:dyDescent="0.2">
      <c r="A341">
        <v>63458</v>
      </c>
      <c r="B341" t="s">
        <v>37</v>
      </c>
      <c r="C341" t="s">
        <v>38</v>
      </c>
      <c r="D341" t="s">
        <v>674</v>
      </c>
      <c r="E341" t="s">
        <v>40</v>
      </c>
      <c r="G341" s="4">
        <v>43948.510324074074</v>
      </c>
      <c r="H341" s="4">
        <v>43948.511030092593</v>
      </c>
      <c r="I341" t="s">
        <v>675</v>
      </c>
      <c r="J341" s="5">
        <v>61.00000000000000000000000000000000000004</v>
      </c>
      <c r="K341" t="s">
        <v>38</v>
      </c>
      <c r="M341">
        <v>63459</v>
      </c>
      <c r="N341" t="s">
        <v>705</v>
      </c>
      <c r="O341" t="s">
        <v>706</v>
      </c>
      <c r="P341" t="s">
        <v>38</v>
      </c>
      <c r="Q341" t="s">
        <v>313</v>
      </c>
      <c r="R341">
        <v>13</v>
      </c>
      <c r="S341" t="s">
        <v>45</v>
      </c>
      <c r="T34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1">
        <v>63460</v>
      </c>
      <c r="V341" t="s">
        <v>38</v>
      </c>
      <c r="W341" t="s">
        <v>313</v>
      </c>
      <c r="X341">
        <v>13</v>
      </c>
      <c r="Y341">
        <v>0</v>
      </c>
      <c r="Z341" t="s">
        <v>46</v>
      </c>
      <c r="AA341">
        <v>63551</v>
      </c>
      <c r="AB341" t="s">
        <v>769</v>
      </c>
      <c r="AC341" t="s">
        <v>103</v>
      </c>
      <c r="AD341" t="s">
        <v>38</v>
      </c>
      <c r="AE341" t="s">
        <v>49</v>
      </c>
      <c r="AF341" t="s">
        <v>50</v>
      </c>
      <c r="AG341">
        <v>0</v>
      </c>
      <c r="AH341">
        <v>0</v>
      </c>
      <c r="AI341" t="s">
        <v>51</v>
      </c>
      <c r="AJ341" t="s">
        <v>51</v>
      </c>
      <c r="AK341" t="s">
        <v>51</v>
      </c>
    </row>
    <row r="342" spans="1:37" x14ac:dyDescent="0.2">
      <c r="A342">
        <v>63458</v>
      </c>
      <c r="B342" t="s">
        <v>37</v>
      </c>
      <c r="C342" t="s">
        <v>38</v>
      </c>
      <c r="D342" t="s">
        <v>674</v>
      </c>
      <c r="E342" t="s">
        <v>40</v>
      </c>
      <c r="G342" s="4">
        <v>43948.510324074074</v>
      </c>
      <c r="H342" s="4">
        <v>43948.511030092593</v>
      </c>
      <c r="I342" t="s">
        <v>675</v>
      </c>
      <c r="J342" s="5">
        <v>61.00000000000000000000000000000000000004</v>
      </c>
      <c r="K342" t="s">
        <v>38</v>
      </c>
      <c r="M342">
        <v>63459</v>
      </c>
      <c r="N342" t="s">
        <v>705</v>
      </c>
      <c r="O342" t="s">
        <v>706</v>
      </c>
      <c r="P342" t="s">
        <v>38</v>
      </c>
      <c r="Q342" t="s">
        <v>313</v>
      </c>
      <c r="R342">
        <v>13</v>
      </c>
      <c r="S342" t="s">
        <v>45</v>
      </c>
      <c r="T34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2">
        <v>63460</v>
      </c>
      <c r="V342" t="s">
        <v>38</v>
      </c>
      <c r="W342" t="s">
        <v>313</v>
      </c>
      <c r="X342">
        <v>13</v>
      </c>
      <c r="Y342">
        <v>0</v>
      </c>
      <c r="Z342" t="s">
        <v>46</v>
      </c>
      <c r="AA342">
        <v>63550</v>
      </c>
      <c r="AB342" t="s">
        <v>770</v>
      </c>
      <c r="AC342" t="s">
        <v>103</v>
      </c>
      <c r="AD342" t="s">
        <v>38</v>
      </c>
      <c r="AE342" t="s">
        <v>49</v>
      </c>
      <c r="AF342" t="s">
        <v>50</v>
      </c>
      <c r="AG342">
        <v>0</v>
      </c>
      <c r="AH342">
        <v>0</v>
      </c>
      <c r="AI342" t="s">
        <v>51</v>
      </c>
      <c r="AJ342" t="s">
        <v>51</v>
      </c>
      <c r="AK342" t="s">
        <v>51</v>
      </c>
    </row>
    <row r="343" spans="1:37" x14ac:dyDescent="0.2">
      <c r="A343">
        <v>63458</v>
      </c>
      <c r="B343" t="s">
        <v>37</v>
      </c>
      <c r="C343" t="s">
        <v>38</v>
      </c>
      <c r="D343" t="s">
        <v>674</v>
      </c>
      <c r="E343" t="s">
        <v>40</v>
      </c>
      <c r="G343" s="4">
        <v>43948.510324074074</v>
      </c>
      <c r="H343" s="4">
        <v>43948.511030092593</v>
      </c>
      <c r="I343" t="s">
        <v>675</v>
      </c>
      <c r="J343" s="5">
        <v>61.00000000000000000000000000000000000004</v>
      </c>
      <c r="K343" t="s">
        <v>38</v>
      </c>
      <c r="M343">
        <v>63459</v>
      </c>
      <c r="N343" t="s">
        <v>705</v>
      </c>
      <c r="O343" t="s">
        <v>706</v>
      </c>
      <c r="P343" t="s">
        <v>38</v>
      </c>
      <c r="Q343" t="s">
        <v>313</v>
      </c>
      <c r="R343">
        <v>13</v>
      </c>
      <c r="S343" t="s">
        <v>45</v>
      </c>
      <c r="T34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3">
        <v>63460</v>
      </c>
      <c r="V343" t="s">
        <v>38</v>
      </c>
      <c r="W343" t="s">
        <v>313</v>
      </c>
      <c r="X343">
        <v>13</v>
      </c>
      <c r="Y343">
        <v>0</v>
      </c>
      <c r="Z343" t="s">
        <v>46</v>
      </c>
      <c r="AA343">
        <v>63549</v>
      </c>
      <c r="AB343" t="s">
        <v>771</v>
      </c>
      <c r="AC343" t="s">
        <v>103</v>
      </c>
      <c r="AD343" t="s">
        <v>38</v>
      </c>
      <c r="AE343" t="s">
        <v>49</v>
      </c>
      <c r="AF343" t="s">
        <v>50</v>
      </c>
      <c r="AG343">
        <v>0</v>
      </c>
      <c r="AH343">
        <v>0</v>
      </c>
      <c r="AI343" t="s">
        <v>51</v>
      </c>
      <c r="AJ343" t="s">
        <v>51</v>
      </c>
      <c r="AK343" t="s">
        <v>51</v>
      </c>
    </row>
    <row r="344" spans="1:37" x14ac:dyDescent="0.2">
      <c r="A344">
        <v>63458</v>
      </c>
      <c r="B344" t="s">
        <v>37</v>
      </c>
      <c r="C344" t="s">
        <v>38</v>
      </c>
      <c r="D344" t="s">
        <v>674</v>
      </c>
      <c r="E344" t="s">
        <v>40</v>
      </c>
      <c r="G344" s="4">
        <v>43948.510324074074</v>
      </c>
      <c r="H344" s="4">
        <v>43948.511030092593</v>
      </c>
      <c r="I344" t="s">
        <v>675</v>
      </c>
      <c r="J344" s="5">
        <v>61.00000000000000000000000000000000000004</v>
      </c>
      <c r="K344" t="s">
        <v>38</v>
      </c>
      <c r="M344">
        <v>63459</v>
      </c>
      <c r="N344" t="s">
        <v>705</v>
      </c>
      <c r="O344" t="s">
        <v>706</v>
      </c>
      <c r="P344" t="s">
        <v>38</v>
      </c>
      <c r="Q344" t="s">
        <v>313</v>
      </c>
      <c r="R344">
        <v>13</v>
      </c>
      <c r="S344" t="s">
        <v>45</v>
      </c>
      <c r="T34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4">
        <v>63460</v>
      </c>
      <c r="V344" t="s">
        <v>38</v>
      </c>
      <c r="W344" t="s">
        <v>313</v>
      </c>
      <c r="X344">
        <v>13</v>
      </c>
      <c r="Y344">
        <v>0</v>
      </c>
      <c r="Z344" t="s">
        <v>46</v>
      </c>
      <c r="AA344">
        <v>63548</v>
      </c>
      <c r="AB344" t="s">
        <v>772</v>
      </c>
      <c r="AC344" t="s">
        <v>103</v>
      </c>
      <c r="AD344" t="s">
        <v>38</v>
      </c>
      <c r="AE344" t="s">
        <v>49</v>
      </c>
      <c r="AF344" t="s">
        <v>50</v>
      </c>
      <c r="AG344">
        <v>0</v>
      </c>
      <c r="AH344">
        <v>0</v>
      </c>
      <c r="AI344" t="s">
        <v>51</v>
      </c>
      <c r="AJ344" t="s">
        <v>51</v>
      </c>
      <c r="AK344" t="s">
        <v>51</v>
      </c>
    </row>
    <row r="345" spans="1:37" x14ac:dyDescent="0.2">
      <c r="A345">
        <v>63458</v>
      </c>
      <c r="B345" t="s">
        <v>37</v>
      </c>
      <c r="C345" t="s">
        <v>38</v>
      </c>
      <c r="D345" t="s">
        <v>674</v>
      </c>
      <c r="E345" t="s">
        <v>40</v>
      </c>
      <c r="G345" s="4">
        <v>43948.510324074074</v>
      </c>
      <c r="H345" s="4">
        <v>43948.511030092593</v>
      </c>
      <c r="I345" t="s">
        <v>675</v>
      </c>
      <c r="J345" s="5">
        <v>61.00000000000000000000000000000000000004</v>
      </c>
      <c r="K345" t="s">
        <v>38</v>
      </c>
      <c r="M345">
        <v>63459</v>
      </c>
      <c r="N345" t="s">
        <v>705</v>
      </c>
      <c r="O345" t="s">
        <v>706</v>
      </c>
      <c r="P345" t="s">
        <v>38</v>
      </c>
      <c r="Q345" t="s">
        <v>313</v>
      </c>
      <c r="R345">
        <v>13</v>
      </c>
      <c r="S345" t="s">
        <v>45</v>
      </c>
      <c r="T34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5">
        <v>63460</v>
      </c>
      <c r="V345" t="s">
        <v>38</v>
      </c>
      <c r="W345" t="s">
        <v>313</v>
      </c>
      <c r="X345">
        <v>13</v>
      </c>
      <c r="Y345">
        <v>0</v>
      </c>
      <c r="Z345" t="s">
        <v>46</v>
      </c>
      <c r="AA345">
        <v>63547</v>
      </c>
      <c r="AB345" t="s">
        <v>773</v>
      </c>
      <c r="AC345" t="s">
        <v>103</v>
      </c>
      <c r="AD345" t="s">
        <v>38</v>
      </c>
      <c r="AE345" t="s">
        <v>49</v>
      </c>
      <c r="AF345" t="s">
        <v>50</v>
      </c>
      <c r="AG345">
        <v>0</v>
      </c>
      <c r="AH345">
        <v>0</v>
      </c>
      <c r="AI345" t="s">
        <v>51</v>
      </c>
      <c r="AJ345" t="s">
        <v>51</v>
      </c>
      <c r="AK345" t="s">
        <v>51</v>
      </c>
    </row>
    <row r="346" spans="1:37" x14ac:dyDescent="0.2">
      <c r="A346">
        <v>63458</v>
      </c>
      <c r="B346" t="s">
        <v>37</v>
      </c>
      <c r="C346" t="s">
        <v>38</v>
      </c>
      <c r="D346" t="s">
        <v>674</v>
      </c>
      <c r="E346" t="s">
        <v>40</v>
      </c>
      <c r="G346" s="4">
        <v>43948.510324074074</v>
      </c>
      <c r="H346" s="4">
        <v>43948.511030092593</v>
      </c>
      <c r="I346" t="s">
        <v>675</v>
      </c>
      <c r="J346" s="5">
        <v>61.00000000000000000000000000000000000004</v>
      </c>
      <c r="K346" t="s">
        <v>38</v>
      </c>
      <c r="M346">
        <v>63459</v>
      </c>
      <c r="N346" t="s">
        <v>705</v>
      </c>
      <c r="O346" t="s">
        <v>706</v>
      </c>
      <c r="P346" t="s">
        <v>38</v>
      </c>
      <c r="Q346" t="s">
        <v>313</v>
      </c>
      <c r="R346">
        <v>13</v>
      </c>
      <c r="S346" t="s">
        <v>45</v>
      </c>
      <c r="T34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6">
        <v>63460</v>
      </c>
      <c r="V346" t="s">
        <v>38</v>
      </c>
      <c r="W346" t="s">
        <v>313</v>
      </c>
      <c r="X346">
        <v>13</v>
      </c>
      <c r="Y346">
        <v>0</v>
      </c>
      <c r="Z346" t="s">
        <v>46</v>
      </c>
      <c r="AA346">
        <v>63546</v>
      </c>
      <c r="AB346" t="s">
        <v>774</v>
      </c>
      <c r="AC346" t="s">
        <v>103</v>
      </c>
      <c r="AD346" t="s">
        <v>38</v>
      </c>
      <c r="AE346" t="s">
        <v>49</v>
      </c>
      <c r="AF346" t="s">
        <v>50</v>
      </c>
      <c r="AG346">
        <v>0</v>
      </c>
      <c r="AH346">
        <v>0</v>
      </c>
      <c r="AI346" t="s">
        <v>51</v>
      </c>
      <c r="AJ346" t="s">
        <v>51</v>
      </c>
      <c r="AK346" t="s">
        <v>51</v>
      </c>
    </row>
    <row r="347" spans="1:37" x14ac:dyDescent="0.2">
      <c r="A347">
        <v>63458</v>
      </c>
      <c r="B347" t="s">
        <v>37</v>
      </c>
      <c r="C347" t="s">
        <v>38</v>
      </c>
      <c r="D347" t="s">
        <v>674</v>
      </c>
      <c r="E347" t="s">
        <v>40</v>
      </c>
      <c r="G347" s="4">
        <v>43948.510324074074</v>
      </c>
      <c r="H347" s="4">
        <v>43948.511030092593</v>
      </c>
      <c r="I347" t="s">
        <v>675</v>
      </c>
      <c r="J347" s="5">
        <v>61.00000000000000000000000000000000000004</v>
      </c>
      <c r="K347" t="s">
        <v>38</v>
      </c>
      <c r="M347">
        <v>63459</v>
      </c>
      <c r="N347" t="s">
        <v>705</v>
      </c>
      <c r="O347" t="s">
        <v>706</v>
      </c>
      <c r="P347" t="s">
        <v>38</v>
      </c>
      <c r="Q347" t="s">
        <v>313</v>
      </c>
      <c r="R347">
        <v>13</v>
      </c>
      <c r="S347" t="s">
        <v>45</v>
      </c>
      <c r="T34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7">
        <v>63460</v>
      </c>
      <c r="V347" t="s">
        <v>38</v>
      </c>
      <c r="W347" t="s">
        <v>313</v>
      </c>
      <c r="X347">
        <v>13</v>
      </c>
      <c r="Y347">
        <v>0</v>
      </c>
      <c r="Z347" t="s">
        <v>46</v>
      </c>
      <c r="AA347">
        <v>63545</v>
      </c>
      <c r="AB347" t="s">
        <v>775</v>
      </c>
      <c r="AC347" t="s">
        <v>103</v>
      </c>
      <c r="AD347" t="s">
        <v>38</v>
      </c>
      <c r="AE347" t="s">
        <v>49</v>
      </c>
      <c r="AF347" t="s">
        <v>50</v>
      </c>
      <c r="AG347">
        <v>0</v>
      </c>
      <c r="AH347">
        <v>0</v>
      </c>
      <c r="AI347" t="s">
        <v>51</v>
      </c>
      <c r="AJ347" t="s">
        <v>51</v>
      </c>
      <c r="AK347" t="s">
        <v>51</v>
      </c>
    </row>
    <row r="348" spans="1:37" x14ac:dyDescent="0.2">
      <c r="A348">
        <v>63458</v>
      </c>
      <c r="B348" t="s">
        <v>37</v>
      </c>
      <c r="C348" t="s">
        <v>38</v>
      </c>
      <c r="D348" t="s">
        <v>674</v>
      </c>
      <c r="E348" t="s">
        <v>40</v>
      </c>
      <c r="G348" s="4">
        <v>43948.510324074074</v>
      </c>
      <c r="H348" s="4">
        <v>43948.511030092593</v>
      </c>
      <c r="I348" t="s">
        <v>675</v>
      </c>
      <c r="J348" s="5">
        <v>61.00000000000000000000000000000000000004</v>
      </c>
      <c r="K348" t="s">
        <v>38</v>
      </c>
      <c r="M348">
        <v>63459</v>
      </c>
      <c r="N348" t="s">
        <v>705</v>
      </c>
      <c r="O348" t="s">
        <v>706</v>
      </c>
      <c r="P348" t="s">
        <v>38</v>
      </c>
      <c r="Q348" t="s">
        <v>313</v>
      </c>
      <c r="R348">
        <v>13</v>
      </c>
      <c r="S348" t="s">
        <v>45</v>
      </c>
      <c r="T34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8">
        <v>63460</v>
      </c>
      <c r="V348" t="s">
        <v>38</v>
      </c>
      <c r="W348" t="s">
        <v>313</v>
      </c>
      <c r="X348">
        <v>13</v>
      </c>
      <c r="Y348">
        <v>0</v>
      </c>
      <c r="Z348" t="s">
        <v>46</v>
      </c>
      <c r="AA348">
        <v>63544</v>
      </c>
      <c r="AB348" t="s">
        <v>776</v>
      </c>
      <c r="AC348" t="s">
        <v>103</v>
      </c>
      <c r="AD348" t="s">
        <v>38</v>
      </c>
      <c r="AE348" t="s">
        <v>49</v>
      </c>
      <c r="AF348" t="s">
        <v>50</v>
      </c>
      <c r="AG348">
        <v>0</v>
      </c>
      <c r="AH348">
        <v>0</v>
      </c>
      <c r="AI348" t="s">
        <v>51</v>
      </c>
      <c r="AJ348" t="s">
        <v>51</v>
      </c>
      <c r="AK348" t="s">
        <v>51</v>
      </c>
    </row>
    <row r="349" spans="1:37" x14ac:dyDescent="0.2">
      <c r="A349">
        <v>63458</v>
      </c>
      <c r="B349" t="s">
        <v>37</v>
      </c>
      <c r="C349" t="s">
        <v>38</v>
      </c>
      <c r="D349" t="s">
        <v>674</v>
      </c>
      <c r="E349" t="s">
        <v>40</v>
      </c>
      <c r="G349" s="4">
        <v>43948.510324074074</v>
      </c>
      <c r="H349" s="4">
        <v>43948.511030092593</v>
      </c>
      <c r="I349" t="s">
        <v>675</v>
      </c>
      <c r="J349" s="5">
        <v>61.00000000000000000000000000000000000004</v>
      </c>
      <c r="K349" t="s">
        <v>38</v>
      </c>
      <c r="M349">
        <v>63459</v>
      </c>
      <c r="N349" t="s">
        <v>705</v>
      </c>
      <c r="O349" t="s">
        <v>706</v>
      </c>
      <c r="P349" t="s">
        <v>38</v>
      </c>
      <c r="Q349" t="s">
        <v>313</v>
      </c>
      <c r="R349">
        <v>13</v>
      </c>
      <c r="S349" t="s">
        <v>45</v>
      </c>
      <c r="T34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49">
        <v>63460</v>
      </c>
      <c r="V349" t="s">
        <v>38</v>
      </c>
      <c r="W349" t="s">
        <v>313</v>
      </c>
      <c r="X349">
        <v>13</v>
      </c>
      <c r="Y349">
        <v>0</v>
      </c>
      <c r="Z349" t="s">
        <v>46</v>
      </c>
      <c r="AA349">
        <v>63543</v>
      </c>
      <c r="AB349" t="s">
        <v>777</v>
      </c>
      <c r="AC349" t="s">
        <v>103</v>
      </c>
      <c r="AD349" t="s">
        <v>38</v>
      </c>
      <c r="AE349" t="s">
        <v>49</v>
      </c>
      <c r="AF349" t="s">
        <v>50</v>
      </c>
      <c r="AG349">
        <v>0</v>
      </c>
      <c r="AH349">
        <v>0</v>
      </c>
      <c r="AI349" t="s">
        <v>51</v>
      </c>
      <c r="AJ349" t="s">
        <v>51</v>
      </c>
      <c r="AK349" t="s">
        <v>51</v>
      </c>
    </row>
    <row r="350" spans="1:37" x14ac:dyDescent="0.2">
      <c r="A350">
        <v>63458</v>
      </c>
      <c r="B350" t="s">
        <v>37</v>
      </c>
      <c r="C350" t="s">
        <v>38</v>
      </c>
      <c r="D350" t="s">
        <v>674</v>
      </c>
      <c r="E350" t="s">
        <v>40</v>
      </c>
      <c r="G350" s="4">
        <v>43948.510324074074</v>
      </c>
      <c r="H350" s="4">
        <v>43948.511030092593</v>
      </c>
      <c r="I350" t="s">
        <v>675</v>
      </c>
      <c r="J350" s="5">
        <v>61.00000000000000000000000000000000000004</v>
      </c>
      <c r="K350" t="s">
        <v>38</v>
      </c>
      <c r="M350">
        <v>63459</v>
      </c>
      <c r="N350" t="s">
        <v>705</v>
      </c>
      <c r="O350" t="s">
        <v>706</v>
      </c>
      <c r="P350" t="s">
        <v>38</v>
      </c>
      <c r="Q350" t="s">
        <v>313</v>
      </c>
      <c r="R350">
        <v>13</v>
      </c>
      <c r="S350" t="s">
        <v>45</v>
      </c>
      <c r="T35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0">
        <v>63460</v>
      </c>
      <c r="V350" t="s">
        <v>38</v>
      </c>
      <c r="W350" t="s">
        <v>313</v>
      </c>
      <c r="X350">
        <v>13</v>
      </c>
      <c r="Y350">
        <v>0</v>
      </c>
      <c r="Z350" t="s">
        <v>46</v>
      </c>
      <c r="AA350">
        <v>63542</v>
      </c>
      <c r="AB350" t="s">
        <v>778</v>
      </c>
      <c r="AC350" t="s">
        <v>103</v>
      </c>
      <c r="AD350" t="s">
        <v>38</v>
      </c>
      <c r="AE350" t="s">
        <v>49</v>
      </c>
      <c r="AF350" t="s">
        <v>50</v>
      </c>
      <c r="AG350">
        <v>0</v>
      </c>
      <c r="AH350">
        <v>0</v>
      </c>
      <c r="AI350" t="s">
        <v>51</v>
      </c>
      <c r="AJ350" t="s">
        <v>51</v>
      </c>
      <c r="AK350" t="s">
        <v>51</v>
      </c>
    </row>
    <row r="351" spans="1:37" x14ac:dyDescent="0.2">
      <c r="A351">
        <v>63458</v>
      </c>
      <c r="B351" t="s">
        <v>37</v>
      </c>
      <c r="C351" t="s">
        <v>38</v>
      </c>
      <c r="D351" t="s">
        <v>674</v>
      </c>
      <c r="E351" t="s">
        <v>40</v>
      </c>
      <c r="G351" s="4">
        <v>43948.510324074074</v>
      </c>
      <c r="H351" s="4">
        <v>43948.511030092593</v>
      </c>
      <c r="I351" t="s">
        <v>675</v>
      </c>
      <c r="J351" s="5">
        <v>61.00000000000000000000000000000000000004</v>
      </c>
      <c r="K351" t="s">
        <v>38</v>
      </c>
      <c r="M351">
        <v>63459</v>
      </c>
      <c r="N351" t="s">
        <v>705</v>
      </c>
      <c r="O351" t="s">
        <v>706</v>
      </c>
      <c r="P351" t="s">
        <v>38</v>
      </c>
      <c r="Q351" t="s">
        <v>313</v>
      </c>
      <c r="R351">
        <v>13</v>
      </c>
      <c r="S351" t="s">
        <v>45</v>
      </c>
      <c r="T35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1">
        <v>63460</v>
      </c>
      <c r="V351" t="s">
        <v>38</v>
      </c>
      <c r="W351" t="s">
        <v>313</v>
      </c>
      <c r="X351">
        <v>13</v>
      </c>
      <c r="Y351">
        <v>0</v>
      </c>
      <c r="Z351" t="s">
        <v>46</v>
      </c>
      <c r="AA351">
        <v>63541</v>
      </c>
      <c r="AB351" t="s">
        <v>779</v>
      </c>
      <c r="AC351" t="s">
        <v>103</v>
      </c>
      <c r="AD351" t="s">
        <v>38</v>
      </c>
      <c r="AE351" t="s">
        <v>49</v>
      </c>
      <c r="AF351" t="s">
        <v>50</v>
      </c>
      <c r="AG351">
        <v>0</v>
      </c>
      <c r="AH351">
        <v>0</v>
      </c>
      <c r="AI351" t="s">
        <v>51</v>
      </c>
      <c r="AJ351" t="s">
        <v>51</v>
      </c>
      <c r="AK351" t="s">
        <v>51</v>
      </c>
    </row>
    <row r="352" spans="1:37" x14ac:dyDescent="0.2">
      <c r="A352">
        <v>63458</v>
      </c>
      <c r="B352" t="s">
        <v>37</v>
      </c>
      <c r="C352" t="s">
        <v>38</v>
      </c>
      <c r="D352" t="s">
        <v>674</v>
      </c>
      <c r="E352" t="s">
        <v>40</v>
      </c>
      <c r="G352" s="4">
        <v>43948.510324074074</v>
      </c>
      <c r="H352" s="4">
        <v>43948.511030092593</v>
      </c>
      <c r="I352" t="s">
        <v>675</v>
      </c>
      <c r="J352" s="5">
        <v>61.00000000000000000000000000000000000004</v>
      </c>
      <c r="K352" t="s">
        <v>38</v>
      </c>
      <c r="M352">
        <v>63459</v>
      </c>
      <c r="N352" t="s">
        <v>705</v>
      </c>
      <c r="O352" t="s">
        <v>706</v>
      </c>
      <c r="P352" t="s">
        <v>38</v>
      </c>
      <c r="Q352" t="s">
        <v>313</v>
      </c>
      <c r="R352">
        <v>13</v>
      </c>
      <c r="S352" t="s">
        <v>45</v>
      </c>
      <c r="T35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2">
        <v>63460</v>
      </c>
      <c r="V352" t="s">
        <v>38</v>
      </c>
      <c r="W352" t="s">
        <v>313</v>
      </c>
      <c r="X352">
        <v>13</v>
      </c>
      <c r="Y352">
        <v>0</v>
      </c>
      <c r="Z352" t="s">
        <v>46</v>
      </c>
      <c r="AA352">
        <v>63540</v>
      </c>
      <c r="AB352" t="s">
        <v>780</v>
      </c>
      <c r="AC352" t="s">
        <v>103</v>
      </c>
      <c r="AD352" t="s">
        <v>38</v>
      </c>
      <c r="AE352" t="s">
        <v>49</v>
      </c>
      <c r="AF352" t="s">
        <v>50</v>
      </c>
      <c r="AG352">
        <v>0</v>
      </c>
      <c r="AH352">
        <v>0</v>
      </c>
      <c r="AI352" t="s">
        <v>51</v>
      </c>
      <c r="AJ352" t="s">
        <v>51</v>
      </c>
      <c r="AK352" t="s">
        <v>51</v>
      </c>
    </row>
    <row r="353" spans="1:37" x14ac:dyDescent="0.2">
      <c r="A353">
        <v>63458</v>
      </c>
      <c r="B353" t="s">
        <v>37</v>
      </c>
      <c r="C353" t="s">
        <v>38</v>
      </c>
      <c r="D353" t="s">
        <v>674</v>
      </c>
      <c r="E353" t="s">
        <v>40</v>
      </c>
      <c r="G353" s="4">
        <v>43948.510324074074</v>
      </c>
      <c r="H353" s="4">
        <v>43948.511030092593</v>
      </c>
      <c r="I353" t="s">
        <v>675</v>
      </c>
      <c r="J353" s="5">
        <v>61.00000000000000000000000000000000000004</v>
      </c>
      <c r="K353" t="s">
        <v>38</v>
      </c>
      <c r="M353">
        <v>63459</v>
      </c>
      <c r="N353" t="s">
        <v>705</v>
      </c>
      <c r="O353" t="s">
        <v>706</v>
      </c>
      <c r="P353" t="s">
        <v>38</v>
      </c>
      <c r="Q353" t="s">
        <v>313</v>
      </c>
      <c r="R353">
        <v>13</v>
      </c>
      <c r="S353" t="s">
        <v>45</v>
      </c>
      <c r="T35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3">
        <v>63460</v>
      </c>
      <c r="V353" t="s">
        <v>38</v>
      </c>
      <c r="W353" t="s">
        <v>313</v>
      </c>
      <c r="X353">
        <v>13</v>
      </c>
      <c r="Y353">
        <v>0</v>
      </c>
      <c r="Z353" t="s">
        <v>46</v>
      </c>
      <c r="AA353">
        <v>63539</v>
      </c>
      <c r="AB353" t="s">
        <v>781</v>
      </c>
      <c r="AC353" t="s">
        <v>103</v>
      </c>
      <c r="AD353" t="s">
        <v>38</v>
      </c>
      <c r="AE353" t="s">
        <v>49</v>
      </c>
      <c r="AF353" t="s">
        <v>50</v>
      </c>
      <c r="AG353">
        <v>0</v>
      </c>
      <c r="AH353">
        <v>0</v>
      </c>
      <c r="AI353" t="s">
        <v>51</v>
      </c>
      <c r="AJ353" t="s">
        <v>51</v>
      </c>
      <c r="AK353" t="s">
        <v>51</v>
      </c>
    </row>
    <row r="354" spans="1:37" x14ac:dyDescent="0.2">
      <c r="A354">
        <v>63458</v>
      </c>
      <c r="B354" t="s">
        <v>37</v>
      </c>
      <c r="C354" t="s">
        <v>38</v>
      </c>
      <c r="D354" t="s">
        <v>674</v>
      </c>
      <c r="E354" t="s">
        <v>40</v>
      </c>
      <c r="G354" s="4">
        <v>43948.510324074074</v>
      </c>
      <c r="H354" s="4">
        <v>43948.511030092593</v>
      </c>
      <c r="I354" t="s">
        <v>675</v>
      </c>
      <c r="J354" s="5">
        <v>61.00000000000000000000000000000000000004</v>
      </c>
      <c r="K354" t="s">
        <v>38</v>
      </c>
      <c r="M354">
        <v>63459</v>
      </c>
      <c r="N354" t="s">
        <v>705</v>
      </c>
      <c r="O354" t="s">
        <v>706</v>
      </c>
      <c r="P354" t="s">
        <v>38</v>
      </c>
      <c r="Q354" t="s">
        <v>313</v>
      </c>
      <c r="R354">
        <v>13</v>
      </c>
      <c r="S354" t="s">
        <v>45</v>
      </c>
      <c r="T35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4">
        <v>63460</v>
      </c>
      <c r="V354" t="s">
        <v>38</v>
      </c>
      <c r="W354" t="s">
        <v>313</v>
      </c>
      <c r="X354">
        <v>13</v>
      </c>
      <c r="Y354">
        <v>0</v>
      </c>
      <c r="Z354" t="s">
        <v>46</v>
      </c>
      <c r="AA354">
        <v>63538</v>
      </c>
      <c r="AB354" t="s">
        <v>782</v>
      </c>
      <c r="AC354" t="s">
        <v>103</v>
      </c>
      <c r="AD354" t="s">
        <v>38</v>
      </c>
      <c r="AE354" t="s">
        <v>49</v>
      </c>
      <c r="AF354" t="s">
        <v>50</v>
      </c>
      <c r="AG354">
        <v>0</v>
      </c>
      <c r="AH354">
        <v>0</v>
      </c>
      <c r="AI354" t="s">
        <v>51</v>
      </c>
      <c r="AJ354" t="s">
        <v>51</v>
      </c>
      <c r="AK354" t="s">
        <v>51</v>
      </c>
    </row>
    <row r="355" spans="1:37" x14ac:dyDescent="0.2">
      <c r="A355">
        <v>63458</v>
      </c>
      <c r="B355" t="s">
        <v>37</v>
      </c>
      <c r="C355" t="s">
        <v>38</v>
      </c>
      <c r="D355" t="s">
        <v>674</v>
      </c>
      <c r="E355" t="s">
        <v>40</v>
      </c>
      <c r="G355" s="4">
        <v>43948.510324074074</v>
      </c>
      <c r="H355" s="4">
        <v>43948.511030092593</v>
      </c>
      <c r="I355" t="s">
        <v>675</v>
      </c>
      <c r="J355" s="5">
        <v>61.00000000000000000000000000000000000004</v>
      </c>
      <c r="K355" t="s">
        <v>38</v>
      </c>
      <c r="M355">
        <v>63459</v>
      </c>
      <c r="N355" t="s">
        <v>705</v>
      </c>
      <c r="O355" t="s">
        <v>706</v>
      </c>
      <c r="P355" t="s">
        <v>38</v>
      </c>
      <c r="Q355" t="s">
        <v>313</v>
      </c>
      <c r="R355">
        <v>13</v>
      </c>
      <c r="S355" t="s">
        <v>45</v>
      </c>
      <c r="T35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5">
        <v>63460</v>
      </c>
      <c r="V355" t="s">
        <v>38</v>
      </c>
      <c r="W355" t="s">
        <v>313</v>
      </c>
      <c r="X355">
        <v>13</v>
      </c>
      <c r="Y355">
        <v>0</v>
      </c>
      <c r="Z355" t="s">
        <v>46</v>
      </c>
      <c r="AA355">
        <v>63537</v>
      </c>
      <c r="AB355" t="s">
        <v>783</v>
      </c>
      <c r="AC355" t="s">
        <v>103</v>
      </c>
      <c r="AD355" t="s">
        <v>38</v>
      </c>
      <c r="AE355" t="s">
        <v>49</v>
      </c>
      <c r="AF355" t="s">
        <v>50</v>
      </c>
      <c r="AG355">
        <v>0</v>
      </c>
      <c r="AH355">
        <v>0</v>
      </c>
      <c r="AI355" t="s">
        <v>51</v>
      </c>
      <c r="AJ355" t="s">
        <v>51</v>
      </c>
      <c r="AK355" t="s">
        <v>51</v>
      </c>
    </row>
    <row r="356" spans="1:37" x14ac:dyDescent="0.2">
      <c r="A356">
        <v>63458</v>
      </c>
      <c r="B356" t="s">
        <v>37</v>
      </c>
      <c r="C356" t="s">
        <v>38</v>
      </c>
      <c r="D356" t="s">
        <v>674</v>
      </c>
      <c r="E356" t="s">
        <v>40</v>
      </c>
      <c r="G356" s="4">
        <v>43948.510324074074</v>
      </c>
      <c r="H356" s="4">
        <v>43948.511030092593</v>
      </c>
      <c r="I356" t="s">
        <v>675</v>
      </c>
      <c r="J356" s="5">
        <v>61.00000000000000000000000000000000000004</v>
      </c>
      <c r="K356" t="s">
        <v>38</v>
      </c>
      <c r="M356">
        <v>63459</v>
      </c>
      <c r="N356" t="s">
        <v>705</v>
      </c>
      <c r="O356" t="s">
        <v>706</v>
      </c>
      <c r="P356" t="s">
        <v>38</v>
      </c>
      <c r="Q356" t="s">
        <v>313</v>
      </c>
      <c r="R356">
        <v>13</v>
      </c>
      <c r="S356" t="s">
        <v>45</v>
      </c>
      <c r="T35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6">
        <v>63460</v>
      </c>
      <c r="V356" t="s">
        <v>38</v>
      </c>
      <c r="W356" t="s">
        <v>313</v>
      </c>
      <c r="X356">
        <v>13</v>
      </c>
      <c r="Y356">
        <v>0</v>
      </c>
      <c r="Z356" t="s">
        <v>46</v>
      </c>
      <c r="AA356">
        <v>63536</v>
      </c>
      <c r="AB356" t="s">
        <v>784</v>
      </c>
      <c r="AC356" t="s">
        <v>103</v>
      </c>
      <c r="AD356" t="s">
        <v>38</v>
      </c>
      <c r="AE356" t="s">
        <v>49</v>
      </c>
      <c r="AF356" t="s">
        <v>50</v>
      </c>
      <c r="AG356">
        <v>0</v>
      </c>
      <c r="AH356">
        <v>0</v>
      </c>
      <c r="AI356" t="s">
        <v>51</v>
      </c>
      <c r="AJ356" t="s">
        <v>51</v>
      </c>
      <c r="AK356" t="s">
        <v>51</v>
      </c>
    </row>
    <row r="357" spans="1:37" x14ac:dyDescent="0.2">
      <c r="A357">
        <v>63458</v>
      </c>
      <c r="B357" t="s">
        <v>37</v>
      </c>
      <c r="C357" t="s">
        <v>38</v>
      </c>
      <c r="D357" t="s">
        <v>674</v>
      </c>
      <c r="E357" t="s">
        <v>40</v>
      </c>
      <c r="G357" s="4">
        <v>43948.510324074074</v>
      </c>
      <c r="H357" s="4">
        <v>43948.511030092593</v>
      </c>
      <c r="I357" t="s">
        <v>675</v>
      </c>
      <c r="J357" s="5">
        <v>61.00000000000000000000000000000000000004</v>
      </c>
      <c r="K357" t="s">
        <v>38</v>
      </c>
      <c r="M357">
        <v>63459</v>
      </c>
      <c r="N357" t="s">
        <v>705</v>
      </c>
      <c r="O357" t="s">
        <v>706</v>
      </c>
      <c r="P357" t="s">
        <v>38</v>
      </c>
      <c r="Q357" t="s">
        <v>313</v>
      </c>
      <c r="R357">
        <v>13</v>
      </c>
      <c r="S357" t="s">
        <v>45</v>
      </c>
      <c r="T35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7">
        <v>63460</v>
      </c>
      <c r="V357" t="s">
        <v>38</v>
      </c>
      <c r="W357" t="s">
        <v>313</v>
      </c>
      <c r="X357">
        <v>13</v>
      </c>
      <c r="Y357">
        <v>0</v>
      </c>
      <c r="Z357" t="s">
        <v>46</v>
      </c>
      <c r="AA357">
        <v>63535</v>
      </c>
      <c r="AB357" t="s">
        <v>785</v>
      </c>
      <c r="AC357" t="s">
        <v>103</v>
      </c>
      <c r="AD357" t="s">
        <v>38</v>
      </c>
      <c r="AE357" t="s">
        <v>49</v>
      </c>
      <c r="AF357" t="s">
        <v>50</v>
      </c>
      <c r="AG357">
        <v>0</v>
      </c>
      <c r="AH357">
        <v>0</v>
      </c>
      <c r="AI357" t="s">
        <v>51</v>
      </c>
      <c r="AJ357" t="s">
        <v>51</v>
      </c>
      <c r="AK357" t="s">
        <v>51</v>
      </c>
    </row>
    <row r="358" spans="1:37" x14ac:dyDescent="0.2">
      <c r="A358">
        <v>63458</v>
      </c>
      <c r="B358" t="s">
        <v>37</v>
      </c>
      <c r="C358" t="s">
        <v>38</v>
      </c>
      <c r="D358" t="s">
        <v>674</v>
      </c>
      <c r="E358" t="s">
        <v>40</v>
      </c>
      <c r="G358" s="4">
        <v>43948.510324074074</v>
      </c>
      <c r="H358" s="4">
        <v>43948.511030092593</v>
      </c>
      <c r="I358" t="s">
        <v>675</v>
      </c>
      <c r="J358" s="5">
        <v>61.00000000000000000000000000000000000004</v>
      </c>
      <c r="K358" t="s">
        <v>38</v>
      </c>
      <c r="M358">
        <v>63459</v>
      </c>
      <c r="N358" t="s">
        <v>705</v>
      </c>
      <c r="O358" t="s">
        <v>706</v>
      </c>
      <c r="P358" t="s">
        <v>38</v>
      </c>
      <c r="Q358" t="s">
        <v>313</v>
      </c>
      <c r="R358">
        <v>13</v>
      </c>
      <c r="S358" t="s">
        <v>45</v>
      </c>
      <c r="T35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8">
        <v>63460</v>
      </c>
      <c r="V358" t="s">
        <v>38</v>
      </c>
      <c r="W358" t="s">
        <v>313</v>
      </c>
      <c r="X358">
        <v>13</v>
      </c>
      <c r="Y358">
        <v>0</v>
      </c>
      <c r="Z358" t="s">
        <v>46</v>
      </c>
      <c r="AA358">
        <v>63534</v>
      </c>
      <c r="AB358" t="s">
        <v>786</v>
      </c>
      <c r="AC358" t="s">
        <v>103</v>
      </c>
      <c r="AD358" t="s">
        <v>38</v>
      </c>
      <c r="AE358" t="s">
        <v>49</v>
      </c>
      <c r="AF358" t="s">
        <v>50</v>
      </c>
      <c r="AG358">
        <v>0</v>
      </c>
      <c r="AH358">
        <v>0</v>
      </c>
      <c r="AI358" t="s">
        <v>51</v>
      </c>
      <c r="AJ358" t="s">
        <v>51</v>
      </c>
      <c r="AK358" t="s">
        <v>51</v>
      </c>
    </row>
    <row r="359" spans="1:37" x14ac:dyDescent="0.2">
      <c r="A359">
        <v>63458</v>
      </c>
      <c r="B359" t="s">
        <v>37</v>
      </c>
      <c r="C359" t="s">
        <v>38</v>
      </c>
      <c r="D359" t="s">
        <v>674</v>
      </c>
      <c r="E359" t="s">
        <v>40</v>
      </c>
      <c r="G359" s="4">
        <v>43948.510324074074</v>
      </c>
      <c r="H359" s="4">
        <v>43948.511030092593</v>
      </c>
      <c r="I359" t="s">
        <v>675</v>
      </c>
      <c r="J359" s="5">
        <v>61.00000000000000000000000000000000000004</v>
      </c>
      <c r="K359" t="s">
        <v>38</v>
      </c>
      <c r="M359">
        <v>63459</v>
      </c>
      <c r="N359" t="s">
        <v>705</v>
      </c>
      <c r="O359" t="s">
        <v>706</v>
      </c>
      <c r="P359" t="s">
        <v>38</v>
      </c>
      <c r="Q359" t="s">
        <v>313</v>
      </c>
      <c r="R359">
        <v>13</v>
      </c>
      <c r="S359" t="s">
        <v>45</v>
      </c>
      <c r="T35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59">
        <v>63460</v>
      </c>
      <c r="V359" t="s">
        <v>38</v>
      </c>
      <c r="W359" t="s">
        <v>313</v>
      </c>
      <c r="X359">
        <v>13</v>
      </c>
      <c r="Y359">
        <v>0</v>
      </c>
      <c r="Z359" t="s">
        <v>46</v>
      </c>
      <c r="AA359">
        <v>63533</v>
      </c>
      <c r="AB359" t="s">
        <v>787</v>
      </c>
      <c r="AC359" t="s">
        <v>103</v>
      </c>
      <c r="AD359" t="s">
        <v>38</v>
      </c>
      <c r="AE359" t="s">
        <v>49</v>
      </c>
      <c r="AF359" t="s">
        <v>50</v>
      </c>
      <c r="AG359">
        <v>0</v>
      </c>
      <c r="AH359">
        <v>0</v>
      </c>
      <c r="AI359" t="s">
        <v>51</v>
      </c>
      <c r="AJ359" t="s">
        <v>51</v>
      </c>
      <c r="AK359" t="s">
        <v>51</v>
      </c>
    </row>
    <row r="360" spans="1:37" x14ac:dyDescent="0.2">
      <c r="A360">
        <v>63458</v>
      </c>
      <c r="B360" t="s">
        <v>37</v>
      </c>
      <c r="C360" t="s">
        <v>38</v>
      </c>
      <c r="D360" t="s">
        <v>674</v>
      </c>
      <c r="E360" t="s">
        <v>40</v>
      </c>
      <c r="G360" s="4">
        <v>43948.510324074074</v>
      </c>
      <c r="H360" s="4">
        <v>43948.511030092593</v>
      </c>
      <c r="I360" t="s">
        <v>675</v>
      </c>
      <c r="J360" s="5">
        <v>61.00000000000000000000000000000000000004</v>
      </c>
      <c r="K360" t="s">
        <v>38</v>
      </c>
      <c r="M360">
        <v>63459</v>
      </c>
      <c r="N360" t="s">
        <v>705</v>
      </c>
      <c r="O360" t="s">
        <v>706</v>
      </c>
      <c r="P360" t="s">
        <v>38</v>
      </c>
      <c r="Q360" t="s">
        <v>313</v>
      </c>
      <c r="R360">
        <v>13</v>
      </c>
      <c r="S360" t="s">
        <v>45</v>
      </c>
      <c r="T36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0">
        <v>63460</v>
      </c>
      <c r="V360" t="s">
        <v>38</v>
      </c>
      <c r="W360" t="s">
        <v>313</v>
      </c>
      <c r="X360">
        <v>13</v>
      </c>
      <c r="Y360">
        <v>0</v>
      </c>
      <c r="Z360" t="s">
        <v>46</v>
      </c>
      <c r="AA360">
        <v>63532</v>
      </c>
      <c r="AB360" t="s">
        <v>788</v>
      </c>
      <c r="AC360" t="s">
        <v>103</v>
      </c>
      <c r="AD360" t="s">
        <v>38</v>
      </c>
      <c r="AE360" t="s">
        <v>49</v>
      </c>
      <c r="AF360" t="s">
        <v>50</v>
      </c>
      <c r="AG360">
        <v>0</v>
      </c>
      <c r="AH360">
        <v>0</v>
      </c>
      <c r="AI360" t="s">
        <v>51</v>
      </c>
      <c r="AJ360" t="s">
        <v>51</v>
      </c>
      <c r="AK360" t="s">
        <v>51</v>
      </c>
    </row>
    <row r="361" spans="1:37" x14ac:dyDescent="0.2">
      <c r="A361">
        <v>63458</v>
      </c>
      <c r="B361" t="s">
        <v>37</v>
      </c>
      <c r="C361" t="s">
        <v>38</v>
      </c>
      <c r="D361" t="s">
        <v>674</v>
      </c>
      <c r="E361" t="s">
        <v>40</v>
      </c>
      <c r="G361" s="4">
        <v>43948.510324074074</v>
      </c>
      <c r="H361" s="4">
        <v>43948.511030092593</v>
      </c>
      <c r="I361" t="s">
        <v>675</v>
      </c>
      <c r="J361" s="5">
        <v>61.00000000000000000000000000000000000004</v>
      </c>
      <c r="K361" t="s">
        <v>38</v>
      </c>
      <c r="M361">
        <v>63459</v>
      </c>
      <c r="N361" t="s">
        <v>705</v>
      </c>
      <c r="O361" t="s">
        <v>706</v>
      </c>
      <c r="P361" t="s">
        <v>38</v>
      </c>
      <c r="Q361" t="s">
        <v>313</v>
      </c>
      <c r="R361">
        <v>13</v>
      </c>
      <c r="S361" t="s">
        <v>45</v>
      </c>
      <c r="T36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1">
        <v>63460</v>
      </c>
      <c r="V361" t="s">
        <v>38</v>
      </c>
      <c r="W361" t="s">
        <v>313</v>
      </c>
      <c r="X361">
        <v>13</v>
      </c>
      <c r="Y361">
        <v>0</v>
      </c>
      <c r="Z361" t="s">
        <v>46</v>
      </c>
      <c r="AA361">
        <v>63531</v>
      </c>
      <c r="AB361" t="s">
        <v>789</v>
      </c>
      <c r="AC361" t="s">
        <v>103</v>
      </c>
      <c r="AD361" t="s">
        <v>38</v>
      </c>
      <c r="AE361" t="s">
        <v>49</v>
      </c>
      <c r="AF361" t="s">
        <v>50</v>
      </c>
      <c r="AG361">
        <v>0</v>
      </c>
      <c r="AH361">
        <v>0</v>
      </c>
      <c r="AI361" t="s">
        <v>51</v>
      </c>
      <c r="AJ361" t="s">
        <v>51</v>
      </c>
      <c r="AK361" t="s">
        <v>51</v>
      </c>
    </row>
    <row r="362" spans="1:37" x14ac:dyDescent="0.2">
      <c r="A362">
        <v>63458</v>
      </c>
      <c r="B362" t="s">
        <v>37</v>
      </c>
      <c r="C362" t="s">
        <v>38</v>
      </c>
      <c r="D362" t="s">
        <v>674</v>
      </c>
      <c r="E362" t="s">
        <v>40</v>
      </c>
      <c r="G362" s="4">
        <v>43948.510324074074</v>
      </c>
      <c r="H362" s="4">
        <v>43948.511030092593</v>
      </c>
      <c r="I362" t="s">
        <v>675</v>
      </c>
      <c r="J362" s="5">
        <v>61.00000000000000000000000000000000000004</v>
      </c>
      <c r="K362" t="s">
        <v>38</v>
      </c>
      <c r="M362">
        <v>63459</v>
      </c>
      <c r="N362" t="s">
        <v>705</v>
      </c>
      <c r="O362" t="s">
        <v>706</v>
      </c>
      <c r="P362" t="s">
        <v>38</v>
      </c>
      <c r="Q362" t="s">
        <v>313</v>
      </c>
      <c r="R362">
        <v>13</v>
      </c>
      <c r="S362" t="s">
        <v>45</v>
      </c>
      <c r="T36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2">
        <v>63460</v>
      </c>
      <c r="V362" t="s">
        <v>38</v>
      </c>
      <c r="W362" t="s">
        <v>313</v>
      </c>
      <c r="X362">
        <v>13</v>
      </c>
      <c r="Y362">
        <v>0</v>
      </c>
      <c r="Z362" t="s">
        <v>46</v>
      </c>
      <c r="AA362">
        <v>63530</v>
      </c>
      <c r="AB362" t="s">
        <v>790</v>
      </c>
      <c r="AC362" t="s">
        <v>103</v>
      </c>
      <c r="AD362" t="s">
        <v>38</v>
      </c>
      <c r="AE362" t="s">
        <v>49</v>
      </c>
      <c r="AF362" t="s">
        <v>50</v>
      </c>
      <c r="AG362">
        <v>0</v>
      </c>
      <c r="AH362">
        <v>0</v>
      </c>
      <c r="AI362" t="s">
        <v>51</v>
      </c>
      <c r="AJ362" t="s">
        <v>51</v>
      </c>
      <c r="AK362" t="s">
        <v>51</v>
      </c>
    </row>
    <row r="363" spans="1:37" x14ac:dyDescent="0.2">
      <c r="A363">
        <v>63458</v>
      </c>
      <c r="B363" t="s">
        <v>37</v>
      </c>
      <c r="C363" t="s">
        <v>38</v>
      </c>
      <c r="D363" t="s">
        <v>674</v>
      </c>
      <c r="E363" t="s">
        <v>40</v>
      </c>
      <c r="G363" s="4">
        <v>43948.510324074074</v>
      </c>
      <c r="H363" s="4">
        <v>43948.511030092593</v>
      </c>
      <c r="I363" t="s">
        <v>675</v>
      </c>
      <c r="J363" s="5">
        <v>61.00000000000000000000000000000000000004</v>
      </c>
      <c r="K363" t="s">
        <v>38</v>
      </c>
      <c r="M363">
        <v>63459</v>
      </c>
      <c r="N363" t="s">
        <v>705</v>
      </c>
      <c r="O363" t="s">
        <v>706</v>
      </c>
      <c r="P363" t="s">
        <v>38</v>
      </c>
      <c r="Q363" t="s">
        <v>313</v>
      </c>
      <c r="R363">
        <v>13</v>
      </c>
      <c r="S363" t="s">
        <v>45</v>
      </c>
      <c r="T36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3">
        <v>63460</v>
      </c>
      <c r="V363" t="s">
        <v>38</v>
      </c>
      <c r="W363" t="s">
        <v>313</v>
      </c>
      <c r="X363">
        <v>13</v>
      </c>
      <c r="Y363">
        <v>0</v>
      </c>
      <c r="Z363" t="s">
        <v>46</v>
      </c>
      <c r="AA363">
        <v>63529</v>
      </c>
      <c r="AB363" t="s">
        <v>791</v>
      </c>
      <c r="AC363" t="s">
        <v>103</v>
      </c>
      <c r="AD363" t="s">
        <v>38</v>
      </c>
      <c r="AE363" t="s">
        <v>49</v>
      </c>
      <c r="AF363" t="s">
        <v>50</v>
      </c>
      <c r="AG363">
        <v>0</v>
      </c>
      <c r="AH363">
        <v>0</v>
      </c>
      <c r="AI363" t="s">
        <v>51</v>
      </c>
      <c r="AJ363" t="s">
        <v>51</v>
      </c>
      <c r="AK363" t="s">
        <v>51</v>
      </c>
    </row>
    <row r="364" spans="1:37" x14ac:dyDescent="0.2">
      <c r="A364">
        <v>63458</v>
      </c>
      <c r="B364" t="s">
        <v>37</v>
      </c>
      <c r="C364" t="s">
        <v>38</v>
      </c>
      <c r="D364" t="s">
        <v>674</v>
      </c>
      <c r="E364" t="s">
        <v>40</v>
      </c>
      <c r="G364" s="4">
        <v>43948.510324074074</v>
      </c>
      <c r="H364" s="4">
        <v>43948.511030092593</v>
      </c>
      <c r="I364" t="s">
        <v>675</v>
      </c>
      <c r="J364" s="5">
        <v>61.00000000000000000000000000000000000004</v>
      </c>
      <c r="K364" t="s">
        <v>38</v>
      </c>
      <c r="M364">
        <v>63459</v>
      </c>
      <c r="N364" t="s">
        <v>705</v>
      </c>
      <c r="O364" t="s">
        <v>706</v>
      </c>
      <c r="P364" t="s">
        <v>38</v>
      </c>
      <c r="Q364" t="s">
        <v>313</v>
      </c>
      <c r="R364">
        <v>13</v>
      </c>
      <c r="S364" t="s">
        <v>45</v>
      </c>
      <c r="T36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4">
        <v>63460</v>
      </c>
      <c r="V364" t="s">
        <v>38</v>
      </c>
      <c r="W364" t="s">
        <v>313</v>
      </c>
      <c r="X364">
        <v>13</v>
      </c>
      <c r="Y364">
        <v>0</v>
      </c>
      <c r="Z364" t="s">
        <v>46</v>
      </c>
      <c r="AA364">
        <v>63528</v>
      </c>
      <c r="AB364" t="s">
        <v>792</v>
      </c>
      <c r="AC364" t="s">
        <v>103</v>
      </c>
      <c r="AD364" t="s">
        <v>38</v>
      </c>
      <c r="AE364" t="s">
        <v>49</v>
      </c>
      <c r="AF364" t="s">
        <v>50</v>
      </c>
      <c r="AG364">
        <v>0</v>
      </c>
      <c r="AH364">
        <v>0</v>
      </c>
      <c r="AI364" t="s">
        <v>51</v>
      </c>
      <c r="AJ364" t="s">
        <v>51</v>
      </c>
      <c r="AK364" t="s">
        <v>51</v>
      </c>
    </row>
    <row r="365" spans="1:37" x14ac:dyDescent="0.2">
      <c r="A365">
        <v>63458</v>
      </c>
      <c r="B365" t="s">
        <v>37</v>
      </c>
      <c r="C365" t="s">
        <v>38</v>
      </c>
      <c r="D365" t="s">
        <v>674</v>
      </c>
      <c r="E365" t="s">
        <v>40</v>
      </c>
      <c r="G365" s="4">
        <v>43948.510324074074</v>
      </c>
      <c r="H365" s="4">
        <v>43948.511030092593</v>
      </c>
      <c r="I365" t="s">
        <v>675</v>
      </c>
      <c r="J365" s="5">
        <v>61.00000000000000000000000000000000000004</v>
      </c>
      <c r="K365" t="s">
        <v>38</v>
      </c>
      <c r="M365">
        <v>63459</v>
      </c>
      <c r="N365" t="s">
        <v>705</v>
      </c>
      <c r="O365" t="s">
        <v>706</v>
      </c>
      <c r="P365" t="s">
        <v>38</v>
      </c>
      <c r="Q365" t="s">
        <v>313</v>
      </c>
      <c r="R365">
        <v>13</v>
      </c>
      <c r="S365" t="s">
        <v>45</v>
      </c>
      <c r="T36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5">
        <v>63460</v>
      </c>
      <c r="V365" t="s">
        <v>38</v>
      </c>
      <c r="W365" t="s">
        <v>313</v>
      </c>
      <c r="X365">
        <v>13</v>
      </c>
      <c r="Y365">
        <v>0</v>
      </c>
      <c r="Z365" t="s">
        <v>46</v>
      </c>
      <c r="AA365">
        <v>63527</v>
      </c>
      <c r="AB365" t="s">
        <v>793</v>
      </c>
      <c r="AC365" t="s">
        <v>103</v>
      </c>
      <c r="AD365" t="s">
        <v>38</v>
      </c>
      <c r="AE365" t="s">
        <v>49</v>
      </c>
      <c r="AF365" t="s">
        <v>50</v>
      </c>
      <c r="AG365">
        <v>0</v>
      </c>
      <c r="AH365">
        <v>0</v>
      </c>
      <c r="AI365" t="s">
        <v>51</v>
      </c>
      <c r="AJ365" t="s">
        <v>51</v>
      </c>
      <c r="AK365" t="s">
        <v>51</v>
      </c>
    </row>
    <row r="366" spans="1:37" x14ac:dyDescent="0.2">
      <c r="A366">
        <v>63458</v>
      </c>
      <c r="B366" t="s">
        <v>37</v>
      </c>
      <c r="C366" t="s">
        <v>38</v>
      </c>
      <c r="D366" t="s">
        <v>674</v>
      </c>
      <c r="E366" t="s">
        <v>40</v>
      </c>
      <c r="G366" s="4">
        <v>43948.510324074074</v>
      </c>
      <c r="H366" s="4">
        <v>43948.511030092593</v>
      </c>
      <c r="I366" t="s">
        <v>675</v>
      </c>
      <c r="J366" s="5">
        <v>61.00000000000000000000000000000000000004</v>
      </c>
      <c r="K366" t="s">
        <v>38</v>
      </c>
      <c r="M366">
        <v>63459</v>
      </c>
      <c r="N366" t="s">
        <v>705</v>
      </c>
      <c r="O366" t="s">
        <v>706</v>
      </c>
      <c r="P366" t="s">
        <v>38</v>
      </c>
      <c r="Q366" t="s">
        <v>313</v>
      </c>
      <c r="R366">
        <v>13</v>
      </c>
      <c r="S366" t="s">
        <v>45</v>
      </c>
      <c r="T36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6">
        <v>63460</v>
      </c>
      <c r="V366" t="s">
        <v>38</v>
      </c>
      <c r="W366" t="s">
        <v>313</v>
      </c>
      <c r="X366">
        <v>13</v>
      </c>
      <c r="Y366">
        <v>0</v>
      </c>
      <c r="Z366" t="s">
        <v>46</v>
      </c>
      <c r="AA366">
        <v>63526</v>
      </c>
      <c r="AB366" t="s">
        <v>794</v>
      </c>
      <c r="AC366" t="s">
        <v>103</v>
      </c>
      <c r="AD366" t="s">
        <v>38</v>
      </c>
      <c r="AE366" t="s">
        <v>49</v>
      </c>
      <c r="AF366" t="s">
        <v>50</v>
      </c>
      <c r="AG366">
        <v>0</v>
      </c>
      <c r="AH366">
        <v>0</v>
      </c>
      <c r="AI366" t="s">
        <v>51</v>
      </c>
      <c r="AJ366" t="s">
        <v>51</v>
      </c>
      <c r="AK366" t="s">
        <v>51</v>
      </c>
    </row>
    <row r="367" spans="1:37" x14ac:dyDescent="0.2">
      <c r="A367">
        <v>63458</v>
      </c>
      <c r="B367" t="s">
        <v>37</v>
      </c>
      <c r="C367" t="s">
        <v>38</v>
      </c>
      <c r="D367" t="s">
        <v>674</v>
      </c>
      <c r="E367" t="s">
        <v>40</v>
      </c>
      <c r="G367" s="4">
        <v>43948.510324074074</v>
      </c>
      <c r="H367" s="4">
        <v>43948.511030092593</v>
      </c>
      <c r="I367" t="s">
        <v>675</v>
      </c>
      <c r="J367" s="5">
        <v>61.00000000000000000000000000000000000004</v>
      </c>
      <c r="K367" t="s">
        <v>38</v>
      </c>
      <c r="M367">
        <v>63459</v>
      </c>
      <c r="N367" t="s">
        <v>705</v>
      </c>
      <c r="O367" t="s">
        <v>706</v>
      </c>
      <c r="P367" t="s">
        <v>38</v>
      </c>
      <c r="Q367" t="s">
        <v>313</v>
      </c>
      <c r="R367">
        <v>13</v>
      </c>
      <c r="S367" t="s">
        <v>45</v>
      </c>
      <c r="T36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7">
        <v>63460</v>
      </c>
      <c r="V367" t="s">
        <v>38</v>
      </c>
      <c r="W367" t="s">
        <v>313</v>
      </c>
      <c r="X367">
        <v>13</v>
      </c>
      <c r="Y367">
        <v>0</v>
      </c>
      <c r="Z367" t="s">
        <v>46</v>
      </c>
      <c r="AA367">
        <v>63525</v>
      </c>
      <c r="AB367" t="s">
        <v>795</v>
      </c>
      <c r="AC367" t="s">
        <v>103</v>
      </c>
      <c r="AD367" t="s">
        <v>38</v>
      </c>
      <c r="AE367" t="s">
        <v>49</v>
      </c>
      <c r="AF367" t="s">
        <v>50</v>
      </c>
      <c r="AG367">
        <v>0</v>
      </c>
      <c r="AH367">
        <v>0</v>
      </c>
      <c r="AI367" t="s">
        <v>51</v>
      </c>
      <c r="AJ367" t="s">
        <v>51</v>
      </c>
      <c r="AK367" t="s">
        <v>51</v>
      </c>
    </row>
    <row r="368" spans="1:37" x14ac:dyDescent="0.2">
      <c r="A368">
        <v>63458</v>
      </c>
      <c r="B368" t="s">
        <v>37</v>
      </c>
      <c r="C368" t="s">
        <v>38</v>
      </c>
      <c r="D368" t="s">
        <v>674</v>
      </c>
      <c r="E368" t="s">
        <v>40</v>
      </c>
      <c r="G368" s="4">
        <v>43948.510324074074</v>
      </c>
      <c r="H368" s="4">
        <v>43948.511030092593</v>
      </c>
      <c r="I368" t="s">
        <v>675</v>
      </c>
      <c r="J368" s="5">
        <v>61.00000000000000000000000000000000000004</v>
      </c>
      <c r="K368" t="s">
        <v>38</v>
      </c>
      <c r="M368">
        <v>63459</v>
      </c>
      <c r="N368" t="s">
        <v>705</v>
      </c>
      <c r="O368" t="s">
        <v>706</v>
      </c>
      <c r="P368" t="s">
        <v>38</v>
      </c>
      <c r="Q368" t="s">
        <v>313</v>
      </c>
      <c r="R368">
        <v>13</v>
      </c>
      <c r="S368" t="s">
        <v>45</v>
      </c>
      <c r="T36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8">
        <v>63460</v>
      </c>
      <c r="V368" t="s">
        <v>38</v>
      </c>
      <c r="W368" t="s">
        <v>313</v>
      </c>
      <c r="X368">
        <v>13</v>
      </c>
      <c r="Y368">
        <v>0</v>
      </c>
      <c r="Z368" t="s">
        <v>46</v>
      </c>
      <c r="AA368">
        <v>63524</v>
      </c>
      <c r="AB368" t="s">
        <v>796</v>
      </c>
      <c r="AC368" t="s">
        <v>103</v>
      </c>
      <c r="AD368" t="s">
        <v>38</v>
      </c>
      <c r="AE368" t="s">
        <v>49</v>
      </c>
      <c r="AF368" t="s">
        <v>50</v>
      </c>
      <c r="AG368">
        <v>0</v>
      </c>
      <c r="AH368">
        <v>0</v>
      </c>
      <c r="AI368" t="s">
        <v>51</v>
      </c>
      <c r="AJ368" t="s">
        <v>51</v>
      </c>
      <c r="AK368" t="s">
        <v>51</v>
      </c>
    </row>
    <row r="369" spans="1:37" x14ac:dyDescent="0.2">
      <c r="A369">
        <v>63458</v>
      </c>
      <c r="B369" t="s">
        <v>37</v>
      </c>
      <c r="C369" t="s">
        <v>38</v>
      </c>
      <c r="D369" t="s">
        <v>674</v>
      </c>
      <c r="E369" t="s">
        <v>40</v>
      </c>
      <c r="G369" s="4">
        <v>43948.510324074074</v>
      </c>
      <c r="H369" s="4">
        <v>43948.511030092593</v>
      </c>
      <c r="I369" t="s">
        <v>675</v>
      </c>
      <c r="J369" s="5">
        <v>61.00000000000000000000000000000000000004</v>
      </c>
      <c r="K369" t="s">
        <v>38</v>
      </c>
      <c r="M369">
        <v>63459</v>
      </c>
      <c r="N369" t="s">
        <v>705</v>
      </c>
      <c r="O369" t="s">
        <v>706</v>
      </c>
      <c r="P369" t="s">
        <v>38</v>
      </c>
      <c r="Q369" t="s">
        <v>313</v>
      </c>
      <c r="R369">
        <v>13</v>
      </c>
      <c r="S369" t="s">
        <v>45</v>
      </c>
      <c r="T36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69">
        <v>63460</v>
      </c>
      <c r="V369" t="s">
        <v>38</v>
      </c>
      <c r="W369" t="s">
        <v>313</v>
      </c>
      <c r="X369">
        <v>13</v>
      </c>
      <c r="Y369">
        <v>0</v>
      </c>
      <c r="Z369" t="s">
        <v>46</v>
      </c>
      <c r="AA369">
        <v>63523</v>
      </c>
      <c r="AB369" t="s">
        <v>797</v>
      </c>
      <c r="AC369" t="s">
        <v>103</v>
      </c>
      <c r="AD369" t="s">
        <v>38</v>
      </c>
      <c r="AE369" t="s">
        <v>49</v>
      </c>
      <c r="AF369" t="s">
        <v>50</v>
      </c>
      <c r="AG369">
        <v>.9999999999999999999999999999999999999996</v>
      </c>
      <c r="AH369">
        <v>0</v>
      </c>
      <c r="AI369" t="s">
        <v>51</v>
      </c>
      <c r="AJ369" t="s">
        <v>51</v>
      </c>
      <c r="AK369" t="s">
        <v>51</v>
      </c>
    </row>
    <row r="370" spans="1:37" x14ac:dyDescent="0.2">
      <c r="A370">
        <v>63458</v>
      </c>
      <c r="B370" t="s">
        <v>37</v>
      </c>
      <c r="C370" t="s">
        <v>38</v>
      </c>
      <c r="D370" t="s">
        <v>674</v>
      </c>
      <c r="E370" t="s">
        <v>40</v>
      </c>
      <c r="G370" s="4">
        <v>43948.510324074074</v>
      </c>
      <c r="H370" s="4">
        <v>43948.511030092593</v>
      </c>
      <c r="I370" t="s">
        <v>675</v>
      </c>
      <c r="J370" s="5">
        <v>61.00000000000000000000000000000000000004</v>
      </c>
      <c r="K370" t="s">
        <v>38</v>
      </c>
      <c r="M370">
        <v>63459</v>
      </c>
      <c r="N370" t="s">
        <v>705</v>
      </c>
      <c r="O370" t="s">
        <v>706</v>
      </c>
      <c r="P370" t="s">
        <v>38</v>
      </c>
      <c r="Q370" t="s">
        <v>313</v>
      </c>
      <c r="R370">
        <v>13</v>
      </c>
      <c r="S370" t="s">
        <v>45</v>
      </c>
      <c r="T37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0">
        <v>63460</v>
      </c>
      <c r="V370" t="s">
        <v>38</v>
      </c>
      <c r="W370" t="s">
        <v>313</v>
      </c>
      <c r="X370">
        <v>13</v>
      </c>
      <c r="Y370">
        <v>0</v>
      </c>
      <c r="Z370" t="s">
        <v>46</v>
      </c>
      <c r="AA370">
        <v>63522</v>
      </c>
      <c r="AB370" t="s">
        <v>798</v>
      </c>
      <c r="AC370" t="s">
        <v>103</v>
      </c>
      <c r="AD370" t="s">
        <v>38</v>
      </c>
      <c r="AE370" t="s">
        <v>49</v>
      </c>
      <c r="AF370" t="s">
        <v>50</v>
      </c>
      <c r="AG370">
        <v>0</v>
      </c>
      <c r="AH370">
        <v>0</v>
      </c>
      <c r="AI370" t="s">
        <v>51</v>
      </c>
      <c r="AJ370" t="s">
        <v>51</v>
      </c>
      <c r="AK370" t="s">
        <v>51</v>
      </c>
    </row>
    <row r="371" spans="1:37" x14ac:dyDescent="0.2">
      <c r="A371">
        <v>63458</v>
      </c>
      <c r="B371" t="s">
        <v>37</v>
      </c>
      <c r="C371" t="s">
        <v>38</v>
      </c>
      <c r="D371" t="s">
        <v>674</v>
      </c>
      <c r="E371" t="s">
        <v>40</v>
      </c>
      <c r="G371" s="4">
        <v>43948.510324074074</v>
      </c>
      <c r="H371" s="4">
        <v>43948.511030092593</v>
      </c>
      <c r="I371" t="s">
        <v>675</v>
      </c>
      <c r="J371" s="5">
        <v>61.00000000000000000000000000000000000004</v>
      </c>
      <c r="K371" t="s">
        <v>38</v>
      </c>
      <c r="M371">
        <v>63459</v>
      </c>
      <c r="N371" t="s">
        <v>705</v>
      </c>
      <c r="O371" t="s">
        <v>706</v>
      </c>
      <c r="P371" t="s">
        <v>38</v>
      </c>
      <c r="Q371" t="s">
        <v>313</v>
      </c>
      <c r="R371">
        <v>13</v>
      </c>
      <c r="S371" t="s">
        <v>45</v>
      </c>
      <c r="T37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1">
        <v>63460</v>
      </c>
      <c r="V371" t="s">
        <v>38</v>
      </c>
      <c r="W371" t="s">
        <v>313</v>
      </c>
      <c r="X371">
        <v>13</v>
      </c>
      <c r="Y371">
        <v>0</v>
      </c>
      <c r="Z371" t="s">
        <v>46</v>
      </c>
      <c r="AA371">
        <v>63521</v>
      </c>
      <c r="AB371" t="s">
        <v>799</v>
      </c>
      <c r="AC371" t="s">
        <v>103</v>
      </c>
      <c r="AD371" t="s">
        <v>38</v>
      </c>
      <c r="AE371" t="s">
        <v>49</v>
      </c>
      <c r="AF371" t="s">
        <v>50</v>
      </c>
      <c r="AG371">
        <v>0</v>
      </c>
      <c r="AH371">
        <v>0</v>
      </c>
      <c r="AI371" t="s">
        <v>51</v>
      </c>
      <c r="AJ371" t="s">
        <v>51</v>
      </c>
      <c r="AK371" t="s">
        <v>51</v>
      </c>
    </row>
    <row r="372" spans="1:37" x14ac:dyDescent="0.2">
      <c r="A372">
        <v>63458</v>
      </c>
      <c r="B372" t="s">
        <v>37</v>
      </c>
      <c r="C372" t="s">
        <v>38</v>
      </c>
      <c r="D372" t="s">
        <v>674</v>
      </c>
      <c r="E372" t="s">
        <v>40</v>
      </c>
      <c r="G372" s="4">
        <v>43948.510324074074</v>
      </c>
      <c r="H372" s="4">
        <v>43948.511030092593</v>
      </c>
      <c r="I372" t="s">
        <v>675</v>
      </c>
      <c r="J372" s="5">
        <v>61.00000000000000000000000000000000000004</v>
      </c>
      <c r="K372" t="s">
        <v>38</v>
      </c>
      <c r="M372">
        <v>63459</v>
      </c>
      <c r="N372" t="s">
        <v>705</v>
      </c>
      <c r="O372" t="s">
        <v>706</v>
      </c>
      <c r="P372" t="s">
        <v>38</v>
      </c>
      <c r="Q372" t="s">
        <v>313</v>
      </c>
      <c r="R372">
        <v>13</v>
      </c>
      <c r="S372" t="s">
        <v>45</v>
      </c>
      <c r="T37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2">
        <v>63460</v>
      </c>
      <c r="V372" t="s">
        <v>38</v>
      </c>
      <c r="W372" t="s">
        <v>313</v>
      </c>
      <c r="X372">
        <v>13</v>
      </c>
      <c r="Y372">
        <v>0</v>
      </c>
      <c r="Z372" t="s">
        <v>46</v>
      </c>
      <c r="AA372">
        <v>63520</v>
      </c>
      <c r="AB372" t="s">
        <v>800</v>
      </c>
      <c r="AC372" t="s">
        <v>103</v>
      </c>
      <c r="AD372" t="s">
        <v>38</v>
      </c>
      <c r="AE372" t="s">
        <v>49</v>
      </c>
      <c r="AF372" t="s">
        <v>50</v>
      </c>
      <c r="AG372">
        <v>0</v>
      </c>
      <c r="AH372">
        <v>0</v>
      </c>
      <c r="AI372" t="s">
        <v>51</v>
      </c>
      <c r="AJ372" t="s">
        <v>51</v>
      </c>
      <c r="AK372" t="s">
        <v>51</v>
      </c>
    </row>
    <row r="373" spans="1:37" x14ac:dyDescent="0.2">
      <c r="A373">
        <v>63458</v>
      </c>
      <c r="B373" t="s">
        <v>37</v>
      </c>
      <c r="C373" t="s">
        <v>38</v>
      </c>
      <c r="D373" t="s">
        <v>674</v>
      </c>
      <c r="E373" t="s">
        <v>40</v>
      </c>
      <c r="G373" s="4">
        <v>43948.510324074074</v>
      </c>
      <c r="H373" s="4">
        <v>43948.511030092593</v>
      </c>
      <c r="I373" t="s">
        <v>675</v>
      </c>
      <c r="J373" s="5">
        <v>61.00000000000000000000000000000000000004</v>
      </c>
      <c r="K373" t="s">
        <v>38</v>
      </c>
      <c r="M373">
        <v>63459</v>
      </c>
      <c r="N373" t="s">
        <v>705</v>
      </c>
      <c r="O373" t="s">
        <v>706</v>
      </c>
      <c r="P373" t="s">
        <v>38</v>
      </c>
      <c r="Q373" t="s">
        <v>313</v>
      </c>
      <c r="R373">
        <v>13</v>
      </c>
      <c r="S373" t="s">
        <v>45</v>
      </c>
      <c r="T37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3">
        <v>63460</v>
      </c>
      <c r="V373" t="s">
        <v>38</v>
      </c>
      <c r="W373" t="s">
        <v>313</v>
      </c>
      <c r="X373">
        <v>13</v>
      </c>
      <c r="Y373">
        <v>0</v>
      </c>
      <c r="Z373" t="s">
        <v>46</v>
      </c>
      <c r="AA373">
        <v>63519</v>
      </c>
      <c r="AB373" t="s">
        <v>801</v>
      </c>
      <c r="AC373" t="s">
        <v>103</v>
      </c>
      <c r="AD373" t="s">
        <v>38</v>
      </c>
      <c r="AE373" t="s">
        <v>49</v>
      </c>
      <c r="AF373" t="s">
        <v>50</v>
      </c>
      <c r="AG373">
        <v>0</v>
      </c>
      <c r="AH373">
        <v>0</v>
      </c>
      <c r="AI373" t="s">
        <v>51</v>
      </c>
      <c r="AJ373" t="s">
        <v>51</v>
      </c>
      <c r="AK373" t="s">
        <v>51</v>
      </c>
    </row>
    <row r="374" spans="1:37" x14ac:dyDescent="0.2">
      <c r="A374">
        <v>63458</v>
      </c>
      <c r="B374" t="s">
        <v>37</v>
      </c>
      <c r="C374" t="s">
        <v>38</v>
      </c>
      <c r="D374" t="s">
        <v>674</v>
      </c>
      <c r="E374" t="s">
        <v>40</v>
      </c>
      <c r="G374" s="4">
        <v>43948.510324074074</v>
      </c>
      <c r="H374" s="4">
        <v>43948.511030092593</v>
      </c>
      <c r="I374" t="s">
        <v>675</v>
      </c>
      <c r="J374" s="5">
        <v>61.00000000000000000000000000000000000004</v>
      </c>
      <c r="K374" t="s">
        <v>38</v>
      </c>
      <c r="M374">
        <v>63459</v>
      </c>
      <c r="N374" t="s">
        <v>705</v>
      </c>
      <c r="O374" t="s">
        <v>706</v>
      </c>
      <c r="P374" t="s">
        <v>38</v>
      </c>
      <c r="Q374" t="s">
        <v>313</v>
      </c>
      <c r="R374">
        <v>13</v>
      </c>
      <c r="S374" t="s">
        <v>45</v>
      </c>
      <c r="T37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4">
        <v>63460</v>
      </c>
      <c r="V374" t="s">
        <v>38</v>
      </c>
      <c r="W374" t="s">
        <v>313</v>
      </c>
      <c r="X374">
        <v>13</v>
      </c>
      <c r="Y374">
        <v>0</v>
      </c>
      <c r="Z374" t="s">
        <v>46</v>
      </c>
      <c r="AA374">
        <v>63518</v>
      </c>
      <c r="AB374" t="s">
        <v>802</v>
      </c>
      <c r="AC374" t="s">
        <v>103</v>
      </c>
      <c r="AD374" t="s">
        <v>38</v>
      </c>
      <c r="AE374" t="s">
        <v>49</v>
      </c>
      <c r="AF374" t="s">
        <v>50</v>
      </c>
      <c r="AG374">
        <v>0</v>
      </c>
      <c r="AH374">
        <v>0</v>
      </c>
      <c r="AI374" t="s">
        <v>51</v>
      </c>
      <c r="AJ374" t="s">
        <v>51</v>
      </c>
      <c r="AK374" t="s">
        <v>51</v>
      </c>
    </row>
    <row r="375" spans="1:37" x14ac:dyDescent="0.2">
      <c r="A375">
        <v>63458</v>
      </c>
      <c r="B375" t="s">
        <v>37</v>
      </c>
      <c r="C375" t="s">
        <v>38</v>
      </c>
      <c r="D375" t="s">
        <v>674</v>
      </c>
      <c r="E375" t="s">
        <v>40</v>
      </c>
      <c r="G375" s="4">
        <v>43948.510324074074</v>
      </c>
      <c r="H375" s="4">
        <v>43948.511030092593</v>
      </c>
      <c r="I375" t="s">
        <v>675</v>
      </c>
      <c r="J375" s="5">
        <v>61.00000000000000000000000000000000000004</v>
      </c>
      <c r="K375" t="s">
        <v>38</v>
      </c>
      <c r="M375">
        <v>63459</v>
      </c>
      <c r="N375" t="s">
        <v>705</v>
      </c>
      <c r="O375" t="s">
        <v>706</v>
      </c>
      <c r="P375" t="s">
        <v>38</v>
      </c>
      <c r="Q375" t="s">
        <v>313</v>
      </c>
      <c r="R375">
        <v>13</v>
      </c>
      <c r="S375" t="s">
        <v>45</v>
      </c>
      <c r="T37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5">
        <v>63460</v>
      </c>
      <c r="V375" t="s">
        <v>38</v>
      </c>
      <c r="W375" t="s">
        <v>313</v>
      </c>
      <c r="X375">
        <v>13</v>
      </c>
      <c r="Y375">
        <v>0</v>
      </c>
      <c r="Z375" t="s">
        <v>46</v>
      </c>
      <c r="AA375">
        <v>63517</v>
      </c>
      <c r="AB375" t="s">
        <v>803</v>
      </c>
      <c r="AC375" t="s">
        <v>103</v>
      </c>
      <c r="AD375" t="s">
        <v>38</v>
      </c>
      <c r="AE375" t="s">
        <v>49</v>
      </c>
      <c r="AF375" t="s">
        <v>50</v>
      </c>
      <c r="AG375">
        <v>0</v>
      </c>
      <c r="AH375">
        <v>0</v>
      </c>
      <c r="AI375" t="s">
        <v>51</v>
      </c>
      <c r="AJ375" t="s">
        <v>51</v>
      </c>
      <c r="AK375" t="s">
        <v>51</v>
      </c>
    </row>
    <row r="376" spans="1:37" x14ac:dyDescent="0.2">
      <c r="A376">
        <v>63458</v>
      </c>
      <c r="B376" t="s">
        <v>37</v>
      </c>
      <c r="C376" t="s">
        <v>38</v>
      </c>
      <c r="D376" t="s">
        <v>674</v>
      </c>
      <c r="E376" t="s">
        <v>40</v>
      </c>
      <c r="G376" s="4">
        <v>43948.510324074074</v>
      </c>
      <c r="H376" s="4">
        <v>43948.511030092593</v>
      </c>
      <c r="I376" t="s">
        <v>675</v>
      </c>
      <c r="J376" s="5">
        <v>61.00000000000000000000000000000000000004</v>
      </c>
      <c r="K376" t="s">
        <v>38</v>
      </c>
      <c r="M376">
        <v>63459</v>
      </c>
      <c r="N376" t="s">
        <v>705</v>
      </c>
      <c r="O376" t="s">
        <v>706</v>
      </c>
      <c r="P376" t="s">
        <v>38</v>
      </c>
      <c r="Q376" t="s">
        <v>313</v>
      </c>
      <c r="R376">
        <v>13</v>
      </c>
      <c r="S376" t="s">
        <v>45</v>
      </c>
      <c r="T37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6">
        <v>63460</v>
      </c>
      <c r="V376" t="s">
        <v>38</v>
      </c>
      <c r="W376" t="s">
        <v>313</v>
      </c>
      <c r="X376">
        <v>13</v>
      </c>
      <c r="Y376">
        <v>0</v>
      </c>
      <c r="Z376" t="s">
        <v>46</v>
      </c>
      <c r="AA376">
        <v>63516</v>
      </c>
      <c r="AB376" t="s">
        <v>804</v>
      </c>
      <c r="AC376" t="s">
        <v>103</v>
      </c>
      <c r="AD376" t="s">
        <v>38</v>
      </c>
      <c r="AE376" t="s">
        <v>49</v>
      </c>
      <c r="AF376" t="s">
        <v>50</v>
      </c>
      <c r="AG376">
        <v>0</v>
      </c>
      <c r="AH376">
        <v>0</v>
      </c>
      <c r="AI376" t="s">
        <v>51</v>
      </c>
      <c r="AJ376" t="s">
        <v>51</v>
      </c>
      <c r="AK376" t="s">
        <v>51</v>
      </c>
    </row>
    <row r="377" spans="1:37" x14ac:dyDescent="0.2">
      <c r="A377">
        <v>63458</v>
      </c>
      <c r="B377" t="s">
        <v>37</v>
      </c>
      <c r="C377" t="s">
        <v>38</v>
      </c>
      <c r="D377" t="s">
        <v>674</v>
      </c>
      <c r="E377" t="s">
        <v>40</v>
      </c>
      <c r="G377" s="4">
        <v>43948.510324074074</v>
      </c>
      <c r="H377" s="4">
        <v>43948.511030092593</v>
      </c>
      <c r="I377" t="s">
        <v>675</v>
      </c>
      <c r="J377" s="5">
        <v>61.00000000000000000000000000000000000004</v>
      </c>
      <c r="K377" t="s">
        <v>38</v>
      </c>
      <c r="M377">
        <v>63459</v>
      </c>
      <c r="N377" t="s">
        <v>705</v>
      </c>
      <c r="O377" t="s">
        <v>706</v>
      </c>
      <c r="P377" t="s">
        <v>38</v>
      </c>
      <c r="Q377" t="s">
        <v>313</v>
      </c>
      <c r="R377">
        <v>13</v>
      </c>
      <c r="S377" t="s">
        <v>45</v>
      </c>
      <c r="T37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7">
        <v>63460</v>
      </c>
      <c r="V377" t="s">
        <v>38</v>
      </c>
      <c r="W377" t="s">
        <v>313</v>
      </c>
      <c r="X377">
        <v>13</v>
      </c>
      <c r="Y377">
        <v>0</v>
      </c>
      <c r="Z377" t="s">
        <v>46</v>
      </c>
      <c r="AA377">
        <v>63515</v>
      </c>
      <c r="AB377" t="s">
        <v>805</v>
      </c>
      <c r="AC377" t="s">
        <v>103</v>
      </c>
      <c r="AD377" t="s">
        <v>38</v>
      </c>
      <c r="AE377" t="s">
        <v>49</v>
      </c>
      <c r="AF377" t="s">
        <v>50</v>
      </c>
      <c r="AG377">
        <v>0</v>
      </c>
      <c r="AH377">
        <v>0</v>
      </c>
      <c r="AI377" t="s">
        <v>51</v>
      </c>
      <c r="AJ377" t="s">
        <v>51</v>
      </c>
      <c r="AK377" t="s">
        <v>51</v>
      </c>
    </row>
    <row r="378" spans="1:37" x14ac:dyDescent="0.2">
      <c r="A378">
        <v>63458</v>
      </c>
      <c r="B378" t="s">
        <v>37</v>
      </c>
      <c r="C378" t="s">
        <v>38</v>
      </c>
      <c r="D378" t="s">
        <v>674</v>
      </c>
      <c r="E378" t="s">
        <v>40</v>
      </c>
      <c r="G378" s="4">
        <v>43948.510324074074</v>
      </c>
      <c r="H378" s="4">
        <v>43948.511030092593</v>
      </c>
      <c r="I378" t="s">
        <v>675</v>
      </c>
      <c r="J378" s="5">
        <v>61.00000000000000000000000000000000000004</v>
      </c>
      <c r="K378" t="s">
        <v>38</v>
      </c>
      <c r="M378">
        <v>63459</v>
      </c>
      <c r="N378" t="s">
        <v>705</v>
      </c>
      <c r="O378" t="s">
        <v>706</v>
      </c>
      <c r="P378" t="s">
        <v>38</v>
      </c>
      <c r="Q378" t="s">
        <v>313</v>
      </c>
      <c r="R378">
        <v>13</v>
      </c>
      <c r="S378" t="s">
        <v>45</v>
      </c>
      <c r="T37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8">
        <v>63460</v>
      </c>
      <c r="V378" t="s">
        <v>38</v>
      </c>
      <c r="W378" t="s">
        <v>313</v>
      </c>
      <c r="X378">
        <v>13</v>
      </c>
      <c r="Y378">
        <v>0</v>
      </c>
      <c r="Z378" t="s">
        <v>46</v>
      </c>
      <c r="AA378">
        <v>63514</v>
      </c>
      <c r="AB378" t="s">
        <v>806</v>
      </c>
      <c r="AC378" t="s">
        <v>103</v>
      </c>
      <c r="AD378" t="s">
        <v>38</v>
      </c>
      <c r="AE378" t="s">
        <v>49</v>
      </c>
      <c r="AF378" t="s">
        <v>50</v>
      </c>
      <c r="AG378">
        <v>0</v>
      </c>
      <c r="AH378">
        <v>0</v>
      </c>
      <c r="AI378" t="s">
        <v>51</v>
      </c>
      <c r="AJ378" t="s">
        <v>51</v>
      </c>
      <c r="AK378" t="s">
        <v>51</v>
      </c>
    </row>
    <row r="379" spans="1:37" x14ac:dyDescent="0.2">
      <c r="A379">
        <v>63458</v>
      </c>
      <c r="B379" t="s">
        <v>37</v>
      </c>
      <c r="C379" t="s">
        <v>38</v>
      </c>
      <c r="D379" t="s">
        <v>674</v>
      </c>
      <c r="E379" t="s">
        <v>40</v>
      </c>
      <c r="G379" s="4">
        <v>43948.510324074074</v>
      </c>
      <c r="H379" s="4">
        <v>43948.511030092593</v>
      </c>
      <c r="I379" t="s">
        <v>675</v>
      </c>
      <c r="J379" s="5">
        <v>61.00000000000000000000000000000000000004</v>
      </c>
      <c r="K379" t="s">
        <v>38</v>
      </c>
      <c r="M379">
        <v>63459</v>
      </c>
      <c r="N379" t="s">
        <v>705</v>
      </c>
      <c r="O379" t="s">
        <v>706</v>
      </c>
      <c r="P379" t="s">
        <v>38</v>
      </c>
      <c r="Q379" t="s">
        <v>313</v>
      </c>
      <c r="R379">
        <v>13</v>
      </c>
      <c r="S379" t="s">
        <v>45</v>
      </c>
      <c r="T37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79">
        <v>63460</v>
      </c>
      <c r="V379" t="s">
        <v>38</v>
      </c>
      <c r="W379" t="s">
        <v>313</v>
      </c>
      <c r="X379">
        <v>13</v>
      </c>
      <c r="Y379">
        <v>0</v>
      </c>
      <c r="Z379" t="s">
        <v>46</v>
      </c>
      <c r="AA379">
        <v>63513</v>
      </c>
      <c r="AB379" t="s">
        <v>807</v>
      </c>
      <c r="AC379" t="s">
        <v>103</v>
      </c>
      <c r="AD379" t="s">
        <v>38</v>
      </c>
      <c r="AE379" t="s">
        <v>49</v>
      </c>
      <c r="AF379" t="s">
        <v>50</v>
      </c>
      <c r="AG379">
        <v>0</v>
      </c>
      <c r="AH379">
        <v>0</v>
      </c>
      <c r="AI379" t="s">
        <v>51</v>
      </c>
      <c r="AJ379" t="s">
        <v>51</v>
      </c>
      <c r="AK379" t="s">
        <v>51</v>
      </c>
    </row>
    <row r="380" spans="1:37" x14ac:dyDescent="0.2">
      <c r="A380">
        <v>63458</v>
      </c>
      <c r="B380" t="s">
        <v>37</v>
      </c>
      <c r="C380" t="s">
        <v>38</v>
      </c>
      <c r="D380" t="s">
        <v>674</v>
      </c>
      <c r="E380" t="s">
        <v>40</v>
      </c>
      <c r="G380" s="4">
        <v>43948.510324074074</v>
      </c>
      <c r="H380" s="4">
        <v>43948.511030092593</v>
      </c>
      <c r="I380" t="s">
        <v>675</v>
      </c>
      <c r="J380" s="5">
        <v>61.00000000000000000000000000000000000004</v>
      </c>
      <c r="K380" t="s">
        <v>38</v>
      </c>
      <c r="M380">
        <v>63459</v>
      </c>
      <c r="N380" t="s">
        <v>705</v>
      </c>
      <c r="O380" t="s">
        <v>706</v>
      </c>
      <c r="P380" t="s">
        <v>38</v>
      </c>
      <c r="Q380" t="s">
        <v>313</v>
      </c>
      <c r="R380">
        <v>13</v>
      </c>
      <c r="S380" t="s">
        <v>45</v>
      </c>
      <c r="T38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0">
        <v>63460</v>
      </c>
      <c r="V380" t="s">
        <v>38</v>
      </c>
      <c r="W380" t="s">
        <v>313</v>
      </c>
      <c r="X380">
        <v>13</v>
      </c>
      <c r="Y380">
        <v>0</v>
      </c>
      <c r="Z380" t="s">
        <v>46</v>
      </c>
      <c r="AA380">
        <v>63512</v>
      </c>
      <c r="AB380" t="s">
        <v>808</v>
      </c>
      <c r="AC380" t="s">
        <v>103</v>
      </c>
      <c r="AD380" t="s">
        <v>38</v>
      </c>
      <c r="AE380" t="s">
        <v>49</v>
      </c>
      <c r="AF380" t="s">
        <v>50</v>
      </c>
      <c r="AG380">
        <v>0</v>
      </c>
      <c r="AH380">
        <v>0</v>
      </c>
      <c r="AI380" t="s">
        <v>51</v>
      </c>
      <c r="AJ380" t="s">
        <v>51</v>
      </c>
      <c r="AK380" t="s">
        <v>51</v>
      </c>
    </row>
    <row r="381" spans="1:37" x14ac:dyDescent="0.2">
      <c r="A381">
        <v>63458</v>
      </c>
      <c r="B381" t="s">
        <v>37</v>
      </c>
      <c r="C381" t="s">
        <v>38</v>
      </c>
      <c r="D381" t="s">
        <v>674</v>
      </c>
      <c r="E381" t="s">
        <v>40</v>
      </c>
      <c r="G381" s="4">
        <v>43948.510324074074</v>
      </c>
      <c r="H381" s="4">
        <v>43948.511030092593</v>
      </c>
      <c r="I381" t="s">
        <v>675</v>
      </c>
      <c r="J381" s="5">
        <v>61.00000000000000000000000000000000000004</v>
      </c>
      <c r="K381" t="s">
        <v>38</v>
      </c>
      <c r="M381">
        <v>63459</v>
      </c>
      <c r="N381" t="s">
        <v>705</v>
      </c>
      <c r="O381" t="s">
        <v>706</v>
      </c>
      <c r="P381" t="s">
        <v>38</v>
      </c>
      <c r="Q381" t="s">
        <v>313</v>
      </c>
      <c r="R381">
        <v>13</v>
      </c>
      <c r="S381" t="s">
        <v>45</v>
      </c>
      <c r="T38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1">
        <v>63460</v>
      </c>
      <c r="V381" t="s">
        <v>38</v>
      </c>
      <c r="W381" t="s">
        <v>313</v>
      </c>
      <c r="X381">
        <v>13</v>
      </c>
      <c r="Y381">
        <v>0</v>
      </c>
      <c r="Z381" t="s">
        <v>46</v>
      </c>
      <c r="AA381">
        <v>63511</v>
      </c>
      <c r="AB381" t="s">
        <v>809</v>
      </c>
      <c r="AC381" t="s">
        <v>103</v>
      </c>
      <c r="AD381" t="s">
        <v>38</v>
      </c>
      <c r="AE381" t="s">
        <v>49</v>
      </c>
      <c r="AF381" t="s">
        <v>50</v>
      </c>
      <c r="AG381">
        <v>0</v>
      </c>
      <c r="AH381">
        <v>0</v>
      </c>
      <c r="AI381" t="s">
        <v>51</v>
      </c>
      <c r="AJ381" t="s">
        <v>51</v>
      </c>
      <c r="AK381" t="s">
        <v>51</v>
      </c>
    </row>
    <row r="382" spans="1:37" x14ac:dyDescent="0.2">
      <c r="A382">
        <v>63458</v>
      </c>
      <c r="B382" t="s">
        <v>37</v>
      </c>
      <c r="C382" t="s">
        <v>38</v>
      </c>
      <c r="D382" t="s">
        <v>674</v>
      </c>
      <c r="E382" t="s">
        <v>40</v>
      </c>
      <c r="G382" s="4">
        <v>43948.510324074074</v>
      </c>
      <c r="H382" s="4">
        <v>43948.511030092593</v>
      </c>
      <c r="I382" t="s">
        <v>675</v>
      </c>
      <c r="J382" s="5">
        <v>61.00000000000000000000000000000000000004</v>
      </c>
      <c r="K382" t="s">
        <v>38</v>
      </c>
      <c r="M382">
        <v>63459</v>
      </c>
      <c r="N382" t="s">
        <v>705</v>
      </c>
      <c r="O382" t="s">
        <v>706</v>
      </c>
      <c r="P382" t="s">
        <v>38</v>
      </c>
      <c r="Q382" t="s">
        <v>313</v>
      </c>
      <c r="R382">
        <v>13</v>
      </c>
      <c r="S382" t="s">
        <v>45</v>
      </c>
      <c r="T38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2">
        <v>63460</v>
      </c>
      <c r="V382" t="s">
        <v>38</v>
      </c>
      <c r="W382" t="s">
        <v>313</v>
      </c>
      <c r="X382">
        <v>13</v>
      </c>
      <c r="Y382">
        <v>0</v>
      </c>
      <c r="Z382" t="s">
        <v>46</v>
      </c>
      <c r="AA382">
        <v>63510</v>
      </c>
      <c r="AB382" t="s">
        <v>810</v>
      </c>
      <c r="AC382" t="s">
        <v>103</v>
      </c>
      <c r="AD382" t="s">
        <v>38</v>
      </c>
      <c r="AE382" t="s">
        <v>49</v>
      </c>
      <c r="AF382" t="s">
        <v>50</v>
      </c>
      <c r="AG382">
        <v>0</v>
      </c>
      <c r="AH382">
        <v>0</v>
      </c>
      <c r="AI382" t="s">
        <v>51</v>
      </c>
      <c r="AJ382" t="s">
        <v>51</v>
      </c>
      <c r="AK382" t="s">
        <v>51</v>
      </c>
    </row>
    <row r="383" spans="1:37" x14ac:dyDescent="0.2">
      <c r="A383">
        <v>63458</v>
      </c>
      <c r="B383" t="s">
        <v>37</v>
      </c>
      <c r="C383" t="s">
        <v>38</v>
      </c>
      <c r="D383" t="s">
        <v>674</v>
      </c>
      <c r="E383" t="s">
        <v>40</v>
      </c>
      <c r="G383" s="4">
        <v>43948.510324074074</v>
      </c>
      <c r="H383" s="4">
        <v>43948.511030092593</v>
      </c>
      <c r="I383" t="s">
        <v>675</v>
      </c>
      <c r="J383" s="5">
        <v>61.00000000000000000000000000000000000004</v>
      </c>
      <c r="K383" t="s">
        <v>38</v>
      </c>
      <c r="M383">
        <v>63459</v>
      </c>
      <c r="N383" t="s">
        <v>705</v>
      </c>
      <c r="O383" t="s">
        <v>706</v>
      </c>
      <c r="P383" t="s">
        <v>38</v>
      </c>
      <c r="Q383" t="s">
        <v>313</v>
      </c>
      <c r="R383">
        <v>13</v>
      </c>
      <c r="S383" t="s">
        <v>45</v>
      </c>
      <c r="T38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3">
        <v>63460</v>
      </c>
      <c r="V383" t="s">
        <v>38</v>
      </c>
      <c r="W383" t="s">
        <v>313</v>
      </c>
      <c r="X383">
        <v>13</v>
      </c>
      <c r="Y383">
        <v>0</v>
      </c>
      <c r="Z383" t="s">
        <v>46</v>
      </c>
      <c r="AA383">
        <v>63509</v>
      </c>
      <c r="AB383" t="s">
        <v>811</v>
      </c>
      <c r="AC383" t="s">
        <v>103</v>
      </c>
      <c r="AD383" t="s">
        <v>38</v>
      </c>
      <c r="AE383" t="s">
        <v>49</v>
      </c>
      <c r="AF383" t="s">
        <v>50</v>
      </c>
      <c r="AG383">
        <v>0</v>
      </c>
      <c r="AH383">
        <v>0</v>
      </c>
      <c r="AI383" t="s">
        <v>51</v>
      </c>
      <c r="AJ383" t="s">
        <v>51</v>
      </c>
      <c r="AK383" t="s">
        <v>51</v>
      </c>
    </row>
    <row r="384" spans="1:37" x14ac:dyDescent="0.2">
      <c r="A384">
        <v>63458</v>
      </c>
      <c r="B384" t="s">
        <v>37</v>
      </c>
      <c r="C384" t="s">
        <v>38</v>
      </c>
      <c r="D384" t="s">
        <v>674</v>
      </c>
      <c r="E384" t="s">
        <v>40</v>
      </c>
      <c r="G384" s="4">
        <v>43948.510324074074</v>
      </c>
      <c r="H384" s="4">
        <v>43948.511030092593</v>
      </c>
      <c r="I384" t="s">
        <v>675</v>
      </c>
      <c r="J384" s="5">
        <v>61.00000000000000000000000000000000000004</v>
      </c>
      <c r="K384" t="s">
        <v>38</v>
      </c>
      <c r="M384">
        <v>63459</v>
      </c>
      <c r="N384" t="s">
        <v>705</v>
      </c>
      <c r="O384" t="s">
        <v>706</v>
      </c>
      <c r="P384" t="s">
        <v>38</v>
      </c>
      <c r="Q384" t="s">
        <v>313</v>
      </c>
      <c r="R384">
        <v>13</v>
      </c>
      <c r="S384" t="s">
        <v>45</v>
      </c>
      <c r="T38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4">
        <v>63460</v>
      </c>
      <c r="V384" t="s">
        <v>38</v>
      </c>
      <c r="W384" t="s">
        <v>313</v>
      </c>
      <c r="X384">
        <v>13</v>
      </c>
      <c r="Y384">
        <v>0</v>
      </c>
      <c r="Z384" t="s">
        <v>46</v>
      </c>
      <c r="AA384">
        <v>63508</v>
      </c>
      <c r="AB384" t="s">
        <v>812</v>
      </c>
      <c r="AC384" t="s">
        <v>103</v>
      </c>
      <c r="AD384" t="s">
        <v>38</v>
      </c>
      <c r="AE384" t="s">
        <v>49</v>
      </c>
      <c r="AF384" t="s">
        <v>50</v>
      </c>
      <c r="AG384">
        <v>0</v>
      </c>
      <c r="AH384">
        <v>0</v>
      </c>
      <c r="AI384" t="s">
        <v>51</v>
      </c>
      <c r="AJ384" t="s">
        <v>51</v>
      </c>
      <c r="AK384" t="s">
        <v>51</v>
      </c>
    </row>
    <row r="385" spans="1:37" x14ac:dyDescent="0.2">
      <c r="A385">
        <v>63458</v>
      </c>
      <c r="B385" t="s">
        <v>37</v>
      </c>
      <c r="C385" t="s">
        <v>38</v>
      </c>
      <c r="D385" t="s">
        <v>674</v>
      </c>
      <c r="E385" t="s">
        <v>40</v>
      </c>
      <c r="G385" s="4">
        <v>43948.510324074074</v>
      </c>
      <c r="H385" s="4">
        <v>43948.511030092593</v>
      </c>
      <c r="I385" t="s">
        <v>675</v>
      </c>
      <c r="J385" s="5">
        <v>61.00000000000000000000000000000000000004</v>
      </c>
      <c r="K385" t="s">
        <v>38</v>
      </c>
      <c r="M385">
        <v>63459</v>
      </c>
      <c r="N385" t="s">
        <v>705</v>
      </c>
      <c r="O385" t="s">
        <v>706</v>
      </c>
      <c r="P385" t="s">
        <v>38</v>
      </c>
      <c r="Q385" t="s">
        <v>313</v>
      </c>
      <c r="R385">
        <v>13</v>
      </c>
      <c r="S385" t="s">
        <v>45</v>
      </c>
      <c r="T38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5">
        <v>63460</v>
      </c>
      <c r="V385" t="s">
        <v>38</v>
      </c>
      <c r="W385" t="s">
        <v>313</v>
      </c>
      <c r="X385">
        <v>13</v>
      </c>
      <c r="Y385">
        <v>0</v>
      </c>
      <c r="Z385" t="s">
        <v>46</v>
      </c>
      <c r="AA385">
        <v>63507</v>
      </c>
      <c r="AB385" t="s">
        <v>813</v>
      </c>
      <c r="AC385" t="s">
        <v>103</v>
      </c>
      <c r="AD385" t="s">
        <v>38</v>
      </c>
      <c r="AE385" t="s">
        <v>49</v>
      </c>
      <c r="AF385" t="s">
        <v>50</v>
      </c>
      <c r="AG385">
        <v>0</v>
      </c>
      <c r="AH385">
        <v>0</v>
      </c>
      <c r="AI385" t="s">
        <v>51</v>
      </c>
      <c r="AJ385" t="s">
        <v>51</v>
      </c>
      <c r="AK385" t="s">
        <v>51</v>
      </c>
    </row>
    <row r="386" spans="1:37" x14ac:dyDescent="0.2">
      <c r="A386">
        <v>63458</v>
      </c>
      <c r="B386" t="s">
        <v>37</v>
      </c>
      <c r="C386" t="s">
        <v>38</v>
      </c>
      <c r="D386" t="s">
        <v>674</v>
      </c>
      <c r="E386" t="s">
        <v>40</v>
      </c>
      <c r="G386" s="4">
        <v>43948.510324074074</v>
      </c>
      <c r="H386" s="4">
        <v>43948.511030092593</v>
      </c>
      <c r="I386" t="s">
        <v>675</v>
      </c>
      <c r="J386" s="5">
        <v>61.00000000000000000000000000000000000004</v>
      </c>
      <c r="K386" t="s">
        <v>38</v>
      </c>
      <c r="M386">
        <v>63459</v>
      </c>
      <c r="N386" t="s">
        <v>705</v>
      </c>
      <c r="O386" t="s">
        <v>706</v>
      </c>
      <c r="P386" t="s">
        <v>38</v>
      </c>
      <c r="Q386" t="s">
        <v>313</v>
      </c>
      <c r="R386">
        <v>13</v>
      </c>
      <c r="S386" t="s">
        <v>45</v>
      </c>
      <c r="T38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6">
        <v>63460</v>
      </c>
      <c r="V386" t="s">
        <v>38</v>
      </c>
      <c r="W386" t="s">
        <v>313</v>
      </c>
      <c r="X386">
        <v>13</v>
      </c>
      <c r="Y386">
        <v>0</v>
      </c>
      <c r="Z386" t="s">
        <v>46</v>
      </c>
      <c r="AA386">
        <v>63506</v>
      </c>
      <c r="AB386" t="s">
        <v>814</v>
      </c>
      <c r="AC386" t="s">
        <v>103</v>
      </c>
      <c r="AD386" t="s">
        <v>38</v>
      </c>
      <c r="AE386" t="s">
        <v>49</v>
      </c>
      <c r="AF386" t="s">
        <v>50</v>
      </c>
      <c r="AG386">
        <v>0</v>
      </c>
      <c r="AH386">
        <v>0</v>
      </c>
      <c r="AI386" t="s">
        <v>51</v>
      </c>
      <c r="AJ386" t="s">
        <v>51</v>
      </c>
      <c r="AK386" t="s">
        <v>51</v>
      </c>
    </row>
    <row r="387" spans="1:37" x14ac:dyDescent="0.2">
      <c r="A387">
        <v>63458</v>
      </c>
      <c r="B387" t="s">
        <v>37</v>
      </c>
      <c r="C387" t="s">
        <v>38</v>
      </c>
      <c r="D387" t="s">
        <v>674</v>
      </c>
      <c r="E387" t="s">
        <v>40</v>
      </c>
      <c r="G387" s="4">
        <v>43948.510324074074</v>
      </c>
      <c r="H387" s="4">
        <v>43948.511030092593</v>
      </c>
      <c r="I387" t="s">
        <v>675</v>
      </c>
      <c r="J387" s="5">
        <v>61.00000000000000000000000000000000000004</v>
      </c>
      <c r="K387" t="s">
        <v>38</v>
      </c>
      <c r="M387">
        <v>63459</v>
      </c>
      <c r="N387" t="s">
        <v>705</v>
      </c>
      <c r="O387" t="s">
        <v>706</v>
      </c>
      <c r="P387" t="s">
        <v>38</v>
      </c>
      <c r="Q387" t="s">
        <v>313</v>
      </c>
      <c r="R387">
        <v>13</v>
      </c>
      <c r="S387" t="s">
        <v>45</v>
      </c>
      <c r="T38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7">
        <v>63460</v>
      </c>
      <c r="V387" t="s">
        <v>38</v>
      </c>
      <c r="W387" t="s">
        <v>313</v>
      </c>
      <c r="X387">
        <v>13</v>
      </c>
      <c r="Y387">
        <v>0</v>
      </c>
      <c r="Z387" t="s">
        <v>46</v>
      </c>
      <c r="AA387">
        <v>63505</v>
      </c>
      <c r="AB387" t="s">
        <v>815</v>
      </c>
      <c r="AC387" t="s">
        <v>103</v>
      </c>
      <c r="AD387" t="s">
        <v>38</v>
      </c>
      <c r="AE387" t="s">
        <v>49</v>
      </c>
      <c r="AF387" t="s">
        <v>50</v>
      </c>
      <c r="AG387">
        <v>0</v>
      </c>
      <c r="AH387">
        <v>0</v>
      </c>
      <c r="AI387" t="s">
        <v>51</v>
      </c>
      <c r="AJ387" t="s">
        <v>51</v>
      </c>
      <c r="AK387" t="s">
        <v>51</v>
      </c>
    </row>
    <row r="388" spans="1:37" x14ac:dyDescent="0.2">
      <c r="A388">
        <v>63458</v>
      </c>
      <c r="B388" t="s">
        <v>37</v>
      </c>
      <c r="C388" t="s">
        <v>38</v>
      </c>
      <c r="D388" t="s">
        <v>674</v>
      </c>
      <c r="E388" t="s">
        <v>40</v>
      </c>
      <c r="G388" s="4">
        <v>43948.510324074074</v>
      </c>
      <c r="H388" s="4">
        <v>43948.511030092593</v>
      </c>
      <c r="I388" t="s">
        <v>675</v>
      </c>
      <c r="J388" s="5">
        <v>61.00000000000000000000000000000000000004</v>
      </c>
      <c r="K388" t="s">
        <v>38</v>
      </c>
      <c r="M388">
        <v>63459</v>
      </c>
      <c r="N388" t="s">
        <v>705</v>
      </c>
      <c r="O388" t="s">
        <v>706</v>
      </c>
      <c r="P388" t="s">
        <v>38</v>
      </c>
      <c r="Q388" t="s">
        <v>313</v>
      </c>
      <c r="R388">
        <v>13</v>
      </c>
      <c r="S388" t="s">
        <v>45</v>
      </c>
      <c r="T38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8">
        <v>63460</v>
      </c>
      <c r="V388" t="s">
        <v>38</v>
      </c>
      <c r="W388" t="s">
        <v>313</v>
      </c>
      <c r="X388">
        <v>13</v>
      </c>
      <c r="Y388">
        <v>0</v>
      </c>
      <c r="Z388" t="s">
        <v>46</v>
      </c>
      <c r="AA388">
        <v>63504</v>
      </c>
      <c r="AB388" t="s">
        <v>816</v>
      </c>
      <c r="AC388" t="s">
        <v>103</v>
      </c>
      <c r="AD388" t="s">
        <v>38</v>
      </c>
      <c r="AE388" t="s">
        <v>49</v>
      </c>
      <c r="AF388" t="s">
        <v>50</v>
      </c>
      <c r="AG388">
        <v>0</v>
      </c>
      <c r="AH388">
        <v>0</v>
      </c>
      <c r="AI388" t="s">
        <v>51</v>
      </c>
      <c r="AJ388" t="s">
        <v>51</v>
      </c>
      <c r="AK388" t="s">
        <v>51</v>
      </c>
    </row>
    <row r="389" spans="1:37" x14ac:dyDescent="0.2">
      <c r="A389">
        <v>63458</v>
      </c>
      <c r="B389" t="s">
        <v>37</v>
      </c>
      <c r="C389" t="s">
        <v>38</v>
      </c>
      <c r="D389" t="s">
        <v>674</v>
      </c>
      <c r="E389" t="s">
        <v>40</v>
      </c>
      <c r="G389" s="4">
        <v>43948.510324074074</v>
      </c>
      <c r="H389" s="4">
        <v>43948.511030092593</v>
      </c>
      <c r="I389" t="s">
        <v>675</v>
      </c>
      <c r="J389" s="5">
        <v>61.00000000000000000000000000000000000004</v>
      </c>
      <c r="K389" t="s">
        <v>38</v>
      </c>
      <c r="M389">
        <v>63459</v>
      </c>
      <c r="N389" t="s">
        <v>705</v>
      </c>
      <c r="O389" t="s">
        <v>706</v>
      </c>
      <c r="P389" t="s">
        <v>38</v>
      </c>
      <c r="Q389" t="s">
        <v>313</v>
      </c>
      <c r="R389">
        <v>13</v>
      </c>
      <c r="S389" t="s">
        <v>45</v>
      </c>
      <c r="T38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89">
        <v>63460</v>
      </c>
      <c r="V389" t="s">
        <v>38</v>
      </c>
      <c r="W389" t="s">
        <v>313</v>
      </c>
      <c r="X389">
        <v>13</v>
      </c>
      <c r="Y389">
        <v>0</v>
      </c>
      <c r="Z389" t="s">
        <v>46</v>
      </c>
      <c r="AA389">
        <v>63503</v>
      </c>
      <c r="AB389" t="s">
        <v>817</v>
      </c>
      <c r="AC389" t="s">
        <v>103</v>
      </c>
      <c r="AD389" t="s">
        <v>38</v>
      </c>
      <c r="AE389" t="s">
        <v>49</v>
      </c>
      <c r="AF389" t="s">
        <v>50</v>
      </c>
      <c r="AG389">
        <v>0</v>
      </c>
      <c r="AH389">
        <v>0</v>
      </c>
      <c r="AI389" t="s">
        <v>51</v>
      </c>
      <c r="AJ389" t="s">
        <v>51</v>
      </c>
      <c r="AK389" t="s">
        <v>51</v>
      </c>
    </row>
    <row r="390" spans="1:37" x14ac:dyDescent="0.2">
      <c r="A390">
        <v>63458</v>
      </c>
      <c r="B390" t="s">
        <v>37</v>
      </c>
      <c r="C390" t="s">
        <v>38</v>
      </c>
      <c r="D390" t="s">
        <v>674</v>
      </c>
      <c r="E390" t="s">
        <v>40</v>
      </c>
      <c r="G390" s="4">
        <v>43948.510324074074</v>
      </c>
      <c r="H390" s="4">
        <v>43948.511030092593</v>
      </c>
      <c r="I390" t="s">
        <v>675</v>
      </c>
      <c r="J390" s="5">
        <v>61.00000000000000000000000000000000000004</v>
      </c>
      <c r="K390" t="s">
        <v>38</v>
      </c>
      <c r="M390">
        <v>63459</v>
      </c>
      <c r="N390" t="s">
        <v>705</v>
      </c>
      <c r="O390" t="s">
        <v>706</v>
      </c>
      <c r="P390" t="s">
        <v>38</v>
      </c>
      <c r="Q390" t="s">
        <v>313</v>
      </c>
      <c r="R390">
        <v>13</v>
      </c>
      <c r="S390" t="s">
        <v>45</v>
      </c>
      <c r="T39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0">
        <v>63460</v>
      </c>
      <c r="V390" t="s">
        <v>38</v>
      </c>
      <c r="W390" t="s">
        <v>313</v>
      </c>
      <c r="X390">
        <v>13</v>
      </c>
      <c r="Y390">
        <v>0</v>
      </c>
      <c r="Z390" t="s">
        <v>46</v>
      </c>
      <c r="AA390">
        <v>63502</v>
      </c>
      <c r="AB390" t="s">
        <v>818</v>
      </c>
      <c r="AC390" t="s">
        <v>103</v>
      </c>
      <c r="AD390" t="s">
        <v>38</v>
      </c>
      <c r="AE390" t="s">
        <v>49</v>
      </c>
      <c r="AF390" t="s">
        <v>50</v>
      </c>
      <c r="AG390">
        <v>0</v>
      </c>
      <c r="AH390">
        <v>0</v>
      </c>
      <c r="AI390" t="s">
        <v>51</v>
      </c>
      <c r="AJ390" t="s">
        <v>51</v>
      </c>
      <c r="AK390" t="s">
        <v>51</v>
      </c>
    </row>
    <row r="391" spans="1:37" x14ac:dyDescent="0.2">
      <c r="A391">
        <v>63458</v>
      </c>
      <c r="B391" t="s">
        <v>37</v>
      </c>
      <c r="C391" t="s">
        <v>38</v>
      </c>
      <c r="D391" t="s">
        <v>674</v>
      </c>
      <c r="E391" t="s">
        <v>40</v>
      </c>
      <c r="G391" s="4">
        <v>43948.510324074074</v>
      </c>
      <c r="H391" s="4">
        <v>43948.511030092593</v>
      </c>
      <c r="I391" t="s">
        <v>675</v>
      </c>
      <c r="J391" s="5">
        <v>61.00000000000000000000000000000000000004</v>
      </c>
      <c r="K391" t="s">
        <v>38</v>
      </c>
      <c r="M391">
        <v>63459</v>
      </c>
      <c r="N391" t="s">
        <v>705</v>
      </c>
      <c r="O391" t="s">
        <v>706</v>
      </c>
      <c r="P391" t="s">
        <v>38</v>
      </c>
      <c r="Q391" t="s">
        <v>313</v>
      </c>
      <c r="R391">
        <v>13</v>
      </c>
      <c r="S391" t="s">
        <v>45</v>
      </c>
      <c r="T39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1">
        <v>63460</v>
      </c>
      <c r="V391" t="s">
        <v>38</v>
      </c>
      <c r="W391" t="s">
        <v>313</v>
      </c>
      <c r="X391">
        <v>13</v>
      </c>
      <c r="Y391">
        <v>0</v>
      </c>
      <c r="Z391" t="s">
        <v>46</v>
      </c>
      <c r="AA391">
        <v>63501</v>
      </c>
      <c r="AB391" t="s">
        <v>819</v>
      </c>
      <c r="AC391" t="s">
        <v>103</v>
      </c>
      <c r="AD391" t="s">
        <v>38</v>
      </c>
      <c r="AE391" t="s">
        <v>49</v>
      </c>
      <c r="AF391" t="s">
        <v>50</v>
      </c>
      <c r="AG391">
        <v>0</v>
      </c>
      <c r="AH391">
        <v>0</v>
      </c>
      <c r="AI391" t="s">
        <v>51</v>
      </c>
      <c r="AJ391" t="s">
        <v>51</v>
      </c>
      <c r="AK391" t="s">
        <v>51</v>
      </c>
    </row>
    <row r="392" spans="1:37" x14ac:dyDescent="0.2">
      <c r="A392">
        <v>63458</v>
      </c>
      <c r="B392" t="s">
        <v>37</v>
      </c>
      <c r="C392" t="s">
        <v>38</v>
      </c>
      <c r="D392" t="s">
        <v>674</v>
      </c>
      <c r="E392" t="s">
        <v>40</v>
      </c>
      <c r="G392" s="4">
        <v>43948.510324074074</v>
      </c>
      <c r="H392" s="4">
        <v>43948.511030092593</v>
      </c>
      <c r="I392" t="s">
        <v>675</v>
      </c>
      <c r="J392" s="5">
        <v>61.00000000000000000000000000000000000004</v>
      </c>
      <c r="K392" t="s">
        <v>38</v>
      </c>
      <c r="M392">
        <v>63459</v>
      </c>
      <c r="N392" t="s">
        <v>705</v>
      </c>
      <c r="O392" t="s">
        <v>706</v>
      </c>
      <c r="P392" t="s">
        <v>38</v>
      </c>
      <c r="Q392" t="s">
        <v>313</v>
      </c>
      <c r="R392">
        <v>13</v>
      </c>
      <c r="S392" t="s">
        <v>45</v>
      </c>
      <c r="T39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2">
        <v>63460</v>
      </c>
      <c r="V392" t="s">
        <v>38</v>
      </c>
      <c r="W392" t="s">
        <v>313</v>
      </c>
      <c r="X392">
        <v>13</v>
      </c>
      <c r="Y392">
        <v>0</v>
      </c>
      <c r="Z392" t="s">
        <v>46</v>
      </c>
      <c r="AA392">
        <v>63500</v>
      </c>
      <c r="AB392" t="s">
        <v>820</v>
      </c>
      <c r="AC392" t="s">
        <v>103</v>
      </c>
      <c r="AD392" t="s">
        <v>38</v>
      </c>
      <c r="AE392" t="s">
        <v>49</v>
      </c>
      <c r="AF392" t="s">
        <v>50</v>
      </c>
      <c r="AG392">
        <v>0</v>
      </c>
      <c r="AH392">
        <v>0</v>
      </c>
      <c r="AI392" t="s">
        <v>51</v>
      </c>
      <c r="AJ392" t="s">
        <v>51</v>
      </c>
      <c r="AK392" t="s">
        <v>51</v>
      </c>
    </row>
    <row r="393" spans="1:37" x14ac:dyDescent="0.2">
      <c r="A393">
        <v>63458</v>
      </c>
      <c r="B393" t="s">
        <v>37</v>
      </c>
      <c r="C393" t="s">
        <v>38</v>
      </c>
      <c r="D393" t="s">
        <v>674</v>
      </c>
      <c r="E393" t="s">
        <v>40</v>
      </c>
      <c r="G393" s="4">
        <v>43948.510324074074</v>
      </c>
      <c r="H393" s="4">
        <v>43948.511030092593</v>
      </c>
      <c r="I393" t="s">
        <v>675</v>
      </c>
      <c r="J393" s="5">
        <v>61.00000000000000000000000000000000000004</v>
      </c>
      <c r="K393" t="s">
        <v>38</v>
      </c>
      <c r="M393">
        <v>63459</v>
      </c>
      <c r="N393" t="s">
        <v>705</v>
      </c>
      <c r="O393" t="s">
        <v>706</v>
      </c>
      <c r="P393" t="s">
        <v>38</v>
      </c>
      <c r="Q393" t="s">
        <v>313</v>
      </c>
      <c r="R393">
        <v>13</v>
      </c>
      <c r="S393" t="s">
        <v>45</v>
      </c>
      <c r="T39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3">
        <v>63460</v>
      </c>
      <c r="V393" t="s">
        <v>38</v>
      </c>
      <c r="W393" t="s">
        <v>313</v>
      </c>
      <c r="X393">
        <v>13</v>
      </c>
      <c r="Y393">
        <v>0</v>
      </c>
      <c r="Z393" t="s">
        <v>46</v>
      </c>
      <c r="AA393">
        <v>63499</v>
      </c>
      <c r="AB393" t="s">
        <v>821</v>
      </c>
      <c r="AC393" t="s">
        <v>103</v>
      </c>
      <c r="AD393" t="s">
        <v>38</v>
      </c>
      <c r="AE393" t="s">
        <v>49</v>
      </c>
      <c r="AF393" t="s">
        <v>50</v>
      </c>
      <c r="AG393">
        <v>0</v>
      </c>
      <c r="AH393">
        <v>0</v>
      </c>
      <c r="AI393" t="s">
        <v>51</v>
      </c>
      <c r="AJ393" t="s">
        <v>51</v>
      </c>
      <c r="AK393" t="s">
        <v>51</v>
      </c>
    </row>
    <row r="394" spans="1:37" x14ac:dyDescent="0.2">
      <c r="A394">
        <v>63458</v>
      </c>
      <c r="B394" t="s">
        <v>37</v>
      </c>
      <c r="C394" t="s">
        <v>38</v>
      </c>
      <c r="D394" t="s">
        <v>674</v>
      </c>
      <c r="E394" t="s">
        <v>40</v>
      </c>
      <c r="G394" s="4">
        <v>43948.510324074074</v>
      </c>
      <c r="H394" s="4">
        <v>43948.511030092593</v>
      </c>
      <c r="I394" t="s">
        <v>675</v>
      </c>
      <c r="J394" s="5">
        <v>61.00000000000000000000000000000000000004</v>
      </c>
      <c r="K394" t="s">
        <v>38</v>
      </c>
      <c r="M394">
        <v>63459</v>
      </c>
      <c r="N394" t="s">
        <v>705</v>
      </c>
      <c r="O394" t="s">
        <v>706</v>
      </c>
      <c r="P394" t="s">
        <v>38</v>
      </c>
      <c r="Q394" t="s">
        <v>313</v>
      </c>
      <c r="R394">
        <v>13</v>
      </c>
      <c r="S394" t="s">
        <v>45</v>
      </c>
      <c r="T39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4">
        <v>63460</v>
      </c>
      <c r="V394" t="s">
        <v>38</v>
      </c>
      <c r="W394" t="s">
        <v>313</v>
      </c>
      <c r="X394">
        <v>13</v>
      </c>
      <c r="Y394">
        <v>0</v>
      </c>
      <c r="Z394" t="s">
        <v>46</v>
      </c>
      <c r="AA394">
        <v>63498</v>
      </c>
      <c r="AB394" t="s">
        <v>822</v>
      </c>
      <c r="AC394" t="s">
        <v>103</v>
      </c>
      <c r="AD394" t="s">
        <v>38</v>
      </c>
      <c r="AE394" t="s">
        <v>49</v>
      </c>
      <c r="AF394" t="s">
        <v>50</v>
      </c>
      <c r="AG394">
        <v>0</v>
      </c>
      <c r="AH394">
        <v>0</v>
      </c>
      <c r="AI394" t="s">
        <v>51</v>
      </c>
      <c r="AJ394" t="s">
        <v>51</v>
      </c>
      <c r="AK394" t="s">
        <v>51</v>
      </c>
    </row>
    <row r="395" spans="1:37" x14ac:dyDescent="0.2">
      <c r="A395">
        <v>63458</v>
      </c>
      <c r="B395" t="s">
        <v>37</v>
      </c>
      <c r="C395" t="s">
        <v>38</v>
      </c>
      <c r="D395" t="s">
        <v>674</v>
      </c>
      <c r="E395" t="s">
        <v>40</v>
      </c>
      <c r="G395" s="4">
        <v>43948.510324074074</v>
      </c>
      <c r="H395" s="4">
        <v>43948.511030092593</v>
      </c>
      <c r="I395" t="s">
        <v>675</v>
      </c>
      <c r="J395" s="5">
        <v>61.00000000000000000000000000000000000004</v>
      </c>
      <c r="K395" t="s">
        <v>38</v>
      </c>
      <c r="M395">
        <v>63459</v>
      </c>
      <c r="N395" t="s">
        <v>705</v>
      </c>
      <c r="O395" t="s">
        <v>706</v>
      </c>
      <c r="P395" t="s">
        <v>38</v>
      </c>
      <c r="Q395" t="s">
        <v>313</v>
      </c>
      <c r="R395">
        <v>13</v>
      </c>
      <c r="S395" t="s">
        <v>45</v>
      </c>
      <c r="T39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5">
        <v>63460</v>
      </c>
      <c r="V395" t="s">
        <v>38</v>
      </c>
      <c r="W395" t="s">
        <v>313</v>
      </c>
      <c r="X395">
        <v>13</v>
      </c>
      <c r="Y395">
        <v>0</v>
      </c>
      <c r="Z395" t="s">
        <v>46</v>
      </c>
      <c r="AA395">
        <v>63497</v>
      </c>
      <c r="AB395" t="s">
        <v>823</v>
      </c>
      <c r="AC395" t="s">
        <v>103</v>
      </c>
      <c r="AD395" t="s">
        <v>38</v>
      </c>
      <c r="AE395" t="s">
        <v>49</v>
      </c>
      <c r="AF395" t="s">
        <v>50</v>
      </c>
      <c r="AG395">
        <v>0</v>
      </c>
      <c r="AH395">
        <v>0</v>
      </c>
      <c r="AI395" t="s">
        <v>51</v>
      </c>
      <c r="AJ395" t="s">
        <v>51</v>
      </c>
      <c r="AK395" t="s">
        <v>51</v>
      </c>
    </row>
    <row r="396" spans="1:37" x14ac:dyDescent="0.2">
      <c r="A396">
        <v>63458</v>
      </c>
      <c r="B396" t="s">
        <v>37</v>
      </c>
      <c r="C396" t="s">
        <v>38</v>
      </c>
      <c r="D396" t="s">
        <v>674</v>
      </c>
      <c r="E396" t="s">
        <v>40</v>
      </c>
      <c r="G396" s="4">
        <v>43948.510324074074</v>
      </c>
      <c r="H396" s="4">
        <v>43948.511030092593</v>
      </c>
      <c r="I396" t="s">
        <v>675</v>
      </c>
      <c r="J396" s="5">
        <v>61.00000000000000000000000000000000000004</v>
      </c>
      <c r="K396" t="s">
        <v>38</v>
      </c>
      <c r="M396">
        <v>63459</v>
      </c>
      <c r="N396" t="s">
        <v>705</v>
      </c>
      <c r="O396" t="s">
        <v>706</v>
      </c>
      <c r="P396" t="s">
        <v>38</v>
      </c>
      <c r="Q396" t="s">
        <v>313</v>
      </c>
      <c r="R396">
        <v>13</v>
      </c>
      <c r="S396" t="s">
        <v>45</v>
      </c>
      <c r="T39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6">
        <v>63460</v>
      </c>
      <c r="V396" t="s">
        <v>38</v>
      </c>
      <c r="W396" t="s">
        <v>313</v>
      </c>
      <c r="X396">
        <v>13</v>
      </c>
      <c r="Y396">
        <v>0</v>
      </c>
      <c r="Z396" t="s">
        <v>46</v>
      </c>
      <c r="AA396">
        <v>63496</v>
      </c>
      <c r="AB396" t="s">
        <v>824</v>
      </c>
      <c r="AC396" t="s">
        <v>103</v>
      </c>
      <c r="AD396" t="s">
        <v>38</v>
      </c>
      <c r="AE396" t="s">
        <v>49</v>
      </c>
      <c r="AF396" t="s">
        <v>50</v>
      </c>
      <c r="AG396">
        <v>0</v>
      </c>
      <c r="AH396">
        <v>0</v>
      </c>
      <c r="AI396" t="s">
        <v>51</v>
      </c>
      <c r="AJ396" t="s">
        <v>51</v>
      </c>
      <c r="AK396" t="s">
        <v>51</v>
      </c>
    </row>
    <row r="397" spans="1:37" x14ac:dyDescent="0.2">
      <c r="A397">
        <v>63458</v>
      </c>
      <c r="B397" t="s">
        <v>37</v>
      </c>
      <c r="C397" t="s">
        <v>38</v>
      </c>
      <c r="D397" t="s">
        <v>674</v>
      </c>
      <c r="E397" t="s">
        <v>40</v>
      </c>
      <c r="G397" s="4">
        <v>43948.510324074074</v>
      </c>
      <c r="H397" s="4">
        <v>43948.511030092593</v>
      </c>
      <c r="I397" t="s">
        <v>675</v>
      </c>
      <c r="J397" s="5">
        <v>61.00000000000000000000000000000000000004</v>
      </c>
      <c r="K397" t="s">
        <v>38</v>
      </c>
      <c r="M397">
        <v>63459</v>
      </c>
      <c r="N397" t="s">
        <v>705</v>
      </c>
      <c r="O397" t="s">
        <v>706</v>
      </c>
      <c r="P397" t="s">
        <v>38</v>
      </c>
      <c r="Q397" t="s">
        <v>313</v>
      </c>
      <c r="R397">
        <v>13</v>
      </c>
      <c r="S397" t="s">
        <v>45</v>
      </c>
      <c r="T39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7">
        <v>63460</v>
      </c>
      <c r="V397" t="s">
        <v>38</v>
      </c>
      <c r="W397" t="s">
        <v>313</v>
      </c>
      <c r="X397">
        <v>13</v>
      </c>
      <c r="Y397">
        <v>0</v>
      </c>
      <c r="Z397" t="s">
        <v>46</v>
      </c>
      <c r="AA397">
        <v>63495</v>
      </c>
      <c r="AB397" t="s">
        <v>825</v>
      </c>
      <c r="AC397" t="s">
        <v>103</v>
      </c>
      <c r="AD397" t="s">
        <v>38</v>
      </c>
      <c r="AE397" t="s">
        <v>49</v>
      </c>
      <c r="AF397" t="s">
        <v>50</v>
      </c>
      <c r="AG397">
        <v>0</v>
      </c>
      <c r="AH397">
        <v>0</v>
      </c>
      <c r="AI397" t="s">
        <v>51</v>
      </c>
      <c r="AJ397" t="s">
        <v>51</v>
      </c>
      <c r="AK397" t="s">
        <v>51</v>
      </c>
    </row>
    <row r="398" spans="1:37" x14ac:dyDescent="0.2">
      <c r="A398">
        <v>63458</v>
      </c>
      <c r="B398" t="s">
        <v>37</v>
      </c>
      <c r="C398" t="s">
        <v>38</v>
      </c>
      <c r="D398" t="s">
        <v>674</v>
      </c>
      <c r="E398" t="s">
        <v>40</v>
      </c>
      <c r="G398" s="4">
        <v>43948.510324074074</v>
      </c>
      <c r="H398" s="4">
        <v>43948.511030092593</v>
      </c>
      <c r="I398" t="s">
        <v>675</v>
      </c>
      <c r="J398" s="5">
        <v>61.00000000000000000000000000000000000004</v>
      </c>
      <c r="K398" t="s">
        <v>38</v>
      </c>
      <c r="M398">
        <v>63459</v>
      </c>
      <c r="N398" t="s">
        <v>705</v>
      </c>
      <c r="O398" t="s">
        <v>706</v>
      </c>
      <c r="P398" t="s">
        <v>38</v>
      </c>
      <c r="Q398" t="s">
        <v>313</v>
      </c>
      <c r="R398">
        <v>13</v>
      </c>
      <c r="S398" t="s">
        <v>45</v>
      </c>
      <c r="T39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8">
        <v>63460</v>
      </c>
      <c r="V398" t="s">
        <v>38</v>
      </c>
      <c r="W398" t="s">
        <v>313</v>
      </c>
      <c r="X398">
        <v>13</v>
      </c>
      <c r="Y398">
        <v>0</v>
      </c>
      <c r="Z398" t="s">
        <v>46</v>
      </c>
      <c r="AA398">
        <v>63494</v>
      </c>
      <c r="AB398" t="s">
        <v>826</v>
      </c>
      <c r="AC398" t="s">
        <v>103</v>
      </c>
      <c r="AD398" t="s">
        <v>38</v>
      </c>
      <c r="AE398" t="s">
        <v>49</v>
      </c>
      <c r="AF398" t="s">
        <v>50</v>
      </c>
      <c r="AG398">
        <v>0</v>
      </c>
      <c r="AH398">
        <v>0</v>
      </c>
      <c r="AI398" t="s">
        <v>51</v>
      </c>
      <c r="AJ398" t="s">
        <v>51</v>
      </c>
      <c r="AK398" t="s">
        <v>51</v>
      </c>
    </row>
    <row r="399" spans="1:37" x14ac:dyDescent="0.2">
      <c r="A399">
        <v>63458</v>
      </c>
      <c r="B399" t="s">
        <v>37</v>
      </c>
      <c r="C399" t="s">
        <v>38</v>
      </c>
      <c r="D399" t="s">
        <v>674</v>
      </c>
      <c r="E399" t="s">
        <v>40</v>
      </c>
      <c r="G399" s="4">
        <v>43948.510324074074</v>
      </c>
      <c r="H399" s="4">
        <v>43948.511030092593</v>
      </c>
      <c r="I399" t="s">
        <v>675</v>
      </c>
      <c r="J399" s="5">
        <v>61.00000000000000000000000000000000000004</v>
      </c>
      <c r="K399" t="s">
        <v>38</v>
      </c>
      <c r="M399">
        <v>63459</v>
      </c>
      <c r="N399" t="s">
        <v>705</v>
      </c>
      <c r="O399" t="s">
        <v>706</v>
      </c>
      <c r="P399" t="s">
        <v>38</v>
      </c>
      <c r="Q399" t="s">
        <v>313</v>
      </c>
      <c r="R399">
        <v>13</v>
      </c>
      <c r="S399" t="s">
        <v>45</v>
      </c>
      <c r="T39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399">
        <v>63460</v>
      </c>
      <c r="V399" t="s">
        <v>38</v>
      </c>
      <c r="W399" t="s">
        <v>313</v>
      </c>
      <c r="X399">
        <v>13</v>
      </c>
      <c r="Y399">
        <v>0</v>
      </c>
      <c r="Z399" t="s">
        <v>46</v>
      </c>
      <c r="AA399">
        <v>63493</v>
      </c>
      <c r="AB399" t="s">
        <v>827</v>
      </c>
      <c r="AC399" t="s">
        <v>103</v>
      </c>
      <c r="AD399" t="s">
        <v>38</v>
      </c>
      <c r="AE399" t="s">
        <v>49</v>
      </c>
      <c r="AF399" t="s">
        <v>50</v>
      </c>
      <c r="AG399">
        <v>0</v>
      </c>
      <c r="AH399">
        <v>0</v>
      </c>
      <c r="AI399" t="s">
        <v>51</v>
      </c>
      <c r="AJ399" t="s">
        <v>51</v>
      </c>
      <c r="AK399" t="s">
        <v>51</v>
      </c>
    </row>
    <row r="400" spans="1:37" x14ac:dyDescent="0.2">
      <c r="A400">
        <v>63458</v>
      </c>
      <c r="B400" t="s">
        <v>37</v>
      </c>
      <c r="C400" t="s">
        <v>38</v>
      </c>
      <c r="D400" t="s">
        <v>674</v>
      </c>
      <c r="E400" t="s">
        <v>40</v>
      </c>
      <c r="G400" s="4">
        <v>43948.510324074074</v>
      </c>
      <c r="H400" s="4">
        <v>43948.511030092593</v>
      </c>
      <c r="I400" t="s">
        <v>675</v>
      </c>
      <c r="J400" s="5">
        <v>61.00000000000000000000000000000000000004</v>
      </c>
      <c r="K400" t="s">
        <v>38</v>
      </c>
      <c r="M400">
        <v>63459</v>
      </c>
      <c r="N400" t="s">
        <v>705</v>
      </c>
      <c r="O400" t="s">
        <v>706</v>
      </c>
      <c r="P400" t="s">
        <v>38</v>
      </c>
      <c r="Q400" t="s">
        <v>313</v>
      </c>
      <c r="R400">
        <v>13</v>
      </c>
      <c r="S400" t="s">
        <v>45</v>
      </c>
      <c r="T40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0">
        <v>63460</v>
      </c>
      <c r="V400" t="s">
        <v>38</v>
      </c>
      <c r="W400" t="s">
        <v>313</v>
      </c>
      <c r="X400">
        <v>13</v>
      </c>
      <c r="Y400">
        <v>0</v>
      </c>
      <c r="Z400" t="s">
        <v>46</v>
      </c>
      <c r="AA400">
        <v>63492</v>
      </c>
      <c r="AB400" t="s">
        <v>828</v>
      </c>
      <c r="AC400" t="s">
        <v>103</v>
      </c>
      <c r="AD400" t="s">
        <v>38</v>
      </c>
      <c r="AE400" t="s">
        <v>49</v>
      </c>
      <c r="AF400" t="s">
        <v>50</v>
      </c>
      <c r="AG400">
        <v>0</v>
      </c>
      <c r="AH400">
        <v>0</v>
      </c>
      <c r="AI400" t="s">
        <v>51</v>
      </c>
      <c r="AJ400" t="s">
        <v>51</v>
      </c>
      <c r="AK400" t="s">
        <v>51</v>
      </c>
    </row>
    <row r="401" spans="1:37" x14ac:dyDescent="0.2">
      <c r="A401">
        <v>63458</v>
      </c>
      <c r="B401" t="s">
        <v>37</v>
      </c>
      <c r="C401" t="s">
        <v>38</v>
      </c>
      <c r="D401" t="s">
        <v>674</v>
      </c>
      <c r="E401" t="s">
        <v>40</v>
      </c>
      <c r="G401" s="4">
        <v>43948.510324074074</v>
      </c>
      <c r="H401" s="4">
        <v>43948.511030092593</v>
      </c>
      <c r="I401" t="s">
        <v>675</v>
      </c>
      <c r="J401" s="5">
        <v>61.00000000000000000000000000000000000004</v>
      </c>
      <c r="K401" t="s">
        <v>38</v>
      </c>
      <c r="M401">
        <v>63459</v>
      </c>
      <c r="N401" t="s">
        <v>705</v>
      </c>
      <c r="O401" t="s">
        <v>706</v>
      </c>
      <c r="P401" t="s">
        <v>38</v>
      </c>
      <c r="Q401" t="s">
        <v>313</v>
      </c>
      <c r="R401">
        <v>13</v>
      </c>
      <c r="S401" t="s">
        <v>45</v>
      </c>
      <c r="T40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1">
        <v>63460</v>
      </c>
      <c r="V401" t="s">
        <v>38</v>
      </c>
      <c r="W401" t="s">
        <v>313</v>
      </c>
      <c r="X401">
        <v>13</v>
      </c>
      <c r="Y401">
        <v>0</v>
      </c>
      <c r="Z401" t="s">
        <v>46</v>
      </c>
      <c r="AA401">
        <v>63491</v>
      </c>
      <c r="AB401" t="s">
        <v>829</v>
      </c>
      <c r="AC401" t="s">
        <v>103</v>
      </c>
      <c r="AD401" t="s">
        <v>38</v>
      </c>
      <c r="AE401" t="s">
        <v>49</v>
      </c>
      <c r="AF401" t="s">
        <v>50</v>
      </c>
      <c r="AG401">
        <v>0</v>
      </c>
      <c r="AH401">
        <v>0</v>
      </c>
      <c r="AI401" t="s">
        <v>51</v>
      </c>
      <c r="AJ401" t="s">
        <v>51</v>
      </c>
      <c r="AK401" t="s">
        <v>51</v>
      </c>
    </row>
    <row r="402" spans="1:37" x14ac:dyDescent="0.2">
      <c r="A402">
        <v>63458</v>
      </c>
      <c r="B402" t="s">
        <v>37</v>
      </c>
      <c r="C402" t="s">
        <v>38</v>
      </c>
      <c r="D402" t="s">
        <v>674</v>
      </c>
      <c r="E402" t="s">
        <v>40</v>
      </c>
      <c r="G402" s="4">
        <v>43948.510324074074</v>
      </c>
      <c r="H402" s="4">
        <v>43948.511030092593</v>
      </c>
      <c r="I402" t="s">
        <v>675</v>
      </c>
      <c r="J402" s="5">
        <v>61.00000000000000000000000000000000000004</v>
      </c>
      <c r="K402" t="s">
        <v>38</v>
      </c>
      <c r="M402">
        <v>63459</v>
      </c>
      <c r="N402" t="s">
        <v>705</v>
      </c>
      <c r="O402" t="s">
        <v>706</v>
      </c>
      <c r="P402" t="s">
        <v>38</v>
      </c>
      <c r="Q402" t="s">
        <v>313</v>
      </c>
      <c r="R402">
        <v>13</v>
      </c>
      <c r="S402" t="s">
        <v>45</v>
      </c>
      <c r="T40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2">
        <v>63460</v>
      </c>
      <c r="V402" t="s">
        <v>38</v>
      </c>
      <c r="W402" t="s">
        <v>313</v>
      </c>
      <c r="X402">
        <v>13</v>
      </c>
      <c r="Y402">
        <v>0</v>
      </c>
      <c r="Z402" t="s">
        <v>46</v>
      </c>
      <c r="AA402">
        <v>63490</v>
      </c>
      <c r="AB402" t="s">
        <v>830</v>
      </c>
      <c r="AC402" t="s">
        <v>103</v>
      </c>
      <c r="AD402" t="s">
        <v>38</v>
      </c>
      <c r="AE402" t="s">
        <v>49</v>
      </c>
      <c r="AF402" t="s">
        <v>50</v>
      </c>
      <c r="AG402">
        <v>0</v>
      </c>
      <c r="AH402">
        <v>0</v>
      </c>
      <c r="AI402" t="s">
        <v>51</v>
      </c>
      <c r="AJ402" t="s">
        <v>51</v>
      </c>
      <c r="AK402" t="s">
        <v>51</v>
      </c>
    </row>
    <row r="403" spans="1:37" x14ac:dyDescent="0.2">
      <c r="A403">
        <v>63458</v>
      </c>
      <c r="B403" t="s">
        <v>37</v>
      </c>
      <c r="C403" t="s">
        <v>38</v>
      </c>
      <c r="D403" t="s">
        <v>674</v>
      </c>
      <c r="E403" t="s">
        <v>40</v>
      </c>
      <c r="G403" s="4">
        <v>43948.510324074074</v>
      </c>
      <c r="H403" s="4">
        <v>43948.511030092593</v>
      </c>
      <c r="I403" t="s">
        <v>675</v>
      </c>
      <c r="J403" s="5">
        <v>61.00000000000000000000000000000000000004</v>
      </c>
      <c r="K403" t="s">
        <v>38</v>
      </c>
      <c r="M403">
        <v>63459</v>
      </c>
      <c r="N403" t="s">
        <v>705</v>
      </c>
      <c r="O403" t="s">
        <v>706</v>
      </c>
      <c r="P403" t="s">
        <v>38</v>
      </c>
      <c r="Q403" t="s">
        <v>313</v>
      </c>
      <c r="R403">
        <v>13</v>
      </c>
      <c r="S403" t="s">
        <v>45</v>
      </c>
      <c r="T40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3">
        <v>63460</v>
      </c>
      <c r="V403" t="s">
        <v>38</v>
      </c>
      <c r="W403" t="s">
        <v>313</v>
      </c>
      <c r="X403">
        <v>13</v>
      </c>
      <c r="Y403">
        <v>0</v>
      </c>
      <c r="Z403" t="s">
        <v>46</v>
      </c>
      <c r="AA403">
        <v>63489</v>
      </c>
      <c r="AB403" t="s">
        <v>831</v>
      </c>
      <c r="AC403" t="s">
        <v>103</v>
      </c>
      <c r="AD403" t="s">
        <v>38</v>
      </c>
      <c r="AE403" t="s">
        <v>49</v>
      </c>
      <c r="AF403" t="s">
        <v>50</v>
      </c>
      <c r="AG403">
        <v>0</v>
      </c>
      <c r="AH403">
        <v>0</v>
      </c>
      <c r="AI403" t="s">
        <v>51</v>
      </c>
      <c r="AJ403" t="s">
        <v>51</v>
      </c>
      <c r="AK403" t="s">
        <v>51</v>
      </c>
    </row>
    <row r="404" spans="1:37" x14ac:dyDescent="0.2">
      <c r="A404">
        <v>63458</v>
      </c>
      <c r="B404" t="s">
        <v>37</v>
      </c>
      <c r="C404" t="s">
        <v>38</v>
      </c>
      <c r="D404" t="s">
        <v>674</v>
      </c>
      <c r="E404" t="s">
        <v>40</v>
      </c>
      <c r="G404" s="4">
        <v>43948.510324074074</v>
      </c>
      <c r="H404" s="4">
        <v>43948.511030092593</v>
      </c>
      <c r="I404" t="s">
        <v>675</v>
      </c>
      <c r="J404" s="5">
        <v>61.00000000000000000000000000000000000004</v>
      </c>
      <c r="K404" t="s">
        <v>38</v>
      </c>
      <c r="M404">
        <v>63459</v>
      </c>
      <c r="N404" t="s">
        <v>705</v>
      </c>
      <c r="O404" t="s">
        <v>706</v>
      </c>
      <c r="P404" t="s">
        <v>38</v>
      </c>
      <c r="Q404" t="s">
        <v>313</v>
      </c>
      <c r="R404">
        <v>13</v>
      </c>
      <c r="S404" t="s">
        <v>45</v>
      </c>
      <c r="T40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4">
        <v>63460</v>
      </c>
      <c r="V404" t="s">
        <v>38</v>
      </c>
      <c r="W404" t="s">
        <v>313</v>
      </c>
      <c r="X404">
        <v>13</v>
      </c>
      <c r="Y404">
        <v>0</v>
      </c>
      <c r="Z404" t="s">
        <v>46</v>
      </c>
      <c r="AA404">
        <v>63488</v>
      </c>
      <c r="AB404" t="s">
        <v>832</v>
      </c>
      <c r="AC404" t="s">
        <v>103</v>
      </c>
      <c r="AD404" t="s">
        <v>38</v>
      </c>
      <c r="AE404" t="s">
        <v>49</v>
      </c>
      <c r="AF404" t="s">
        <v>50</v>
      </c>
      <c r="AG404">
        <v>0</v>
      </c>
      <c r="AH404">
        <v>0</v>
      </c>
      <c r="AI404" t="s">
        <v>51</v>
      </c>
      <c r="AJ404" t="s">
        <v>51</v>
      </c>
      <c r="AK404" t="s">
        <v>51</v>
      </c>
    </row>
    <row r="405" spans="1:37" x14ac:dyDescent="0.2">
      <c r="A405">
        <v>63458</v>
      </c>
      <c r="B405" t="s">
        <v>37</v>
      </c>
      <c r="C405" t="s">
        <v>38</v>
      </c>
      <c r="D405" t="s">
        <v>674</v>
      </c>
      <c r="E405" t="s">
        <v>40</v>
      </c>
      <c r="G405" s="4">
        <v>43948.510324074074</v>
      </c>
      <c r="H405" s="4">
        <v>43948.511030092593</v>
      </c>
      <c r="I405" t="s">
        <v>675</v>
      </c>
      <c r="J405" s="5">
        <v>61.00000000000000000000000000000000000004</v>
      </c>
      <c r="K405" t="s">
        <v>38</v>
      </c>
      <c r="M405">
        <v>63459</v>
      </c>
      <c r="N405" t="s">
        <v>705</v>
      </c>
      <c r="O405" t="s">
        <v>706</v>
      </c>
      <c r="P405" t="s">
        <v>38</v>
      </c>
      <c r="Q405" t="s">
        <v>313</v>
      </c>
      <c r="R405">
        <v>13</v>
      </c>
      <c r="S405" t="s">
        <v>45</v>
      </c>
      <c r="T40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5">
        <v>63460</v>
      </c>
      <c r="V405" t="s">
        <v>38</v>
      </c>
      <c r="W405" t="s">
        <v>313</v>
      </c>
      <c r="X405">
        <v>13</v>
      </c>
      <c r="Y405">
        <v>0</v>
      </c>
      <c r="Z405" t="s">
        <v>46</v>
      </c>
      <c r="AA405">
        <v>63487</v>
      </c>
      <c r="AB405" t="s">
        <v>833</v>
      </c>
      <c r="AC405" t="s">
        <v>103</v>
      </c>
      <c r="AD405" t="s">
        <v>38</v>
      </c>
      <c r="AE405" t="s">
        <v>49</v>
      </c>
      <c r="AF405" t="s">
        <v>50</v>
      </c>
      <c r="AG405">
        <v>0</v>
      </c>
      <c r="AH405">
        <v>0</v>
      </c>
      <c r="AI405" t="s">
        <v>51</v>
      </c>
      <c r="AJ405" t="s">
        <v>51</v>
      </c>
      <c r="AK405" t="s">
        <v>51</v>
      </c>
    </row>
    <row r="406" spans="1:37" x14ac:dyDescent="0.2">
      <c r="A406">
        <v>63458</v>
      </c>
      <c r="B406" t="s">
        <v>37</v>
      </c>
      <c r="C406" t="s">
        <v>38</v>
      </c>
      <c r="D406" t="s">
        <v>674</v>
      </c>
      <c r="E406" t="s">
        <v>40</v>
      </c>
      <c r="G406" s="4">
        <v>43948.510324074074</v>
      </c>
      <c r="H406" s="4">
        <v>43948.511030092593</v>
      </c>
      <c r="I406" t="s">
        <v>675</v>
      </c>
      <c r="J406" s="5">
        <v>61.00000000000000000000000000000000000004</v>
      </c>
      <c r="K406" t="s">
        <v>38</v>
      </c>
      <c r="M406">
        <v>63459</v>
      </c>
      <c r="N406" t="s">
        <v>705</v>
      </c>
      <c r="O406" t="s">
        <v>706</v>
      </c>
      <c r="P406" t="s">
        <v>38</v>
      </c>
      <c r="Q406" t="s">
        <v>313</v>
      </c>
      <c r="R406">
        <v>13</v>
      </c>
      <c r="S406" t="s">
        <v>45</v>
      </c>
      <c r="T40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6">
        <v>63460</v>
      </c>
      <c r="V406" t="s">
        <v>38</v>
      </c>
      <c r="W406" t="s">
        <v>313</v>
      </c>
      <c r="X406">
        <v>13</v>
      </c>
      <c r="Y406">
        <v>0</v>
      </c>
      <c r="Z406" t="s">
        <v>46</v>
      </c>
      <c r="AA406">
        <v>63486</v>
      </c>
      <c r="AB406" t="s">
        <v>834</v>
      </c>
      <c r="AC406" t="s">
        <v>103</v>
      </c>
      <c r="AD406" t="s">
        <v>38</v>
      </c>
      <c r="AE406" t="s">
        <v>49</v>
      </c>
      <c r="AF406" t="s">
        <v>50</v>
      </c>
      <c r="AG406">
        <v>0</v>
      </c>
      <c r="AH406">
        <v>0</v>
      </c>
      <c r="AI406" t="s">
        <v>51</v>
      </c>
      <c r="AJ406" t="s">
        <v>51</v>
      </c>
      <c r="AK406" t="s">
        <v>51</v>
      </c>
    </row>
    <row r="407" spans="1:37" x14ac:dyDescent="0.2">
      <c r="A407">
        <v>63458</v>
      </c>
      <c r="B407" t="s">
        <v>37</v>
      </c>
      <c r="C407" t="s">
        <v>38</v>
      </c>
      <c r="D407" t="s">
        <v>674</v>
      </c>
      <c r="E407" t="s">
        <v>40</v>
      </c>
      <c r="G407" s="4">
        <v>43948.510324074074</v>
      </c>
      <c r="H407" s="4">
        <v>43948.511030092593</v>
      </c>
      <c r="I407" t="s">
        <v>675</v>
      </c>
      <c r="J407" s="5">
        <v>61.00000000000000000000000000000000000004</v>
      </c>
      <c r="K407" t="s">
        <v>38</v>
      </c>
      <c r="M407">
        <v>63459</v>
      </c>
      <c r="N407" t="s">
        <v>705</v>
      </c>
      <c r="O407" t="s">
        <v>706</v>
      </c>
      <c r="P407" t="s">
        <v>38</v>
      </c>
      <c r="Q407" t="s">
        <v>313</v>
      </c>
      <c r="R407">
        <v>13</v>
      </c>
      <c r="S407" t="s">
        <v>45</v>
      </c>
      <c r="T40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7">
        <v>63460</v>
      </c>
      <c r="V407" t="s">
        <v>38</v>
      </c>
      <c r="W407" t="s">
        <v>313</v>
      </c>
      <c r="X407">
        <v>13</v>
      </c>
      <c r="Y407">
        <v>0</v>
      </c>
      <c r="Z407" t="s">
        <v>46</v>
      </c>
      <c r="AA407">
        <v>63485</v>
      </c>
      <c r="AB407" t="s">
        <v>835</v>
      </c>
      <c r="AC407" t="s">
        <v>103</v>
      </c>
      <c r="AD407" t="s">
        <v>38</v>
      </c>
      <c r="AE407" t="s">
        <v>49</v>
      </c>
      <c r="AF407" t="s">
        <v>50</v>
      </c>
      <c r="AG407">
        <v>.9999999999999999999999999999999999999996</v>
      </c>
      <c r="AH407">
        <v>0</v>
      </c>
      <c r="AI407" t="s">
        <v>51</v>
      </c>
      <c r="AJ407" t="s">
        <v>51</v>
      </c>
      <c r="AK407" t="s">
        <v>51</v>
      </c>
    </row>
    <row r="408" spans="1:37" x14ac:dyDescent="0.2">
      <c r="A408">
        <v>63458</v>
      </c>
      <c r="B408" t="s">
        <v>37</v>
      </c>
      <c r="C408" t="s">
        <v>38</v>
      </c>
      <c r="D408" t="s">
        <v>674</v>
      </c>
      <c r="E408" t="s">
        <v>40</v>
      </c>
      <c r="G408" s="4">
        <v>43948.510324074074</v>
      </c>
      <c r="H408" s="4">
        <v>43948.511030092593</v>
      </c>
      <c r="I408" t="s">
        <v>675</v>
      </c>
      <c r="J408" s="5">
        <v>61.00000000000000000000000000000000000004</v>
      </c>
      <c r="K408" t="s">
        <v>38</v>
      </c>
      <c r="M408">
        <v>63459</v>
      </c>
      <c r="N408" t="s">
        <v>705</v>
      </c>
      <c r="O408" t="s">
        <v>706</v>
      </c>
      <c r="P408" t="s">
        <v>38</v>
      </c>
      <c r="Q408" t="s">
        <v>313</v>
      </c>
      <c r="R408">
        <v>13</v>
      </c>
      <c r="S408" t="s">
        <v>45</v>
      </c>
      <c r="T40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8">
        <v>63460</v>
      </c>
      <c r="V408" t="s">
        <v>38</v>
      </c>
      <c r="W408" t="s">
        <v>313</v>
      </c>
      <c r="X408">
        <v>13</v>
      </c>
      <c r="Y408">
        <v>0</v>
      </c>
      <c r="Z408" t="s">
        <v>46</v>
      </c>
      <c r="AA408">
        <v>63484</v>
      </c>
      <c r="AB408" t="s">
        <v>836</v>
      </c>
      <c r="AC408" t="s">
        <v>103</v>
      </c>
      <c r="AD408" t="s">
        <v>38</v>
      </c>
      <c r="AE408" t="s">
        <v>49</v>
      </c>
      <c r="AF408" t="s">
        <v>50</v>
      </c>
      <c r="AG408">
        <v>0</v>
      </c>
      <c r="AH408">
        <v>0</v>
      </c>
      <c r="AI408" t="s">
        <v>51</v>
      </c>
      <c r="AJ408" t="s">
        <v>51</v>
      </c>
      <c r="AK408" t="s">
        <v>51</v>
      </c>
    </row>
    <row r="409" spans="1:37" x14ac:dyDescent="0.2">
      <c r="A409">
        <v>63458</v>
      </c>
      <c r="B409" t="s">
        <v>37</v>
      </c>
      <c r="C409" t="s">
        <v>38</v>
      </c>
      <c r="D409" t="s">
        <v>674</v>
      </c>
      <c r="E409" t="s">
        <v>40</v>
      </c>
      <c r="G409" s="4">
        <v>43948.510324074074</v>
      </c>
      <c r="H409" s="4">
        <v>43948.511030092593</v>
      </c>
      <c r="I409" t="s">
        <v>675</v>
      </c>
      <c r="J409" s="5">
        <v>61.00000000000000000000000000000000000004</v>
      </c>
      <c r="K409" t="s">
        <v>38</v>
      </c>
      <c r="M409">
        <v>63459</v>
      </c>
      <c r="N409" t="s">
        <v>705</v>
      </c>
      <c r="O409" t="s">
        <v>706</v>
      </c>
      <c r="P409" t="s">
        <v>38</v>
      </c>
      <c r="Q409" t="s">
        <v>313</v>
      </c>
      <c r="R409">
        <v>13</v>
      </c>
      <c r="S409" t="s">
        <v>45</v>
      </c>
      <c r="T40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09">
        <v>63460</v>
      </c>
      <c r="V409" t="s">
        <v>38</v>
      </c>
      <c r="W409" t="s">
        <v>313</v>
      </c>
      <c r="X409">
        <v>13</v>
      </c>
      <c r="Y409">
        <v>0</v>
      </c>
      <c r="Z409" t="s">
        <v>46</v>
      </c>
      <c r="AA409">
        <v>63483</v>
      </c>
      <c r="AB409" t="s">
        <v>837</v>
      </c>
      <c r="AC409" t="s">
        <v>103</v>
      </c>
      <c r="AD409" t="s">
        <v>38</v>
      </c>
      <c r="AE409" t="s">
        <v>49</v>
      </c>
      <c r="AF409" t="s">
        <v>50</v>
      </c>
      <c r="AG409">
        <v>0</v>
      </c>
      <c r="AH409">
        <v>0</v>
      </c>
      <c r="AI409" t="s">
        <v>51</v>
      </c>
      <c r="AJ409" t="s">
        <v>51</v>
      </c>
      <c r="AK409" t="s">
        <v>51</v>
      </c>
    </row>
    <row r="410" spans="1:37" x14ac:dyDescent="0.2">
      <c r="A410">
        <v>63458</v>
      </c>
      <c r="B410" t="s">
        <v>37</v>
      </c>
      <c r="C410" t="s">
        <v>38</v>
      </c>
      <c r="D410" t="s">
        <v>674</v>
      </c>
      <c r="E410" t="s">
        <v>40</v>
      </c>
      <c r="G410" s="4">
        <v>43948.510324074074</v>
      </c>
      <c r="H410" s="4">
        <v>43948.511030092593</v>
      </c>
      <c r="I410" t="s">
        <v>675</v>
      </c>
      <c r="J410" s="5">
        <v>61.00000000000000000000000000000000000004</v>
      </c>
      <c r="K410" t="s">
        <v>38</v>
      </c>
      <c r="M410">
        <v>63459</v>
      </c>
      <c r="N410" t="s">
        <v>705</v>
      </c>
      <c r="O410" t="s">
        <v>706</v>
      </c>
      <c r="P410" t="s">
        <v>38</v>
      </c>
      <c r="Q410" t="s">
        <v>313</v>
      </c>
      <c r="R410">
        <v>13</v>
      </c>
      <c r="S410" t="s">
        <v>45</v>
      </c>
      <c r="T41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0">
        <v>63460</v>
      </c>
      <c r="V410" t="s">
        <v>38</v>
      </c>
      <c r="W410" t="s">
        <v>313</v>
      </c>
      <c r="X410">
        <v>13</v>
      </c>
      <c r="Y410">
        <v>0</v>
      </c>
      <c r="Z410" t="s">
        <v>46</v>
      </c>
      <c r="AA410">
        <v>63482</v>
      </c>
      <c r="AB410" t="s">
        <v>838</v>
      </c>
      <c r="AC410" t="s">
        <v>103</v>
      </c>
      <c r="AD410" t="s">
        <v>38</v>
      </c>
      <c r="AE410" t="s">
        <v>49</v>
      </c>
      <c r="AF410" t="s">
        <v>50</v>
      </c>
      <c r="AG410">
        <v>0</v>
      </c>
      <c r="AH410">
        <v>0</v>
      </c>
      <c r="AI410" t="s">
        <v>51</v>
      </c>
      <c r="AJ410" t="s">
        <v>51</v>
      </c>
      <c r="AK410" t="s">
        <v>51</v>
      </c>
    </row>
    <row r="411" spans="1:37" x14ac:dyDescent="0.2">
      <c r="A411">
        <v>63458</v>
      </c>
      <c r="B411" t="s">
        <v>37</v>
      </c>
      <c r="C411" t="s">
        <v>38</v>
      </c>
      <c r="D411" t="s">
        <v>674</v>
      </c>
      <c r="E411" t="s">
        <v>40</v>
      </c>
      <c r="G411" s="4">
        <v>43948.510324074074</v>
      </c>
      <c r="H411" s="4">
        <v>43948.511030092593</v>
      </c>
      <c r="I411" t="s">
        <v>675</v>
      </c>
      <c r="J411" s="5">
        <v>61.00000000000000000000000000000000000004</v>
      </c>
      <c r="K411" t="s">
        <v>38</v>
      </c>
      <c r="M411">
        <v>63459</v>
      </c>
      <c r="N411" t="s">
        <v>705</v>
      </c>
      <c r="O411" t="s">
        <v>706</v>
      </c>
      <c r="P411" t="s">
        <v>38</v>
      </c>
      <c r="Q411" t="s">
        <v>313</v>
      </c>
      <c r="R411">
        <v>13</v>
      </c>
      <c r="S411" t="s">
        <v>45</v>
      </c>
      <c r="T41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1">
        <v>63460</v>
      </c>
      <c r="V411" t="s">
        <v>38</v>
      </c>
      <c r="W411" t="s">
        <v>313</v>
      </c>
      <c r="X411">
        <v>13</v>
      </c>
      <c r="Y411">
        <v>0</v>
      </c>
      <c r="Z411" t="s">
        <v>46</v>
      </c>
      <c r="AA411">
        <v>63481</v>
      </c>
      <c r="AB411" t="s">
        <v>839</v>
      </c>
      <c r="AC411" t="s">
        <v>103</v>
      </c>
      <c r="AD411" t="s">
        <v>38</v>
      </c>
      <c r="AE411" t="s">
        <v>49</v>
      </c>
      <c r="AF411" t="s">
        <v>50</v>
      </c>
      <c r="AG411">
        <v>0</v>
      </c>
      <c r="AH411">
        <v>0</v>
      </c>
      <c r="AI411" t="s">
        <v>51</v>
      </c>
      <c r="AJ411" t="s">
        <v>51</v>
      </c>
      <c r="AK411" t="s">
        <v>51</v>
      </c>
    </row>
    <row r="412" spans="1:37" x14ac:dyDescent="0.2">
      <c r="A412">
        <v>63458</v>
      </c>
      <c r="B412" t="s">
        <v>37</v>
      </c>
      <c r="C412" t="s">
        <v>38</v>
      </c>
      <c r="D412" t="s">
        <v>674</v>
      </c>
      <c r="E412" t="s">
        <v>40</v>
      </c>
      <c r="G412" s="4">
        <v>43948.510324074074</v>
      </c>
      <c r="H412" s="4">
        <v>43948.511030092593</v>
      </c>
      <c r="I412" t="s">
        <v>675</v>
      </c>
      <c r="J412" s="5">
        <v>61.00000000000000000000000000000000000004</v>
      </c>
      <c r="K412" t="s">
        <v>38</v>
      </c>
      <c r="M412">
        <v>63459</v>
      </c>
      <c r="N412" t="s">
        <v>705</v>
      </c>
      <c r="O412" t="s">
        <v>706</v>
      </c>
      <c r="P412" t="s">
        <v>38</v>
      </c>
      <c r="Q412" t="s">
        <v>313</v>
      </c>
      <c r="R412">
        <v>13</v>
      </c>
      <c r="S412" t="s">
        <v>45</v>
      </c>
      <c r="T41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2">
        <v>63460</v>
      </c>
      <c r="V412" t="s">
        <v>38</v>
      </c>
      <c r="W412" t="s">
        <v>313</v>
      </c>
      <c r="X412">
        <v>13</v>
      </c>
      <c r="Y412">
        <v>0</v>
      </c>
      <c r="Z412" t="s">
        <v>46</v>
      </c>
      <c r="AA412">
        <v>63480</v>
      </c>
      <c r="AB412" t="s">
        <v>840</v>
      </c>
      <c r="AC412" t="s">
        <v>103</v>
      </c>
      <c r="AD412" t="s">
        <v>38</v>
      </c>
      <c r="AE412" t="s">
        <v>49</v>
      </c>
      <c r="AF412" t="s">
        <v>50</v>
      </c>
      <c r="AG412">
        <v>0</v>
      </c>
      <c r="AH412">
        <v>0</v>
      </c>
      <c r="AI412" t="s">
        <v>51</v>
      </c>
      <c r="AJ412" t="s">
        <v>51</v>
      </c>
      <c r="AK412" t="s">
        <v>51</v>
      </c>
    </row>
    <row r="413" spans="1:37" x14ac:dyDescent="0.2">
      <c r="A413">
        <v>63458</v>
      </c>
      <c r="B413" t="s">
        <v>37</v>
      </c>
      <c r="C413" t="s">
        <v>38</v>
      </c>
      <c r="D413" t="s">
        <v>674</v>
      </c>
      <c r="E413" t="s">
        <v>40</v>
      </c>
      <c r="G413" s="4">
        <v>43948.510324074074</v>
      </c>
      <c r="H413" s="4">
        <v>43948.511030092593</v>
      </c>
      <c r="I413" t="s">
        <v>675</v>
      </c>
      <c r="J413" s="5">
        <v>61.00000000000000000000000000000000000004</v>
      </c>
      <c r="K413" t="s">
        <v>38</v>
      </c>
      <c r="M413">
        <v>63459</v>
      </c>
      <c r="N413" t="s">
        <v>705</v>
      </c>
      <c r="O413" t="s">
        <v>706</v>
      </c>
      <c r="P413" t="s">
        <v>38</v>
      </c>
      <c r="Q413" t="s">
        <v>313</v>
      </c>
      <c r="R413">
        <v>13</v>
      </c>
      <c r="S413" t="s">
        <v>45</v>
      </c>
      <c r="T41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3">
        <v>63460</v>
      </c>
      <c r="V413" t="s">
        <v>38</v>
      </c>
      <c r="W413" t="s">
        <v>313</v>
      </c>
      <c r="X413">
        <v>13</v>
      </c>
      <c r="Y413">
        <v>0</v>
      </c>
      <c r="Z413" t="s">
        <v>46</v>
      </c>
      <c r="AA413">
        <v>63479</v>
      </c>
      <c r="AB413" t="s">
        <v>841</v>
      </c>
      <c r="AC413" t="s">
        <v>103</v>
      </c>
      <c r="AD413" t="s">
        <v>38</v>
      </c>
      <c r="AE413" t="s">
        <v>49</v>
      </c>
      <c r="AF413" t="s">
        <v>50</v>
      </c>
      <c r="AG413">
        <v>0</v>
      </c>
      <c r="AH413">
        <v>0</v>
      </c>
      <c r="AI413" t="s">
        <v>51</v>
      </c>
      <c r="AJ413" t="s">
        <v>51</v>
      </c>
      <c r="AK413" t="s">
        <v>51</v>
      </c>
    </row>
    <row r="414" spans="1:37" x14ac:dyDescent="0.2">
      <c r="A414">
        <v>63458</v>
      </c>
      <c r="B414" t="s">
        <v>37</v>
      </c>
      <c r="C414" t="s">
        <v>38</v>
      </c>
      <c r="D414" t="s">
        <v>674</v>
      </c>
      <c r="E414" t="s">
        <v>40</v>
      </c>
      <c r="G414" s="4">
        <v>43948.510324074074</v>
      </c>
      <c r="H414" s="4">
        <v>43948.511030092593</v>
      </c>
      <c r="I414" t="s">
        <v>675</v>
      </c>
      <c r="J414" s="5">
        <v>61.00000000000000000000000000000000000004</v>
      </c>
      <c r="K414" t="s">
        <v>38</v>
      </c>
      <c r="M414">
        <v>63459</v>
      </c>
      <c r="N414" t="s">
        <v>705</v>
      </c>
      <c r="O414" t="s">
        <v>706</v>
      </c>
      <c r="P414" t="s">
        <v>38</v>
      </c>
      <c r="Q414" t="s">
        <v>313</v>
      </c>
      <c r="R414">
        <v>13</v>
      </c>
      <c r="S414" t="s">
        <v>45</v>
      </c>
      <c r="T41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4">
        <v>63460</v>
      </c>
      <c r="V414" t="s">
        <v>38</v>
      </c>
      <c r="W414" t="s">
        <v>313</v>
      </c>
      <c r="X414">
        <v>13</v>
      </c>
      <c r="Y414">
        <v>0</v>
      </c>
      <c r="Z414" t="s">
        <v>46</v>
      </c>
      <c r="AA414">
        <v>63478</v>
      </c>
      <c r="AB414" t="s">
        <v>842</v>
      </c>
      <c r="AC414" t="s">
        <v>103</v>
      </c>
      <c r="AD414" t="s">
        <v>38</v>
      </c>
      <c r="AE414" t="s">
        <v>49</v>
      </c>
      <c r="AF414" t="s">
        <v>50</v>
      </c>
      <c r="AG414">
        <v>0</v>
      </c>
      <c r="AH414">
        <v>0</v>
      </c>
      <c r="AI414" t="s">
        <v>51</v>
      </c>
      <c r="AJ414" t="s">
        <v>51</v>
      </c>
      <c r="AK414" t="s">
        <v>51</v>
      </c>
    </row>
    <row r="415" spans="1:37" x14ac:dyDescent="0.2">
      <c r="A415">
        <v>63458</v>
      </c>
      <c r="B415" t="s">
        <v>37</v>
      </c>
      <c r="C415" t="s">
        <v>38</v>
      </c>
      <c r="D415" t="s">
        <v>674</v>
      </c>
      <c r="E415" t="s">
        <v>40</v>
      </c>
      <c r="G415" s="4">
        <v>43948.510324074074</v>
      </c>
      <c r="H415" s="4">
        <v>43948.511030092593</v>
      </c>
      <c r="I415" t="s">
        <v>675</v>
      </c>
      <c r="J415" s="5">
        <v>61.00000000000000000000000000000000000004</v>
      </c>
      <c r="K415" t="s">
        <v>38</v>
      </c>
      <c r="M415">
        <v>63459</v>
      </c>
      <c r="N415" t="s">
        <v>705</v>
      </c>
      <c r="O415" t="s">
        <v>706</v>
      </c>
      <c r="P415" t="s">
        <v>38</v>
      </c>
      <c r="Q415" t="s">
        <v>313</v>
      </c>
      <c r="R415">
        <v>13</v>
      </c>
      <c r="S415" t="s">
        <v>45</v>
      </c>
      <c r="T41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5">
        <v>63460</v>
      </c>
      <c r="V415" t="s">
        <v>38</v>
      </c>
      <c r="W415" t="s">
        <v>313</v>
      </c>
      <c r="X415">
        <v>13</v>
      </c>
      <c r="Y415">
        <v>0</v>
      </c>
      <c r="Z415" t="s">
        <v>46</v>
      </c>
      <c r="AA415">
        <v>63477</v>
      </c>
      <c r="AB415" t="s">
        <v>843</v>
      </c>
      <c r="AC415" t="s">
        <v>103</v>
      </c>
      <c r="AD415" t="s">
        <v>38</v>
      </c>
      <c r="AE415" t="s">
        <v>49</v>
      </c>
      <c r="AF415" t="s">
        <v>50</v>
      </c>
      <c r="AG415">
        <v>0</v>
      </c>
      <c r="AH415">
        <v>0</v>
      </c>
      <c r="AI415" t="s">
        <v>51</v>
      </c>
      <c r="AJ415" t="s">
        <v>51</v>
      </c>
      <c r="AK415" t="s">
        <v>51</v>
      </c>
    </row>
    <row r="416" spans="1:37" x14ac:dyDescent="0.2">
      <c r="A416">
        <v>63458</v>
      </c>
      <c r="B416" t="s">
        <v>37</v>
      </c>
      <c r="C416" t="s">
        <v>38</v>
      </c>
      <c r="D416" t="s">
        <v>674</v>
      </c>
      <c r="E416" t="s">
        <v>40</v>
      </c>
      <c r="G416" s="4">
        <v>43948.510324074074</v>
      </c>
      <c r="H416" s="4">
        <v>43948.511030092593</v>
      </c>
      <c r="I416" t="s">
        <v>675</v>
      </c>
      <c r="J416" s="5">
        <v>61.00000000000000000000000000000000000004</v>
      </c>
      <c r="K416" t="s">
        <v>38</v>
      </c>
      <c r="M416">
        <v>63459</v>
      </c>
      <c r="N416" t="s">
        <v>705</v>
      </c>
      <c r="O416" t="s">
        <v>706</v>
      </c>
      <c r="P416" t="s">
        <v>38</v>
      </c>
      <c r="Q416" t="s">
        <v>313</v>
      </c>
      <c r="R416">
        <v>13</v>
      </c>
      <c r="S416" t="s">
        <v>45</v>
      </c>
      <c r="T41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6">
        <v>63460</v>
      </c>
      <c r="V416" t="s">
        <v>38</v>
      </c>
      <c r="W416" t="s">
        <v>313</v>
      </c>
      <c r="X416">
        <v>13</v>
      </c>
      <c r="Y416">
        <v>0</v>
      </c>
      <c r="Z416" t="s">
        <v>46</v>
      </c>
      <c r="AA416">
        <v>63476</v>
      </c>
      <c r="AB416" t="s">
        <v>844</v>
      </c>
      <c r="AC416" t="s">
        <v>103</v>
      </c>
      <c r="AD416" t="s">
        <v>38</v>
      </c>
      <c r="AE416" t="s">
        <v>49</v>
      </c>
      <c r="AF416" t="s">
        <v>50</v>
      </c>
      <c r="AG416">
        <v>0</v>
      </c>
      <c r="AH416">
        <v>0</v>
      </c>
      <c r="AI416" t="s">
        <v>51</v>
      </c>
      <c r="AJ416" t="s">
        <v>51</v>
      </c>
      <c r="AK416" t="s">
        <v>51</v>
      </c>
    </row>
    <row r="417" spans="1:37" x14ac:dyDescent="0.2">
      <c r="A417">
        <v>63458</v>
      </c>
      <c r="B417" t="s">
        <v>37</v>
      </c>
      <c r="C417" t="s">
        <v>38</v>
      </c>
      <c r="D417" t="s">
        <v>674</v>
      </c>
      <c r="E417" t="s">
        <v>40</v>
      </c>
      <c r="G417" s="4">
        <v>43948.510324074074</v>
      </c>
      <c r="H417" s="4">
        <v>43948.511030092593</v>
      </c>
      <c r="I417" t="s">
        <v>675</v>
      </c>
      <c r="J417" s="5">
        <v>61.00000000000000000000000000000000000004</v>
      </c>
      <c r="K417" t="s">
        <v>38</v>
      </c>
      <c r="M417">
        <v>63459</v>
      </c>
      <c r="N417" t="s">
        <v>705</v>
      </c>
      <c r="O417" t="s">
        <v>706</v>
      </c>
      <c r="P417" t="s">
        <v>38</v>
      </c>
      <c r="Q417" t="s">
        <v>313</v>
      </c>
      <c r="R417">
        <v>13</v>
      </c>
      <c r="S417" t="s">
        <v>45</v>
      </c>
      <c r="T41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7">
        <v>63460</v>
      </c>
      <c r="V417" t="s">
        <v>38</v>
      </c>
      <c r="W417" t="s">
        <v>313</v>
      </c>
      <c r="X417">
        <v>13</v>
      </c>
      <c r="Y417">
        <v>0</v>
      </c>
      <c r="Z417" t="s">
        <v>46</v>
      </c>
      <c r="AA417">
        <v>63475</v>
      </c>
      <c r="AB417" t="s">
        <v>845</v>
      </c>
      <c r="AC417" t="s">
        <v>103</v>
      </c>
      <c r="AD417" t="s">
        <v>38</v>
      </c>
      <c r="AE417" t="s">
        <v>49</v>
      </c>
      <c r="AF417" t="s">
        <v>50</v>
      </c>
      <c r="AG417">
        <v>0</v>
      </c>
      <c r="AH417">
        <v>0</v>
      </c>
      <c r="AI417" t="s">
        <v>51</v>
      </c>
      <c r="AJ417" t="s">
        <v>51</v>
      </c>
      <c r="AK417" t="s">
        <v>51</v>
      </c>
    </row>
    <row r="418" spans="1:37" x14ac:dyDescent="0.2">
      <c r="A418">
        <v>63458</v>
      </c>
      <c r="B418" t="s">
        <v>37</v>
      </c>
      <c r="C418" t="s">
        <v>38</v>
      </c>
      <c r="D418" t="s">
        <v>674</v>
      </c>
      <c r="E418" t="s">
        <v>40</v>
      </c>
      <c r="G418" s="4">
        <v>43948.510324074074</v>
      </c>
      <c r="H418" s="4">
        <v>43948.511030092593</v>
      </c>
      <c r="I418" t="s">
        <v>675</v>
      </c>
      <c r="J418" s="5">
        <v>61.00000000000000000000000000000000000004</v>
      </c>
      <c r="K418" t="s">
        <v>38</v>
      </c>
      <c r="M418">
        <v>63459</v>
      </c>
      <c r="N418" t="s">
        <v>705</v>
      </c>
      <c r="O418" t="s">
        <v>706</v>
      </c>
      <c r="P418" t="s">
        <v>38</v>
      </c>
      <c r="Q418" t="s">
        <v>313</v>
      </c>
      <c r="R418">
        <v>13</v>
      </c>
      <c r="S418" t="s">
        <v>45</v>
      </c>
      <c r="T41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8">
        <v>63460</v>
      </c>
      <c r="V418" t="s">
        <v>38</v>
      </c>
      <c r="W418" t="s">
        <v>313</v>
      </c>
      <c r="X418">
        <v>13</v>
      </c>
      <c r="Y418">
        <v>0</v>
      </c>
      <c r="Z418" t="s">
        <v>46</v>
      </c>
      <c r="AA418">
        <v>63474</v>
      </c>
      <c r="AB418" t="s">
        <v>846</v>
      </c>
      <c r="AC418" t="s">
        <v>103</v>
      </c>
      <c r="AD418" t="s">
        <v>38</v>
      </c>
      <c r="AE418" t="s">
        <v>49</v>
      </c>
      <c r="AF418" t="s">
        <v>50</v>
      </c>
      <c r="AG418">
        <v>0</v>
      </c>
      <c r="AH418">
        <v>0</v>
      </c>
      <c r="AI418" t="s">
        <v>51</v>
      </c>
      <c r="AJ418" t="s">
        <v>51</v>
      </c>
      <c r="AK418" t="s">
        <v>51</v>
      </c>
    </row>
    <row r="419" spans="1:37" x14ac:dyDescent="0.2">
      <c r="A419">
        <v>63458</v>
      </c>
      <c r="B419" t="s">
        <v>37</v>
      </c>
      <c r="C419" t="s">
        <v>38</v>
      </c>
      <c r="D419" t="s">
        <v>674</v>
      </c>
      <c r="E419" t="s">
        <v>40</v>
      </c>
      <c r="G419" s="4">
        <v>43948.510324074074</v>
      </c>
      <c r="H419" s="4">
        <v>43948.511030092593</v>
      </c>
      <c r="I419" t="s">
        <v>675</v>
      </c>
      <c r="J419" s="5">
        <v>61.00000000000000000000000000000000000004</v>
      </c>
      <c r="K419" t="s">
        <v>38</v>
      </c>
      <c r="M419">
        <v>63459</v>
      </c>
      <c r="N419" t="s">
        <v>705</v>
      </c>
      <c r="O419" t="s">
        <v>706</v>
      </c>
      <c r="P419" t="s">
        <v>38</v>
      </c>
      <c r="Q419" t="s">
        <v>313</v>
      </c>
      <c r="R419">
        <v>13</v>
      </c>
      <c r="S419" t="s">
        <v>45</v>
      </c>
      <c r="T41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19">
        <v>63460</v>
      </c>
      <c r="V419" t="s">
        <v>38</v>
      </c>
      <c r="W419" t="s">
        <v>313</v>
      </c>
      <c r="X419">
        <v>13</v>
      </c>
      <c r="Y419">
        <v>0</v>
      </c>
      <c r="Z419" t="s">
        <v>46</v>
      </c>
      <c r="AA419">
        <v>63473</v>
      </c>
      <c r="AB419" t="s">
        <v>847</v>
      </c>
      <c r="AC419" t="s">
        <v>103</v>
      </c>
      <c r="AD419" t="s">
        <v>38</v>
      </c>
      <c r="AE419" t="s">
        <v>49</v>
      </c>
      <c r="AF419" t="s">
        <v>50</v>
      </c>
      <c r="AG419">
        <v>0</v>
      </c>
      <c r="AH419">
        <v>0</v>
      </c>
      <c r="AI419" t="s">
        <v>51</v>
      </c>
      <c r="AJ419" t="s">
        <v>51</v>
      </c>
      <c r="AK419" t="s">
        <v>51</v>
      </c>
    </row>
    <row r="420" spans="1:37" x14ac:dyDescent="0.2">
      <c r="A420">
        <v>63458</v>
      </c>
      <c r="B420" t="s">
        <v>37</v>
      </c>
      <c r="C420" t="s">
        <v>38</v>
      </c>
      <c r="D420" t="s">
        <v>674</v>
      </c>
      <c r="E420" t="s">
        <v>40</v>
      </c>
      <c r="G420" s="4">
        <v>43948.510324074074</v>
      </c>
      <c r="H420" s="4">
        <v>43948.511030092593</v>
      </c>
      <c r="I420" t="s">
        <v>675</v>
      </c>
      <c r="J420" s="5">
        <v>61.00000000000000000000000000000000000004</v>
      </c>
      <c r="K420" t="s">
        <v>38</v>
      </c>
      <c r="M420">
        <v>63459</v>
      </c>
      <c r="N420" t="s">
        <v>705</v>
      </c>
      <c r="O420" t="s">
        <v>706</v>
      </c>
      <c r="P420" t="s">
        <v>38</v>
      </c>
      <c r="Q420" t="s">
        <v>313</v>
      </c>
      <c r="R420">
        <v>13</v>
      </c>
      <c r="S420" t="s">
        <v>45</v>
      </c>
      <c r="T42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0">
        <v>63460</v>
      </c>
      <c r="V420" t="s">
        <v>38</v>
      </c>
      <c r="W420" t="s">
        <v>313</v>
      </c>
      <c r="X420">
        <v>13</v>
      </c>
      <c r="Y420">
        <v>0</v>
      </c>
      <c r="Z420" t="s">
        <v>46</v>
      </c>
      <c r="AA420">
        <v>63472</v>
      </c>
      <c r="AB420" t="s">
        <v>848</v>
      </c>
      <c r="AC420" t="s">
        <v>103</v>
      </c>
      <c r="AD420" t="s">
        <v>38</v>
      </c>
      <c r="AE420" t="s">
        <v>49</v>
      </c>
      <c r="AF420" t="s">
        <v>50</v>
      </c>
      <c r="AG420">
        <v>0</v>
      </c>
      <c r="AH420">
        <v>0</v>
      </c>
      <c r="AI420" t="s">
        <v>51</v>
      </c>
      <c r="AJ420" t="s">
        <v>51</v>
      </c>
      <c r="AK420" t="s">
        <v>51</v>
      </c>
    </row>
    <row r="421" spans="1:37" x14ac:dyDescent="0.2">
      <c r="A421">
        <v>63458</v>
      </c>
      <c r="B421" t="s">
        <v>37</v>
      </c>
      <c r="C421" t="s">
        <v>38</v>
      </c>
      <c r="D421" t="s">
        <v>674</v>
      </c>
      <c r="E421" t="s">
        <v>40</v>
      </c>
      <c r="G421" s="4">
        <v>43948.510324074074</v>
      </c>
      <c r="H421" s="4">
        <v>43948.511030092593</v>
      </c>
      <c r="I421" t="s">
        <v>675</v>
      </c>
      <c r="J421" s="5">
        <v>61.00000000000000000000000000000000000004</v>
      </c>
      <c r="K421" t="s">
        <v>38</v>
      </c>
      <c r="M421">
        <v>63459</v>
      </c>
      <c r="N421" t="s">
        <v>705</v>
      </c>
      <c r="O421" t="s">
        <v>706</v>
      </c>
      <c r="P421" t="s">
        <v>38</v>
      </c>
      <c r="Q421" t="s">
        <v>313</v>
      </c>
      <c r="R421">
        <v>13</v>
      </c>
      <c r="S421" t="s">
        <v>45</v>
      </c>
      <c r="T42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1">
        <v>63460</v>
      </c>
      <c r="V421" t="s">
        <v>38</v>
      </c>
      <c r="W421" t="s">
        <v>313</v>
      </c>
      <c r="X421">
        <v>13</v>
      </c>
      <c r="Y421">
        <v>0</v>
      </c>
      <c r="Z421" t="s">
        <v>46</v>
      </c>
      <c r="AA421">
        <v>63471</v>
      </c>
      <c r="AB421" t="s">
        <v>849</v>
      </c>
      <c r="AC421" t="s">
        <v>103</v>
      </c>
      <c r="AD421" t="s">
        <v>38</v>
      </c>
      <c r="AE421" t="s">
        <v>49</v>
      </c>
      <c r="AF421" t="s">
        <v>50</v>
      </c>
      <c r="AG421">
        <v>0</v>
      </c>
      <c r="AH421">
        <v>0</v>
      </c>
      <c r="AI421" t="s">
        <v>51</v>
      </c>
      <c r="AJ421" t="s">
        <v>51</v>
      </c>
      <c r="AK421" t="s">
        <v>51</v>
      </c>
    </row>
    <row r="422" spans="1:37" x14ac:dyDescent="0.2">
      <c r="A422">
        <v>63458</v>
      </c>
      <c r="B422" t="s">
        <v>37</v>
      </c>
      <c r="C422" t="s">
        <v>38</v>
      </c>
      <c r="D422" t="s">
        <v>674</v>
      </c>
      <c r="E422" t="s">
        <v>40</v>
      </c>
      <c r="G422" s="4">
        <v>43948.510324074074</v>
      </c>
      <c r="H422" s="4">
        <v>43948.511030092593</v>
      </c>
      <c r="I422" t="s">
        <v>675</v>
      </c>
      <c r="J422" s="5">
        <v>61.00000000000000000000000000000000000004</v>
      </c>
      <c r="K422" t="s">
        <v>38</v>
      </c>
      <c r="M422">
        <v>63459</v>
      </c>
      <c r="N422" t="s">
        <v>705</v>
      </c>
      <c r="O422" t="s">
        <v>706</v>
      </c>
      <c r="P422" t="s">
        <v>38</v>
      </c>
      <c r="Q422" t="s">
        <v>313</v>
      </c>
      <c r="R422">
        <v>13</v>
      </c>
      <c r="S422" t="s">
        <v>45</v>
      </c>
      <c r="T422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2">
        <v>63460</v>
      </c>
      <c r="V422" t="s">
        <v>38</v>
      </c>
      <c r="W422" t="s">
        <v>313</v>
      </c>
      <c r="X422">
        <v>13</v>
      </c>
      <c r="Y422">
        <v>0</v>
      </c>
      <c r="Z422" t="s">
        <v>46</v>
      </c>
      <c r="AA422">
        <v>63470</v>
      </c>
      <c r="AB422" t="s">
        <v>850</v>
      </c>
      <c r="AC422" t="s">
        <v>103</v>
      </c>
      <c r="AD422" t="s">
        <v>38</v>
      </c>
      <c r="AE422" t="s">
        <v>49</v>
      </c>
      <c r="AF422" t="s">
        <v>50</v>
      </c>
      <c r="AG422">
        <v>0</v>
      </c>
      <c r="AH422">
        <v>0</v>
      </c>
      <c r="AI422" t="s">
        <v>51</v>
      </c>
      <c r="AJ422" t="s">
        <v>51</v>
      </c>
      <c r="AK422" t="s">
        <v>51</v>
      </c>
    </row>
    <row r="423" spans="1:37" x14ac:dyDescent="0.2">
      <c r="A423">
        <v>63458</v>
      </c>
      <c r="B423" t="s">
        <v>37</v>
      </c>
      <c r="C423" t="s">
        <v>38</v>
      </c>
      <c r="D423" t="s">
        <v>674</v>
      </c>
      <c r="E423" t="s">
        <v>40</v>
      </c>
      <c r="G423" s="4">
        <v>43948.510324074074</v>
      </c>
      <c r="H423" s="4">
        <v>43948.511030092593</v>
      </c>
      <c r="I423" t="s">
        <v>675</v>
      </c>
      <c r="J423" s="5">
        <v>61.00000000000000000000000000000000000004</v>
      </c>
      <c r="K423" t="s">
        <v>38</v>
      </c>
      <c r="M423">
        <v>63459</v>
      </c>
      <c r="N423" t="s">
        <v>705</v>
      </c>
      <c r="O423" t="s">
        <v>706</v>
      </c>
      <c r="P423" t="s">
        <v>38</v>
      </c>
      <c r="Q423" t="s">
        <v>313</v>
      </c>
      <c r="R423">
        <v>13</v>
      </c>
      <c r="S423" t="s">
        <v>45</v>
      </c>
      <c r="T423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3">
        <v>63460</v>
      </c>
      <c r="V423" t="s">
        <v>38</v>
      </c>
      <c r="W423" t="s">
        <v>313</v>
      </c>
      <c r="X423">
        <v>13</v>
      </c>
      <c r="Y423">
        <v>0</v>
      </c>
      <c r="Z423" t="s">
        <v>46</v>
      </c>
      <c r="AA423">
        <v>63469</v>
      </c>
      <c r="AB423" t="s">
        <v>851</v>
      </c>
      <c r="AC423" t="s">
        <v>103</v>
      </c>
      <c r="AD423" t="s">
        <v>38</v>
      </c>
      <c r="AE423" t="s">
        <v>49</v>
      </c>
      <c r="AF423" t="s">
        <v>50</v>
      </c>
      <c r="AG423">
        <v>0</v>
      </c>
      <c r="AH423">
        <v>0</v>
      </c>
      <c r="AI423" t="s">
        <v>51</v>
      </c>
      <c r="AJ423" t="s">
        <v>51</v>
      </c>
      <c r="AK423" t="s">
        <v>51</v>
      </c>
    </row>
    <row r="424" spans="1:37" x14ac:dyDescent="0.2">
      <c r="A424">
        <v>63458</v>
      </c>
      <c r="B424" t="s">
        <v>37</v>
      </c>
      <c r="C424" t="s">
        <v>38</v>
      </c>
      <c r="D424" t="s">
        <v>674</v>
      </c>
      <c r="E424" t="s">
        <v>40</v>
      </c>
      <c r="G424" s="4">
        <v>43948.510324074074</v>
      </c>
      <c r="H424" s="4">
        <v>43948.511030092593</v>
      </c>
      <c r="I424" t="s">
        <v>675</v>
      </c>
      <c r="J424" s="5">
        <v>61.00000000000000000000000000000000000004</v>
      </c>
      <c r="K424" t="s">
        <v>38</v>
      </c>
      <c r="M424">
        <v>63459</v>
      </c>
      <c r="N424" t="s">
        <v>705</v>
      </c>
      <c r="O424" t="s">
        <v>706</v>
      </c>
      <c r="P424" t="s">
        <v>38</v>
      </c>
      <c r="Q424" t="s">
        <v>313</v>
      </c>
      <c r="R424">
        <v>13</v>
      </c>
      <c r="S424" t="s">
        <v>45</v>
      </c>
      <c r="T424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4">
        <v>63460</v>
      </c>
      <c r="V424" t="s">
        <v>38</v>
      </c>
      <c r="W424" t="s">
        <v>313</v>
      </c>
      <c r="X424">
        <v>13</v>
      </c>
      <c r="Y424">
        <v>0</v>
      </c>
      <c r="Z424" t="s">
        <v>46</v>
      </c>
      <c r="AA424">
        <v>63468</v>
      </c>
      <c r="AB424" t="s">
        <v>852</v>
      </c>
      <c r="AC424" t="s">
        <v>103</v>
      </c>
      <c r="AD424" t="s">
        <v>38</v>
      </c>
      <c r="AE424" t="s">
        <v>49</v>
      </c>
      <c r="AF424" t="s">
        <v>50</v>
      </c>
      <c r="AG424">
        <v>0</v>
      </c>
      <c r="AH424">
        <v>0</v>
      </c>
      <c r="AI424" t="s">
        <v>51</v>
      </c>
      <c r="AJ424" t="s">
        <v>51</v>
      </c>
      <c r="AK424" t="s">
        <v>51</v>
      </c>
    </row>
    <row r="425" spans="1:37" x14ac:dyDescent="0.2">
      <c r="A425">
        <v>63458</v>
      </c>
      <c r="B425" t="s">
        <v>37</v>
      </c>
      <c r="C425" t="s">
        <v>38</v>
      </c>
      <c r="D425" t="s">
        <v>674</v>
      </c>
      <c r="E425" t="s">
        <v>40</v>
      </c>
      <c r="G425" s="4">
        <v>43948.510324074074</v>
      </c>
      <c r="H425" s="4">
        <v>43948.511030092593</v>
      </c>
      <c r="I425" t="s">
        <v>675</v>
      </c>
      <c r="J425" s="5">
        <v>61.00000000000000000000000000000000000004</v>
      </c>
      <c r="K425" t="s">
        <v>38</v>
      </c>
      <c r="M425">
        <v>63459</v>
      </c>
      <c r="N425" t="s">
        <v>705</v>
      </c>
      <c r="O425" t="s">
        <v>706</v>
      </c>
      <c r="P425" t="s">
        <v>38</v>
      </c>
      <c r="Q425" t="s">
        <v>313</v>
      </c>
      <c r="R425">
        <v>13</v>
      </c>
      <c r="S425" t="s">
        <v>45</v>
      </c>
      <c r="T425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5">
        <v>63460</v>
      </c>
      <c r="V425" t="s">
        <v>38</v>
      </c>
      <c r="W425" t="s">
        <v>313</v>
      </c>
      <c r="X425">
        <v>13</v>
      </c>
      <c r="Y425">
        <v>0</v>
      </c>
      <c r="Z425" t="s">
        <v>46</v>
      </c>
      <c r="AA425">
        <v>63467</v>
      </c>
      <c r="AB425" t="s">
        <v>853</v>
      </c>
      <c r="AC425" t="s">
        <v>103</v>
      </c>
      <c r="AD425" t="s">
        <v>38</v>
      </c>
      <c r="AE425" t="s">
        <v>49</v>
      </c>
      <c r="AF425" t="s">
        <v>50</v>
      </c>
      <c r="AG425">
        <v>0</v>
      </c>
      <c r="AH425">
        <v>0</v>
      </c>
      <c r="AI425" t="s">
        <v>51</v>
      </c>
      <c r="AJ425" t="s">
        <v>51</v>
      </c>
      <c r="AK425" t="s">
        <v>51</v>
      </c>
    </row>
    <row r="426" spans="1:37" x14ac:dyDescent="0.2">
      <c r="A426">
        <v>63458</v>
      </c>
      <c r="B426" t="s">
        <v>37</v>
      </c>
      <c r="C426" t="s">
        <v>38</v>
      </c>
      <c r="D426" t="s">
        <v>674</v>
      </c>
      <c r="E426" t="s">
        <v>40</v>
      </c>
      <c r="G426" s="4">
        <v>43948.510324074074</v>
      </c>
      <c r="H426" s="4">
        <v>43948.511030092593</v>
      </c>
      <c r="I426" t="s">
        <v>675</v>
      </c>
      <c r="J426" s="5">
        <v>61.00000000000000000000000000000000000004</v>
      </c>
      <c r="K426" t="s">
        <v>38</v>
      </c>
      <c r="M426">
        <v>63459</v>
      </c>
      <c r="N426" t="s">
        <v>705</v>
      </c>
      <c r="O426" t="s">
        <v>706</v>
      </c>
      <c r="P426" t="s">
        <v>38</v>
      </c>
      <c r="Q426" t="s">
        <v>313</v>
      </c>
      <c r="R426">
        <v>13</v>
      </c>
      <c r="S426" t="s">
        <v>45</v>
      </c>
      <c r="T426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6">
        <v>63460</v>
      </c>
      <c r="V426" t="s">
        <v>38</v>
      </c>
      <c r="W426" t="s">
        <v>313</v>
      </c>
      <c r="X426">
        <v>13</v>
      </c>
      <c r="Y426">
        <v>0</v>
      </c>
      <c r="Z426" t="s">
        <v>46</v>
      </c>
      <c r="AA426">
        <v>63466</v>
      </c>
      <c r="AB426" t="s">
        <v>854</v>
      </c>
      <c r="AC426" t="s">
        <v>103</v>
      </c>
      <c r="AD426" t="s">
        <v>38</v>
      </c>
      <c r="AE426" t="s">
        <v>49</v>
      </c>
      <c r="AF426" t="s">
        <v>50</v>
      </c>
      <c r="AG426">
        <v>0</v>
      </c>
      <c r="AH426">
        <v>0</v>
      </c>
      <c r="AI426" t="s">
        <v>51</v>
      </c>
      <c r="AJ426" t="s">
        <v>51</v>
      </c>
      <c r="AK426" t="s">
        <v>51</v>
      </c>
    </row>
    <row r="427" spans="1:37" x14ac:dyDescent="0.2">
      <c r="A427">
        <v>63458</v>
      </c>
      <c r="B427" t="s">
        <v>37</v>
      </c>
      <c r="C427" t="s">
        <v>38</v>
      </c>
      <c r="D427" t="s">
        <v>674</v>
      </c>
      <c r="E427" t="s">
        <v>40</v>
      </c>
      <c r="G427" s="4">
        <v>43948.510324074074</v>
      </c>
      <c r="H427" s="4">
        <v>43948.511030092593</v>
      </c>
      <c r="I427" t="s">
        <v>675</v>
      </c>
      <c r="J427" s="5">
        <v>61.00000000000000000000000000000000000004</v>
      </c>
      <c r="K427" t="s">
        <v>38</v>
      </c>
      <c r="M427">
        <v>63459</v>
      </c>
      <c r="N427" t="s">
        <v>705</v>
      </c>
      <c r="O427" t="s">
        <v>706</v>
      </c>
      <c r="P427" t="s">
        <v>38</v>
      </c>
      <c r="Q427" t="s">
        <v>313</v>
      </c>
      <c r="R427">
        <v>13</v>
      </c>
      <c r="S427" t="s">
        <v>45</v>
      </c>
      <c r="T427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7">
        <v>63460</v>
      </c>
      <c r="V427" t="s">
        <v>38</v>
      </c>
      <c r="W427" t="s">
        <v>313</v>
      </c>
      <c r="X427">
        <v>13</v>
      </c>
      <c r="Y427">
        <v>0</v>
      </c>
      <c r="Z427" t="s">
        <v>46</v>
      </c>
      <c r="AA427">
        <v>63465</v>
      </c>
      <c r="AB427" t="s">
        <v>855</v>
      </c>
      <c r="AC427" t="s">
        <v>103</v>
      </c>
      <c r="AD427" t="s">
        <v>38</v>
      </c>
      <c r="AE427" t="s">
        <v>49</v>
      </c>
      <c r="AF427" t="s">
        <v>50</v>
      </c>
      <c r="AG427">
        <v>0</v>
      </c>
      <c r="AH427">
        <v>0</v>
      </c>
      <c r="AI427" t="s">
        <v>51</v>
      </c>
      <c r="AJ427" t="s">
        <v>51</v>
      </c>
      <c r="AK427" t="s">
        <v>51</v>
      </c>
    </row>
    <row r="428" spans="1:37" x14ac:dyDescent="0.2">
      <c r="A428">
        <v>63458</v>
      </c>
      <c r="B428" t="s">
        <v>37</v>
      </c>
      <c r="C428" t="s">
        <v>38</v>
      </c>
      <c r="D428" t="s">
        <v>674</v>
      </c>
      <c r="E428" t="s">
        <v>40</v>
      </c>
      <c r="G428" s="4">
        <v>43948.510324074074</v>
      </c>
      <c r="H428" s="4">
        <v>43948.511030092593</v>
      </c>
      <c r="I428" t="s">
        <v>675</v>
      </c>
      <c r="J428" s="5">
        <v>61.00000000000000000000000000000000000004</v>
      </c>
      <c r="K428" t="s">
        <v>38</v>
      </c>
      <c r="M428">
        <v>63459</v>
      </c>
      <c r="N428" t="s">
        <v>705</v>
      </c>
      <c r="O428" t="s">
        <v>706</v>
      </c>
      <c r="P428" t="s">
        <v>38</v>
      </c>
      <c r="Q428" t="s">
        <v>313</v>
      </c>
      <c r="R428">
        <v>13</v>
      </c>
      <c r="S428" t="s">
        <v>45</v>
      </c>
      <c r="T428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8">
        <v>63460</v>
      </c>
      <c r="V428" t="s">
        <v>38</v>
      </c>
      <c r="W428" t="s">
        <v>313</v>
      </c>
      <c r="X428">
        <v>13</v>
      </c>
      <c r="Y428">
        <v>0</v>
      </c>
      <c r="Z428" t="s">
        <v>46</v>
      </c>
      <c r="AA428">
        <v>63464</v>
      </c>
      <c r="AB428" t="s">
        <v>856</v>
      </c>
      <c r="AC428" t="s">
        <v>103</v>
      </c>
      <c r="AD428" t="s">
        <v>38</v>
      </c>
      <c r="AE428" t="s">
        <v>49</v>
      </c>
      <c r="AF428" t="s">
        <v>50</v>
      </c>
      <c r="AG428">
        <v>.9999999999999999999999999999999999999996</v>
      </c>
      <c r="AH428">
        <v>0</v>
      </c>
      <c r="AI428" t="s">
        <v>51</v>
      </c>
      <c r="AJ428" t="s">
        <v>51</v>
      </c>
      <c r="AK428" t="s">
        <v>51</v>
      </c>
    </row>
    <row r="429" spans="1:37" x14ac:dyDescent="0.2">
      <c r="A429">
        <v>63458</v>
      </c>
      <c r="B429" t="s">
        <v>37</v>
      </c>
      <c r="C429" t="s">
        <v>38</v>
      </c>
      <c r="D429" t="s">
        <v>674</v>
      </c>
      <c r="E429" t="s">
        <v>40</v>
      </c>
      <c r="G429" s="4">
        <v>43948.510324074074</v>
      </c>
      <c r="H429" s="4">
        <v>43948.511030092593</v>
      </c>
      <c r="I429" t="s">
        <v>675</v>
      </c>
      <c r="J429" s="5">
        <v>61.00000000000000000000000000000000000004</v>
      </c>
      <c r="K429" t="s">
        <v>38</v>
      </c>
      <c r="M429">
        <v>63459</v>
      </c>
      <c r="N429" t="s">
        <v>705</v>
      </c>
      <c r="O429" t="s">
        <v>706</v>
      </c>
      <c r="P429" t="s">
        <v>38</v>
      </c>
      <c r="Q429" t="s">
        <v>313</v>
      </c>
      <c r="R429">
        <v>13</v>
      </c>
      <c r="S429" t="s">
        <v>45</v>
      </c>
      <c r="T429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29">
        <v>63460</v>
      </c>
      <c r="V429" t="s">
        <v>38</v>
      </c>
      <c r="W429" t="s">
        <v>313</v>
      </c>
      <c r="X429">
        <v>13</v>
      </c>
      <c r="Y429">
        <v>0</v>
      </c>
      <c r="Z429" t="s">
        <v>46</v>
      </c>
      <c r="AA429">
        <v>63463</v>
      </c>
      <c r="AB429" t="s">
        <v>857</v>
      </c>
      <c r="AC429" t="s">
        <v>103</v>
      </c>
      <c r="AD429" t="s">
        <v>38</v>
      </c>
      <c r="AE429" t="s">
        <v>49</v>
      </c>
      <c r="AF429" t="s">
        <v>247</v>
      </c>
      <c r="AG429">
        <v>7</v>
      </c>
      <c r="AH429">
        <v>7</v>
      </c>
      <c r="AI429" t="s">
        <v>51</v>
      </c>
      <c r="AJ429" t="s">
        <v>51</v>
      </c>
      <c r="AK429" t="s">
        <v>51</v>
      </c>
    </row>
    <row r="430" spans="1:37" x14ac:dyDescent="0.2">
      <c r="A430">
        <v>63458</v>
      </c>
      <c r="B430" t="s">
        <v>37</v>
      </c>
      <c r="C430" t="s">
        <v>38</v>
      </c>
      <c r="D430" t="s">
        <v>674</v>
      </c>
      <c r="E430" t="s">
        <v>40</v>
      </c>
      <c r="G430" s="4">
        <v>43948.510324074074</v>
      </c>
      <c r="H430" s="4">
        <v>43948.511030092593</v>
      </c>
      <c r="I430" t="s">
        <v>675</v>
      </c>
      <c r="J430" s="5">
        <v>61.00000000000000000000000000000000000004</v>
      </c>
      <c r="K430" t="s">
        <v>38</v>
      </c>
      <c r="M430">
        <v>63459</v>
      </c>
      <c r="N430" t="s">
        <v>705</v>
      </c>
      <c r="O430" t="s">
        <v>706</v>
      </c>
      <c r="P430" t="s">
        <v>38</v>
      </c>
      <c r="Q430" t="s">
        <v>313</v>
      </c>
      <c r="R430">
        <v>13</v>
      </c>
      <c r="S430" t="s">
        <v>45</v>
      </c>
      <c r="T430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30">
        <v>63460</v>
      </c>
      <c r="V430" t="s">
        <v>38</v>
      </c>
      <c r="W430" t="s">
        <v>313</v>
      </c>
      <c r="X430">
        <v>13</v>
      </c>
      <c r="Y430">
        <v>0</v>
      </c>
      <c r="Z430" t="s">
        <v>46</v>
      </c>
      <c r="AA430">
        <v>63462</v>
      </c>
      <c r="AB430" t="s">
        <v>858</v>
      </c>
      <c r="AC430" t="s">
        <v>48</v>
      </c>
      <c r="AD430" t="s">
        <v>38</v>
      </c>
      <c r="AE430" t="s">
        <v>49</v>
      </c>
      <c r="AF430" t="s">
        <v>50</v>
      </c>
      <c r="AG430">
        <v>0</v>
      </c>
      <c r="AH430">
        <v>0</v>
      </c>
      <c r="AI430" t="s">
        <v>51</v>
      </c>
      <c r="AJ430" t="s">
        <v>51</v>
      </c>
      <c r="AK430" t="s">
        <v>51</v>
      </c>
    </row>
    <row r="431" spans="1:37" x14ac:dyDescent="0.2">
      <c r="A431">
        <v>63458</v>
      </c>
      <c r="B431" t="s">
        <v>37</v>
      </c>
      <c r="C431" t="s">
        <v>38</v>
      </c>
      <c r="D431" t="s">
        <v>674</v>
      </c>
      <c r="E431" t="s">
        <v>40</v>
      </c>
      <c r="G431" s="4">
        <v>43948.510324074074</v>
      </c>
      <c r="H431" s="4">
        <v>43948.511030092593</v>
      </c>
      <c r="I431" t="s">
        <v>675</v>
      </c>
      <c r="J431" s="5">
        <v>61.00000000000000000000000000000000000004</v>
      </c>
      <c r="K431" t="s">
        <v>38</v>
      </c>
      <c r="M431">
        <v>63459</v>
      </c>
      <c r="N431" t="s">
        <v>705</v>
      </c>
      <c r="O431" t="s">
        <v>706</v>
      </c>
      <c r="P431" t="s">
        <v>38</v>
      </c>
      <c r="Q431" t="s">
        <v>313</v>
      </c>
      <c r="R431">
        <v>13</v>
      </c>
      <c r="S431" t="s">
        <v>45</v>
      </c>
      <c r="T431" t="str" s="2">
        <f>=HYPERLINK("http://demo.enginatics.com:80/ecc/user/applications/log/63458.log","http://demo.enginatics.com:80/ecc/user/applications/log/63458.log")</f>
        <v>"http://demo.enginatics.com:80/ecc/user/applications/log/63458.log")</v>
      </c>
      <c r="U431">
        <v>63460</v>
      </c>
      <c r="V431" t="s">
        <v>38</v>
      </c>
      <c r="W431" t="s">
        <v>313</v>
      </c>
      <c r="X431">
        <v>13</v>
      </c>
      <c r="Y431">
        <v>0</v>
      </c>
      <c r="Z431" t="s">
        <v>46</v>
      </c>
      <c r="AA431">
        <v>63461</v>
      </c>
      <c r="AB431" t="s">
        <v>859</v>
      </c>
      <c r="AC431" t="s">
        <v>56</v>
      </c>
      <c r="AD431" t="s">
        <v>38</v>
      </c>
      <c r="AE431" t="s">
        <v>49</v>
      </c>
      <c r="AF431" t="s">
        <v>50</v>
      </c>
      <c r="AG431">
        <v>0</v>
      </c>
      <c r="AH431">
        <v>0</v>
      </c>
      <c r="AI431" t="s">
        <v>51</v>
      </c>
      <c r="AJ431" t="s">
        <v>51</v>
      </c>
      <c r="AK431" t="s">
        <v>51</v>
      </c>
    </row>
    <row r="432" spans="1:37" x14ac:dyDescent="0.2">
      <c r="A432">
        <v>63433</v>
      </c>
      <c r="B432" t="s">
        <v>37</v>
      </c>
      <c r="C432" t="s">
        <v>38</v>
      </c>
      <c r="D432" t="s">
        <v>39</v>
      </c>
      <c r="E432" t="s">
        <v>40</v>
      </c>
      <c r="G432" s="4">
        <v>43948.470810185185</v>
      </c>
      <c r="H432" s="4">
        <v>43948.488263888889</v>
      </c>
      <c r="I432" t="s">
        <v>860</v>
      </c>
      <c r="J432" s="5">
        <v>1508</v>
      </c>
      <c r="K432" t="s">
        <v>38</v>
      </c>
      <c r="M432">
        <v>63448</v>
      </c>
      <c r="N432" t="s">
        <v>42</v>
      </c>
      <c r="O432" t="s">
        <v>43</v>
      </c>
      <c r="P432" t="s">
        <v>38</v>
      </c>
      <c r="Q432" t="s">
        <v>88</v>
      </c>
      <c r="R432">
        <v>2</v>
      </c>
      <c r="S432" t="s">
        <v>45</v>
      </c>
      <c r="T432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2">
        <v>63449</v>
      </c>
      <c r="V432" t="s">
        <v>38</v>
      </c>
      <c r="W432" t="s">
        <v>88</v>
      </c>
      <c r="X432">
        <v>2</v>
      </c>
      <c r="Y432">
        <v>0</v>
      </c>
      <c r="Z432" t="s">
        <v>46</v>
      </c>
      <c r="AA432">
        <v>63457</v>
      </c>
      <c r="AB432" t="s">
        <v>861</v>
      </c>
      <c r="AC432" t="s">
        <v>48</v>
      </c>
      <c r="AD432" t="s">
        <v>38</v>
      </c>
      <c r="AE432" t="s">
        <v>49</v>
      </c>
      <c r="AF432" t="s">
        <v>50</v>
      </c>
      <c r="AG432">
        <v>0</v>
      </c>
      <c r="AH432">
        <v>0</v>
      </c>
      <c r="AI432" t="s">
        <v>51</v>
      </c>
      <c r="AJ432" t="s">
        <v>51</v>
      </c>
      <c r="AK432" t="s">
        <v>51</v>
      </c>
    </row>
    <row r="433" spans="1:37" x14ac:dyDescent="0.2">
      <c r="A433">
        <v>63433</v>
      </c>
      <c r="B433" t="s">
        <v>37</v>
      </c>
      <c r="C433" t="s">
        <v>38</v>
      </c>
      <c r="D433" t="s">
        <v>39</v>
      </c>
      <c r="E433" t="s">
        <v>40</v>
      </c>
      <c r="G433" s="4">
        <v>43948.470810185185</v>
      </c>
      <c r="H433" s="4">
        <v>43948.488263888889</v>
      </c>
      <c r="I433" t="s">
        <v>860</v>
      </c>
      <c r="J433" s="5">
        <v>1508</v>
      </c>
      <c r="K433" t="s">
        <v>38</v>
      </c>
      <c r="M433">
        <v>63448</v>
      </c>
      <c r="N433" t="s">
        <v>42</v>
      </c>
      <c r="O433" t="s">
        <v>43</v>
      </c>
      <c r="P433" t="s">
        <v>38</v>
      </c>
      <c r="Q433" t="s">
        <v>88</v>
      </c>
      <c r="R433">
        <v>2</v>
      </c>
      <c r="S433" t="s">
        <v>45</v>
      </c>
      <c r="T433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3">
        <v>63449</v>
      </c>
      <c r="V433" t="s">
        <v>38</v>
      </c>
      <c r="W433" t="s">
        <v>88</v>
      </c>
      <c r="X433">
        <v>2</v>
      </c>
      <c r="Y433">
        <v>0</v>
      </c>
      <c r="Z433" t="s">
        <v>46</v>
      </c>
      <c r="AA433">
        <v>63456</v>
      </c>
      <c r="AB433" t="s">
        <v>862</v>
      </c>
      <c r="AC433" t="s">
        <v>48</v>
      </c>
      <c r="AD433" t="s">
        <v>38</v>
      </c>
      <c r="AE433" t="s">
        <v>49</v>
      </c>
      <c r="AF433" t="s">
        <v>50</v>
      </c>
      <c r="AG433">
        <v>0</v>
      </c>
      <c r="AH433">
        <v>0</v>
      </c>
      <c r="AI433" t="s">
        <v>51</v>
      </c>
      <c r="AJ433" t="s">
        <v>51</v>
      </c>
      <c r="AK433" t="s">
        <v>51</v>
      </c>
    </row>
    <row r="434" spans="1:37" x14ac:dyDescent="0.2">
      <c r="A434">
        <v>63433</v>
      </c>
      <c r="B434" t="s">
        <v>37</v>
      </c>
      <c r="C434" t="s">
        <v>38</v>
      </c>
      <c r="D434" t="s">
        <v>39</v>
      </c>
      <c r="E434" t="s">
        <v>40</v>
      </c>
      <c r="G434" s="4">
        <v>43948.470810185185</v>
      </c>
      <c r="H434" s="4">
        <v>43948.488263888889</v>
      </c>
      <c r="I434" t="s">
        <v>860</v>
      </c>
      <c r="J434" s="5">
        <v>1508</v>
      </c>
      <c r="K434" t="s">
        <v>38</v>
      </c>
      <c r="M434">
        <v>63448</v>
      </c>
      <c r="N434" t="s">
        <v>42</v>
      </c>
      <c r="O434" t="s">
        <v>43</v>
      </c>
      <c r="P434" t="s">
        <v>38</v>
      </c>
      <c r="Q434" t="s">
        <v>88</v>
      </c>
      <c r="R434">
        <v>2</v>
      </c>
      <c r="S434" t="s">
        <v>45</v>
      </c>
      <c r="T434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4">
        <v>63449</v>
      </c>
      <c r="V434" t="s">
        <v>38</v>
      </c>
      <c r="W434" t="s">
        <v>88</v>
      </c>
      <c r="X434">
        <v>2</v>
      </c>
      <c r="Y434">
        <v>0</v>
      </c>
      <c r="Z434" t="s">
        <v>46</v>
      </c>
      <c r="AA434">
        <v>63455</v>
      </c>
      <c r="AB434" t="s">
        <v>863</v>
      </c>
      <c r="AC434" t="s">
        <v>48</v>
      </c>
      <c r="AD434" t="s">
        <v>38</v>
      </c>
      <c r="AE434" t="s">
        <v>49</v>
      </c>
      <c r="AF434" t="s">
        <v>50</v>
      </c>
      <c r="AG434">
        <v>0</v>
      </c>
      <c r="AH434">
        <v>0</v>
      </c>
      <c r="AI434" t="s">
        <v>51</v>
      </c>
      <c r="AJ434" t="s">
        <v>51</v>
      </c>
      <c r="AK434" t="s">
        <v>51</v>
      </c>
    </row>
    <row r="435" spans="1:37" x14ac:dyDescent="0.2">
      <c r="A435">
        <v>63433</v>
      </c>
      <c r="B435" t="s">
        <v>37</v>
      </c>
      <c r="C435" t="s">
        <v>38</v>
      </c>
      <c r="D435" t="s">
        <v>39</v>
      </c>
      <c r="E435" t="s">
        <v>40</v>
      </c>
      <c r="G435" s="4">
        <v>43948.470810185185</v>
      </c>
      <c r="H435" s="4">
        <v>43948.488263888889</v>
      </c>
      <c r="I435" t="s">
        <v>860</v>
      </c>
      <c r="J435" s="5">
        <v>1508</v>
      </c>
      <c r="K435" t="s">
        <v>38</v>
      </c>
      <c r="M435">
        <v>63448</v>
      </c>
      <c r="N435" t="s">
        <v>42</v>
      </c>
      <c r="O435" t="s">
        <v>43</v>
      </c>
      <c r="P435" t="s">
        <v>38</v>
      </c>
      <c r="Q435" t="s">
        <v>88</v>
      </c>
      <c r="R435">
        <v>2</v>
      </c>
      <c r="S435" t="s">
        <v>45</v>
      </c>
      <c r="T435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5">
        <v>63449</v>
      </c>
      <c r="V435" t="s">
        <v>38</v>
      </c>
      <c r="W435" t="s">
        <v>88</v>
      </c>
      <c r="X435">
        <v>2</v>
      </c>
      <c r="Y435">
        <v>0</v>
      </c>
      <c r="Z435" t="s">
        <v>46</v>
      </c>
      <c r="AA435">
        <v>63454</v>
      </c>
      <c r="AB435" t="s">
        <v>864</v>
      </c>
      <c r="AC435" t="s">
        <v>48</v>
      </c>
      <c r="AD435" t="s">
        <v>38</v>
      </c>
      <c r="AE435" t="s">
        <v>49</v>
      </c>
      <c r="AF435" t="s">
        <v>50</v>
      </c>
      <c r="AG435">
        <v>.9999999999999999999999999999999999999996</v>
      </c>
      <c r="AH435">
        <v>0</v>
      </c>
      <c r="AI435" t="s">
        <v>51</v>
      </c>
      <c r="AJ435" t="s">
        <v>51</v>
      </c>
      <c r="AK435" t="s">
        <v>51</v>
      </c>
    </row>
    <row r="436" spans="1:37" x14ac:dyDescent="0.2">
      <c r="A436">
        <v>63433</v>
      </c>
      <c r="B436" t="s">
        <v>37</v>
      </c>
      <c r="C436" t="s">
        <v>38</v>
      </c>
      <c r="D436" t="s">
        <v>39</v>
      </c>
      <c r="E436" t="s">
        <v>40</v>
      </c>
      <c r="G436" s="4">
        <v>43948.470810185185</v>
      </c>
      <c r="H436" s="4">
        <v>43948.488263888889</v>
      </c>
      <c r="I436" t="s">
        <v>860</v>
      </c>
      <c r="J436" s="5">
        <v>1508</v>
      </c>
      <c r="K436" t="s">
        <v>38</v>
      </c>
      <c r="M436">
        <v>63448</v>
      </c>
      <c r="N436" t="s">
        <v>42</v>
      </c>
      <c r="O436" t="s">
        <v>43</v>
      </c>
      <c r="P436" t="s">
        <v>38</v>
      </c>
      <c r="Q436" t="s">
        <v>88</v>
      </c>
      <c r="R436">
        <v>2</v>
      </c>
      <c r="S436" t="s">
        <v>45</v>
      </c>
      <c r="T436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6">
        <v>63449</v>
      </c>
      <c r="V436" t="s">
        <v>38</v>
      </c>
      <c r="W436" t="s">
        <v>88</v>
      </c>
      <c r="X436">
        <v>2</v>
      </c>
      <c r="Y436">
        <v>0</v>
      </c>
      <c r="Z436" t="s">
        <v>46</v>
      </c>
      <c r="AA436">
        <v>63453</v>
      </c>
      <c r="AB436" t="s">
        <v>865</v>
      </c>
      <c r="AC436" t="s">
        <v>56</v>
      </c>
      <c r="AD436" t="s">
        <v>38</v>
      </c>
      <c r="AE436" t="s">
        <v>49</v>
      </c>
      <c r="AF436" t="s">
        <v>50</v>
      </c>
      <c r="AG436">
        <v>0</v>
      </c>
      <c r="AH436">
        <v>0</v>
      </c>
      <c r="AI436" t="s">
        <v>51</v>
      </c>
      <c r="AJ436" t="s">
        <v>51</v>
      </c>
      <c r="AK436" t="s">
        <v>51</v>
      </c>
    </row>
    <row r="437" spans="1:37" x14ac:dyDescent="0.2">
      <c r="A437">
        <v>63433</v>
      </c>
      <c r="B437" t="s">
        <v>37</v>
      </c>
      <c r="C437" t="s">
        <v>38</v>
      </c>
      <c r="D437" t="s">
        <v>39</v>
      </c>
      <c r="E437" t="s">
        <v>40</v>
      </c>
      <c r="G437" s="4">
        <v>43948.470810185185</v>
      </c>
      <c r="H437" s="4">
        <v>43948.488263888889</v>
      </c>
      <c r="I437" t="s">
        <v>860</v>
      </c>
      <c r="J437" s="5">
        <v>1508</v>
      </c>
      <c r="K437" t="s">
        <v>38</v>
      </c>
      <c r="M437">
        <v>63448</v>
      </c>
      <c r="N437" t="s">
        <v>42</v>
      </c>
      <c r="O437" t="s">
        <v>43</v>
      </c>
      <c r="P437" t="s">
        <v>38</v>
      </c>
      <c r="Q437" t="s">
        <v>88</v>
      </c>
      <c r="R437">
        <v>2</v>
      </c>
      <c r="S437" t="s">
        <v>45</v>
      </c>
      <c r="T437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7">
        <v>63449</v>
      </c>
      <c r="V437" t="s">
        <v>38</v>
      </c>
      <c r="W437" t="s">
        <v>88</v>
      </c>
      <c r="X437">
        <v>2</v>
      </c>
      <c r="Y437">
        <v>0</v>
      </c>
      <c r="Z437" t="s">
        <v>46</v>
      </c>
      <c r="AA437">
        <v>63452</v>
      </c>
      <c r="AB437" t="s">
        <v>866</v>
      </c>
      <c r="AC437" t="s">
        <v>56</v>
      </c>
      <c r="AD437" t="s">
        <v>38</v>
      </c>
      <c r="AE437" t="s">
        <v>49</v>
      </c>
      <c r="AF437" t="s">
        <v>50</v>
      </c>
      <c r="AG437">
        <v>0</v>
      </c>
      <c r="AH437">
        <v>0</v>
      </c>
      <c r="AI437" t="s">
        <v>51</v>
      </c>
      <c r="AJ437" t="s">
        <v>51</v>
      </c>
      <c r="AK437" t="s">
        <v>51</v>
      </c>
    </row>
    <row r="438" spans="1:37" x14ac:dyDescent="0.2">
      <c r="A438">
        <v>63433</v>
      </c>
      <c r="B438" t="s">
        <v>37</v>
      </c>
      <c r="C438" t="s">
        <v>38</v>
      </c>
      <c r="D438" t="s">
        <v>39</v>
      </c>
      <c r="E438" t="s">
        <v>40</v>
      </c>
      <c r="G438" s="4">
        <v>43948.470810185185</v>
      </c>
      <c r="H438" s="4">
        <v>43948.488263888889</v>
      </c>
      <c r="I438" t="s">
        <v>860</v>
      </c>
      <c r="J438" s="5">
        <v>1508</v>
      </c>
      <c r="K438" t="s">
        <v>38</v>
      </c>
      <c r="M438">
        <v>63448</v>
      </c>
      <c r="N438" t="s">
        <v>42</v>
      </c>
      <c r="O438" t="s">
        <v>43</v>
      </c>
      <c r="P438" t="s">
        <v>38</v>
      </c>
      <c r="Q438" t="s">
        <v>88</v>
      </c>
      <c r="R438">
        <v>2</v>
      </c>
      <c r="S438" t="s">
        <v>45</v>
      </c>
      <c r="T438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8">
        <v>63449</v>
      </c>
      <c r="V438" t="s">
        <v>38</v>
      </c>
      <c r="W438" t="s">
        <v>88</v>
      </c>
      <c r="X438">
        <v>2</v>
      </c>
      <c r="Y438">
        <v>0</v>
      </c>
      <c r="Z438" t="s">
        <v>46</v>
      </c>
      <c r="AA438">
        <v>63451</v>
      </c>
      <c r="AB438" t="s">
        <v>867</v>
      </c>
      <c r="AC438" t="s">
        <v>56</v>
      </c>
      <c r="AD438" t="s">
        <v>38</v>
      </c>
      <c r="AE438" t="s">
        <v>49</v>
      </c>
      <c r="AF438" t="s">
        <v>50</v>
      </c>
      <c r="AG438">
        <v>.9999999999999999999999999999999999999996</v>
      </c>
      <c r="AH438">
        <v>0</v>
      </c>
      <c r="AI438" t="s">
        <v>51</v>
      </c>
      <c r="AJ438" t="s">
        <v>51</v>
      </c>
      <c r="AK438" t="s">
        <v>51</v>
      </c>
    </row>
    <row r="439" spans="1:37" x14ac:dyDescent="0.2">
      <c r="A439">
        <v>63433</v>
      </c>
      <c r="B439" t="s">
        <v>37</v>
      </c>
      <c r="C439" t="s">
        <v>38</v>
      </c>
      <c r="D439" t="s">
        <v>39</v>
      </c>
      <c r="E439" t="s">
        <v>40</v>
      </c>
      <c r="G439" s="4">
        <v>43948.470810185185</v>
      </c>
      <c r="H439" s="4">
        <v>43948.488263888889</v>
      </c>
      <c r="I439" t="s">
        <v>860</v>
      </c>
      <c r="J439" s="5">
        <v>1508</v>
      </c>
      <c r="K439" t="s">
        <v>38</v>
      </c>
      <c r="M439">
        <v>63448</v>
      </c>
      <c r="N439" t="s">
        <v>42</v>
      </c>
      <c r="O439" t="s">
        <v>43</v>
      </c>
      <c r="P439" t="s">
        <v>38</v>
      </c>
      <c r="Q439" t="s">
        <v>88</v>
      </c>
      <c r="R439">
        <v>2</v>
      </c>
      <c r="S439" t="s">
        <v>45</v>
      </c>
      <c r="T439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39">
        <v>63449</v>
      </c>
      <c r="V439" t="s">
        <v>38</v>
      </c>
      <c r="W439" t="s">
        <v>88</v>
      </c>
      <c r="X439">
        <v>2</v>
      </c>
      <c r="Y439">
        <v>0</v>
      </c>
      <c r="Z439" t="s">
        <v>46</v>
      </c>
      <c r="AA439">
        <v>63450</v>
      </c>
      <c r="AB439" t="s">
        <v>868</v>
      </c>
      <c r="AC439" t="s">
        <v>60</v>
      </c>
      <c r="AD439" t="s">
        <v>38</v>
      </c>
      <c r="AE439" t="s">
        <v>49</v>
      </c>
      <c r="AF439" t="s">
        <v>50</v>
      </c>
      <c r="AG439">
        <v>0</v>
      </c>
      <c r="AH439">
        <v>0</v>
      </c>
      <c r="AI439" t="s">
        <v>51</v>
      </c>
      <c r="AJ439" t="s">
        <v>51</v>
      </c>
      <c r="AK439" t="s">
        <v>51</v>
      </c>
    </row>
    <row r="440" spans="1:37" x14ac:dyDescent="0.2">
      <c r="A440">
        <v>63433</v>
      </c>
      <c r="B440" t="s">
        <v>37</v>
      </c>
      <c r="C440" t="s">
        <v>38</v>
      </c>
      <c r="D440" t="s">
        <v>39</v>
      </c>
      <c r="E440" t="s">
        <v>40</v>
      </c>
      <c r="G440" s="4">
        <v>43948.470810185185</v>
      </c>
      <c r="H440" s="4">
        <v>43948.488263888889</v>
      </c>
      <c r="I440" t="s">
        <v>860</v>
      </c>
      <c r="J440" s="5">
        <v>1508</v>
      </c>
      <c r="K440" t="s">
        <v>38</v>
      </c>
      <c r="M440">
        <v>63444</v>
      </c>
      <c r="N440" t="s">
        <v>61</v>
      </c>
      <c r="O440" t="s">
        <v>62</v>
      </c>
      <c r="P440" t="s">
        <v>38</v>
      </c>
      <c r="Q440" t="s">
        <v>869</v>
      </c>
      <c r="R440">
        <v>1489</v>
      </c>
      <c r="S440" t="s">
        <v>45</v>
      </c>
      <c r="T440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0">
        <v>63445</v>
      </c>
      <c r="V440" t="s">
        <v>38</v>
      </c>
      <c r="W440" t="s">
        <v>869</v>
      </c>
      <c r="X440">
        <v>1489</v>
      </c>
      <c r="Y440">
        <v>0</v>
      </c>
      <c r="Z440" t="s">
        <v>46</v>
      </c>
      <c r="AA440">
        <v>63447</v>
      </c>
      <c r="AB440" t="s">
        <v>64</v>
      </c>
      <c r="AC440" t="s">
        <v>56</v>
      </c>
      <c r="AD440" t="s">
        <v>38</v>
      </c>
      <c r="AE440" t="s">
        <v>65</v>
      </c>
      <c r="AF440" t="s">
        <v>869</v>
      </c>
      <c r="AG440">
        <v>1489</v>
      </c>
      <c r="AH440">
        <v>4</v>
      </c>
      <c r="AI440" t="s">
        <v>66</v>
      </c>
      <c r="AJ440" t="s">
        <v>51</v>
      </c>
      <c r="AK440" t="s">
        <v>66</v>
      </c>
    </row>
    <row r="441" spans="1:37" x14ac:dyDescent="0.2">
      <c r="A441">
        <v>63433</v>
      </c>
      <c r="B441" t="s">
        <v>37</v>
      </c>
      <c r="C441" t="s">
        <v>38</v>
      </c>
      <c r="D441" t="s">
        <v>39</v>
      </c>
      <c r="E441" t="s">
        <v>40</v>
      </c>
      <c r="G441" s="4">
        <v>43948.470810185185</v>
      </c>
      <c r="H441" s="4">
        <v>43948.488263888889</v>
      </c>
      <c r="I441" t="s">
        <v>860</v>
      </c>
      <c r="J441" s="5">
        <v>1508</v>
      </c>
      <c r="K441" t="s">
        <v>38</v>
      </c>
      <c r="M441">
        <v>63444</v>
      </c>
      <c r="N441" t="s">
        <v>61</v>
      </c>
      <c r="O441" t="s">
        <v>62</v>
      </c>
      <c r="P441" t="s">
        <v>38</v>
      </c>
      <c r="Q441" t="s">
        <v>869</v>
      </c>
      <c r="R441">
        <v>1489</v>
      </c>
      <c r="S441" t="s">
        <v>45</v>
      </c>
      <c r="T441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1">
        <v>63445</v>
      </c>
      <c r="V441" t="s">
        <v>38</v>
      </c>
      <c r="W441" t="s">
        <v>869</v>
      </c>
      <c r="X441">
        <v>1489</v>
      </c>
      <c r="Y441">
        <v>0</v>
      </c>
      <c r="Z441" t="s">
        <v>46</v>
      </c>
      <c r="AA441">
        <v>63446</v>
      </c>
      <c r="AB441" t="s">
        <v>870</v>
      </c>
      <c r="AC441" t="s">
        <v>68</v>
      </c>
      <c r="AD441" t="s">
        <v>38</v>
      </c>
      <c r="AE441" t="s">
        <v>49</v>
      </c>
      <c r="AF441" t="s">
        <v>50</v>
      </c>
      <c r="AG441">
        <v>0</v>
      </c>
      <c r="AH441">
        <v>0</v>
      </c>
      <c r="AI441" t="s">
        <v>51</v>
      </c>
      <c r="AJ441" t="s">
        <v>51</v>
      </c>
      <c r="AK441" t="s">
        <v>51</v>
      </c>
    </row>
    <row r="442" spans="1:37" x14ac:dyDescent="0.2">
      <c r="A442">
        <v>63433</v>
      </c>
      <c r="B442" t="s">
        <v>37</v>
      </c>
      <c r="C442" t="s">
        <v>38</v>
      </c>
      <c r="D442" t="s">
        <v>39</v>
      </c>
      <c r="E442" t="s">
        <v>40</v>
      </c>
      <c r="G442" s="4">
        <v>43948.470810185185</v>
      </c>
      <c r="H442" s="4">
        <v>43948.488263888889</v>
      </c>
      <c r="I442" t="s">
        <v>860</v>
      </c>
      <c r="J442" s="5">
        <v>1508</v>
      </c>
      <c r="K442" t="s">
        <v>38</v>
      </c>
      <c r="M442">
        <v>63440</v>
      </c>
      <c r="N442" t="s">
        <v>69</v>
      </c>
      <c r="O442" t="s">
        <v>70</v>
      </c>
      <c r="P442" t="s">
        <v>38</v>
      </c>
      <c r="Q442" t="s">
        <v>78</v>
      </c>
      <c r="R442">
        <v>5</v>
      </c>
      <c r="S442" t="s">
        <v>45</v>
      </c>
      <c r="T442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2">
        <v>63441</v>
      </c>
      <c r="V442" t="s">
        <v>38</v>
      </c>
      <c r="W442" t="s">
        <v>78</v>
      </c>
      <c r="X442">
        <v>5</v>
      </c>
      <c r="Y442">
        <v>0</v>
      </c>
      <c r="Z442" t="s">
        <v>46</v>
      </c>
      <c r="AA442">
        <v>63443</v>
      </c>
      <c r="AB442" t="s">
        <v>871</v>
      </c>
      <c r="AC442" t="s">
        <v>56</v>
      </c>
      <c r="AD442" t="s">
        <v>38</v>
      </c>
      <c r="AE442" t="s">
        <v>49</v>
      </c>
      <c r="AF442" t="s">
        <v>50</v>
      </c>
      <c r="AG442">
        <v>0</v>
      </c>
      <c r="AH442">
        <v>0</v>
      </c>
      <c r="AI442" t="s">
        <v>51</v>
      </c>
      <c r="AJ442" t="s">
        <v>51</v>
      </c>
      <c r="AK442" t="s">
        <v>51</v>
      </c>
    </row>
    <row r="443" spans="1:37" x14ac:dyDescent="0.2">
      <c r="A443">
        <v>63433</v>
      </c>
      <c r="B443" t="s">
        <v>37</v>
      </c>
      <c r="C443" t="s">
        <v>38</v>
      </c>
      <c r="D443" t="s">
        <v>39</v>
      </c>
      <c r="E443" t="s">
        <v>40</v>
      </c>
      <c r="G443" s="4">
        <v>43948.470810185185</v>
      </c>
      <c r="H443" s="4">
        <v>43948.488263888889</v>
      </c>
      <c r="I443" t="s">
        <v>860</v>
      </c>
      <c r="J443" s="5">
        <v>1508</v>
      </c>
      <c r="K443" t="s">
        <v>38</v>
      </c>
      <c r="M443">
        <v>63440</v>
      </c>
      <c r="N443" t="s">
        <v>69</v>
      </c>
      <c r="O443" t="s">
        <v>70</v>
      </c>
      <c r="P443" t="s">
        <v>38</v>
      </c>
      <c r="Q443" t="s">
        <v>78</v>
      </c>
      <c r="R443">
        <v>5</v>
      </c>
      <c r="S443" t="s">
        <v>45</v>
      </c>
      <c r="T443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3">
        <v>63441</v>
      </c>
      <c r="V443" t="s">
        <v>38</v>
      </c>
      <c r="W443" t="s">
        <v>78</v>
      </c>
      <c r="X443">
        <v>5</v>
      </c>
      <c r="Y443">
        <v>0</v>
      </c>
      <c r="Z443" t="s">
        <v>46</v>
      </c>
      <c r="AA443">
        <v>63442</v>
      </c>
      <c r="AB443" t="s">
        <v>72</v>
      </c>
      <c r="AC443" t="s">
        <v>68</v>
      </c>
      <c r="AD443" t="s">
        <v>38</v>
      </c>
      <c r="AE443" t="s">
        <v>872</v>
      </c>
      <c r="AF443" t="s">
        <v>78</v>
      </c>
      <c r="AG443">
        <v>5</v>
      </c>
      <c r="AH443">
        <v>0</v>
      </c>
      <c r="AI443" t="s">
        <v>873</v>
      </c>
      <c r="AJ443" t="s">
        <v>51</v>
      </c>
      <c r="AK443" t="s">
        <v>873</v>
      </c>
    </row>
    <row r="444" spans="1:37" x14ac:dyDescent="0.2">
      <c r="A444">
        <v>63433</v>
      </c>
      <c r="B444" t="s">
        <v>37</v>
      </c>
      <c r="C444" t="s">
        <v>38</v>
      </c>
      <c r="D444" t="s">
        <v>39</v>
      </c>
      <c r="E444" t="s">
        <v>40</v>
      </c>
      <c r="G444" s="4">
        <v>43948.470810185185</v>
      </c>
      <c r="H444" s="4">
        <v>43948.488263888889</v>
      </c>
      <c r="I444" t="s">
        <v>860</v>
      </c>
      <c r="J444" s="5">
        <v>1508</v>
      </c>
      <c r="K444" t="s">
        <v>38</v>
      </c>
      <c r="M444">
        <v>63434</v>
      </c>
      <c r="N444" t="s">
        <v>73</v>
      </c>
      <c r="O444" t="s">
        <v>74</v>
      </c>
      <c r="P444" t="s">
        <v>38</v>
      </c>
      <c r="Q444" t="s">
        <v>236</v>
      </c>
      <c r="R444">
        <v>12.00000000000000000000000000000000000001</v>
      </c>
      <c r="S444" t="s">
        <v>45</v>
      </c>
      <c r="T444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4">
        <v>63435</v>
      </c>
      <c r="V444" t="s">
        <v>38</v>
      </c>
      <c r="W444" t="s">
        <v>236</v>
      </c>
      <c r="X444">
        <v>12.00000000000000000000000000000000000001</v>
      </c>
      <c r="Y444">
        <v>0</v>
      </c>
      <c r="Z444" t="s">
        <v>46</v>
      </c>
      <c r="AA444">
        <v>63439</v>
      </c>
      <c r="AB444" t="s">
        <v>76</v>
      </c>
      <c r="AC444" t="s">
        <v>56</v>
      </c>
      <c r="AD444" t="s">
        <v>38</v>
      </c>
      <c r="AE444" t="s">
        <v>77</v>
      </c>
      <c r="AF444" t="s">
        <v>44</v>
      </c>
      <c r="AG444">
        <v>4</v>
      </c>
      <c r="AH444">
        <v>0</v>
      </c>
      <c r="AI444" t="s">
        <v>79</v>
      </c>
      <c r="AJ444" t="s">
        <v>51</v>
      </c>
      <c r="AK444" t="s">
        <v>79</v>
      </c>
    </row>
    <row r="445" spans="1:37" x14ac:dyDescent="0.2">
      <c r="A445">
        <v>63433</v>
      </c>
      <c r="B445" t="s">
        <v>37</v>
      </c>
      <c r="C445" t="s">
        <v>38</v>
      </c>
      <c r="D445" t="s">
        <v>39</v>
      </c>
      <c r="E445" t="s">
        <v>40</v>
      </c>
      <c r="G445" s="4">
        <v>43948.470810185185</v>
      </c>
      <c r="H445" s="4">
        <v>43948.488263888889</v>
      </c>
      <c r="I445" t="s">
        <v>860</v>
      </c>
      <c r="J445" s="5">
        <v>1508</v>
      </c>
      <c r="K445" t="s">
        <v>38</v>
      </c>
      <c r="M445">
        <v>63434</v>
      </c>
      <c r="N445" t="s">
        <v>73</v>
      </c>
      <c r="O445" t="s">
        <v>74</v>
      </c>
      <c r="P445" t="s">
        <v>38</v>
      </c>
      <c r="Q445" t="s">
        <v>236</v>
      </c>
      <c r="R445">
        <v>12.00000000000000000000000000000000000001</v>
      </c>
      <c r="S445" t="s">
        <v>45</v>
      </c>
      <c r="T445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5">
        <v>63435</v>
      </c>
      <c r="V445" t="s">
        <v>38</v>
      </c>
      <c r="W445" t="s">
        <v>236</v>
      </c>
      <c r="X445">
        <v>12.00000000000000000000000000000000000001</v>
      </c>
      <c r="Y445">
        <v>0</v>
      </c>
      <c r="Z445" t="s">
        <v>46</v>
      </c>
      <c r="AA445">
        <v>63438</v>
      </c>
      <c r="AB445" t="s">
        <v>80</v>
      </c>
      <c r="AC445" t="s">
        <v>56</v>
      </c>
      <c r="AD445" t="s">
        <v>38</v>
      </c>
      <c r="AE445" t="s">
        <v>49</v>
      </c>
      <c r="AF445" t="s">
        <v>50</v>
      </c>
      <c r="AG445">
        <v>0</v>
      </c>
      <c r="AH445">
        <v>0</v>
      </c>
      <c r="AI445" t="s">
        <v>51</v>
      </c>
      <c r="AJ445" t="s">
        <v>51</v>
      </c>
      <c r="AK445" t="s">
        <v>51</v>
      </c>
    </row>
    <row r="446" spans="1:37" x14ac:dyDescent="0.2">
      <c r="A446">
        <v>63433</v>
      </c>
      <c r="B446" t="s">
        <v>37</v>
      </c>
      <c r="C446" t="s">
        <v>38</v>
      </c>
      <c r="D446" t="s">
        <v>39</v>
      </c>
      <c r="E446" t="s">
        <v>40</v>
      </c>
      <c r="G446" s="4">
        <v>43948.470810185185</v>
      </c>
      <c r="H446" s="4">
        <v>43948.488263888889</v>
      </c>
      <c r="I446" t="s">
        <v>860</v>
      </c>
      <c r="J446" s="5">
        <v>1508</v>
      </c>
      <c r="K446" t="s">
        <v>38</v>
      </c>
      <c r="M446">
        <v>63434</v>
      </c>
      <c r="N446" t="s">
        <v>73</v>
      </c>
      <c r="O446" t="s">
        <v>74</v>
      </c>
      <c r="P446" t="s">
        <v>38</v>
      </c>
      <c r="Q446" t="s">
        <v>236</v>
      </c>
      <c r="R446">
        <v>12.00000000000000000000000000000000000001</v>
      </c>
      <c r="S446" t="s">
        <v>45</v>
      </c>
      <c r="T446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6">
        <v>63435</v>
      </c>
      <c r="V446" t="s">
        <v>38</v>
      </c>
      <c r="W446" t="s">
        <v>236</v>
      </c>
      <c r="X446">
        <v>12.00000000000000000000000000000000000001</v>
      </c>
      <c r="Y446">
        <v>0</v>
      </c>
      <c r="Z446" t="s">
        <v>46</v>
      </c>
      <c r="AA446">
        <v>63437</v>
      </c>
      <c r="AB446" t="s">
        <v>874</v>
      </c>
      <c r="AC446" t="s">
        <v>68</v>
      </c>
      <c r="AD446" t="s">
        <v>38</v>
      </c>
      <c r="AE446" t="s">
        <v>49</v>
      </c>
      <c r="AF446" t="s">
        <v>50</v>
      </c>
      <c r="AG446">
        <v>.9999999999999999999999999999999999999996</v>
      </c>
      <c r="AH446">
        <v>0</v>
      </c>
      <c r="AI446" t="s">
        <v>51</v>
      </c>
      <c r="AJ446" t="s">
        <v>51</v>
      </c>
      <c r="AK446" t="s">
        <v>51</v>
      </c>
    </row>
    <row r="447" spans="1:37" x14ac:dyDescent="0.2">
      <c r="A447">
        <v>63433</v>
      </c>
      <c r="B447" t="s">
        <v>37</v>
      </c>
      <c r="C447" t="s">
        <v>38</v>
      </c>
      <c r="D447" t="s">
        <v>39</v>
      </c>
      <c r="E447" t="s">
        <v>40</v>
      </c>
      <c r="G447" s="4">
        <v>43948.470810185185</v>
      </c>
      <c r="H447" s="4">
        <v>43948.488263888889</v>
      </c>
      <c r="I447" t="s">
        <v>860</v>
      </c>
      <c r="J447" s="5">
        <v>1508</v>
      </c>
      <c r="K447" t="s">
        <v>38</v>
      </c>
      <c r="M447">
        <v>63434</v>
      </c>
      <c r="N447" t="s">
        <v>73</v>
      </c>
      <c r="O447" t="s">
        <v>74</v>
      </c>
      <c r="P447" t="s">
        <v>38</v>
      </c>
      <c r="Q447" t="s">
        <v>236</v>
      </c>
      <c r="R447">
        <v>12.00000000000000000000000000000000000001</v>
      </c>
      <c r="S447" t="s">
        <v>45</v>
      </c>
      <c r="T447" t="str" s="2">
        <f>=HYPERLINK("http://demo.enginatics.com:80/ecc/user/applications/log/63433.log","http://demo.enginatics.com:80/ecc/user/applications/log/63433.log")</f>
        <v>"http://demo.enginatics.com:80/ecc/user/applications/log/63433.log")</v>
      </c>
      <c r="U447">
        <v>63435</v>
      </c>
      <c r="V447" t="s">
        <v>38</v>
      </c>
      <c r="W447" t="s">
        <v>236</v>
      </c>
      <c r="X447">
        <v>12.00000000000000000000000000000000000001</v>
      </c>
      <c r="Y447">
        <v>0</v>
      </c>
      <c r="Z447" t="s">
        <v>46</v>
      </c>
      <c r="AA447">
        <v>63436</v>
      </c>
      <c r="AB447" t="s">
        <v>82</v>
      </c>
      <c r="AC447" t="s">
        <v>68</v>
      </c>
      <c r="AD447" t="s">
        <v>38</v>
      </c>
      <c r="AE447" t="s">
        <v>875</v>
      </c>
      <c r="AF447" t="s">
        <v>78</v>
      </c>
      <c r="AG447">
        <v>5</v>
      </c>
      <c r="AH447">
        <v>0</v>
      </c>
      <c r="AI447" t="s">
        <v>876</v>
      </c>
      <c r="AJ447" t="s">
        <v>51</v>
      </c>
      <c r="AK447" t="s">
        <v>876</v>
      </c>
    </row>
    <row r="448" spans="1:37" x14ac:dyDescent="0.2">
      <c r="A448">
        <v>63428</v>
      </c>
      <c r="B448" t="s">
        <v>37</v>
      </c>
      <c r="C448" t="s">
        <v>38</v>
      </c>
      <c r="D448" t="s">
        <v>83</v>
      </c>
      <c r="E448" t="s">
        <v>84</v>
      </c>
      <c r="G448" s="4">
        <v>43948.45650462963</v>
      </c>
      <c r="H448" s="4">
        <v>43948.456631944444</v>
      </c>
      <c r="I448" t="s">
        <v>337</v>
      </c>
      <c r="J448" s="5">
        <v>11.00000000000000000000000000000000000002</v>
      </c>
      <c r="K448" t="s">
        <v>38</v>
      </c>
      <c r="M448">
        <v>63429</v>
      </c>
      <c r="N448" t="s">
        <v>84</v>
      </c>
      <c r="O448" t="s">
        <v>86</v>
      </c>
      <c r="P448" t="s">
        <v>38</v>
      </c>
      <c r="Q448" t="s">
        <v>337</v>
      </c>
      <c r="R448">
        <v>11.00000000000000000000000000000000000002</v>
      </c>
      <c r="S448" t="s">
        <v>45</v>
      </c>
      <c r="T448" t="str" s="2">
        <f>=HYPERLINK("http://demo.enginatics.com:80/ecc/user/applications/log/63428.log","http://demo.enginatics.com:80/ecc/user/applications/log/63428.log")</f>
        <v>"http://demo.enginatics.com:80/ecc/user/applications/log/63428.log")</v>
      </c>
      <c r="U448">
        <v>63430</v>
      </c>
      <c r="V448" t="s">
        <v>38</v>
      </c>
      <c r="W448" t="s">
        <v>337</v>
      </c>
      <c r="X448">
        <v>11.00000000000000000000000000000000000002</v>
      </c>
      <c r="Y448">
        <v>0</v>
      </c>
      <c r="Z448" t="s">
        <v>46</v>
      </c>
      <c r="AA448">
        <v>63432</v>
      </c>
      <c r="AB448" t="s">
        <v>877</v>
      </c>
      <c r="AC448" t="s">
        <v>68</v>
      </c>
      <c r="AD448" t="s">
        <v>38</v>
      </c>
      <c r="AE448" t="s">
        <v>878</v>
      </c>
      <c r="AF448" t="s">
        <v>78</v>
      </c>
      <c r="AG448">
        <v>5</v>
      </c>
      <c r="AH448">
        <v>1</v>
      </c>
      <c r="AI448" t="s">
        <v>879</v>
      </c>
      <c r="AJ448" t="s">
        <v>51</v>
      </c>
      <c r="AK448" t="s">
        <v>879</v>
      </c>
    </row>
    <row r="449" spans="1:37" x14ac:dyDescent="0.2">
      <c r="A449">
        <v>63428</v>
      </c>
      <c r="B449" t="s">
        <v>37</v>
      </c>
      <c r="C449" t="s">
        <v>38</v>
      </c>
      <c r="D449" t="s">
        <v>83</v>
      </c>
      <c r="E449" t="s">
        <v>84</v>
      </c>
      <c r="G449" s="4">
        <v>43948.45650462963</v>
      </c>
      <c r="H449" s="4">
        <v>43948.456631944444</v>
      </c>
      <c r="I449" t="s">
        <v>337</v>
      </c>
      <c r="J449" s="5">
        <v>11.00000000000000000000000000000000000002</v>
      </c>
      <c r="K449" t="s">
        <v>38</v>
      </c>
      <c r="M449">
        <v>63429</v>
      </c>
      <c r="N449" t="s">
        <v>84</v>
      </c>
      <c r="O449" t="s">
        <v>86</v>
      </c>
      <c r="P449" t="s">
        <v>38</v>
      </c>
      <c r="Q449" t="s">
        <v>337</v>
      </c>
      <c r="R449">
        <v>11.00000000000000000000000000000000000002</v>
      </c>
      <c r="S449" t="s">
        <v>45</v>
      </c>
      <c r="T449" t="str" s="2">
        <f>=HYPERLINK("http://demo.enginatics.com:80/ecc/user/applications/log/63428.log","http://demo.enginatics.com:80/ecc/user/applications/log/63428.log")</f>
        <v>"http://demo.enginatics.com:80/ecc/user/applications/log/63428.log")</v>
      </c>
      <c r="U449">
        <v>63430</v>
      </c>
      <c r="V449" t="s">
        <v>38</v>
      </c>
      <c r="W449" t="s">
        <v>337</v>
      </c>
      <c r="X449">
        <v>11.00000000000000000000000000000000000002</v>
      </c>
      <c r="Y449">
        <v>0</v>
      </c>
      <c r="Z449" t="s">
        <v>46</v>
      </c>
      <c r="AA449">
        <v>63431</v>
      </c>
      <c r="AB449" t="s">
        <v>880</v>
      </c>
      <c r="AC449" t="s">
        <v>56</v>
      </c>
      <c r="AD449" t="s">
        <v>38</v>
      </c>
      <c r="AE449" t="s">
        <v>878</v>
      </c>
      <c r="AF449" t="s">
        <v>78</v>
      </c>
      <c r="AG449">
        <v>5</v>
      </c>
      <c r="AH449">
        <v>0</v>
      </c>
      <c r="AI449" t="s">
        <v>879</v>
      </c>
      <c r="AJ449" t="s">
        <v>51</v>
      </c>
      <c r="AK449" t="s">
        <v>879</v>
      </c>
    </row>
    <row r="450" spans="1:37" x14ac:dyDescent="0.2">
      <c r="A450">
        <v>63426</v>
      </c>
      <c r="B450" t="s">
        <v>37</v>
      </c>
      <c r="C450" t="s">
        <v>38</v>
      </c>
      <c r="D450" t="s">
        <v>83</v>
      </c>
      <c r="E450" t="s">
        <v>90</v>
      </c>
      <c r="G450" s="4">
        <v>43948.438530092593</v>
      </c>
      <c r="H450" s="4">
        <v>43948.438530092593</v>
      </c>
      <c r="I450" t="s">
        <v>50</v>
      </c>
      <c r="J450" s="5">
        <v>0</v>
      </c>
      <c r="K450" t="s">
        <v>38</v>
      </c>
      <c r="M450">
        <v>63427</v>
      </c>
      <c r="N450" t="s">
        <v>90</v>
      </c>
      <c r="O450" t="s">
        <v>91</v>
      </c>
      <c r="P450" t="s">
        <v>38</v>
      </c>
      <c r="Q450" t="s">
        <v>50</v>
      </c>
      <c r="R450">
        <v>0</v>
      </c>
      <c r="S450" t="s">
        <v>92</v>
      </c>
      <c r="T450" t="str" s="2">
        <f>=HYPERLINK("http://demo.enginatics.com:80/ecc/user/applications/log/63426.log","http://demo.enginatics.com:80/ecc/user/applications/log/63426.log")</f>
        <v>"http://demo.enginatics.com:80/ecc/user/applications/log/63426.log")</v>
      </c>
    </row>
    <row r="451" spans="1:37" x14ac:dyDescent="0.2">
      <c r="A451">
        <v>63420</v>
      </c>
      <c r="B451" t="s">
        <v>37</v>
      </c>
      <c r="C451" t="s">
        <v>38</v>
      </c>
      <c r="D451" t="s">
        <v>93</v>
      </c>
      <c r="E451" t="s">
        <v>94</v>
      </c>
      <c r="G451" s="4">
        <v>43948.418587962963</v>
      </c>
      <c r="H451" s="4">
        <v>43948.418587962963</v>
      </c>
      <c r="I451" t="s">
        <v>50</v>
      </c>
      <c r="J451" s="5">
        <v>0</v>
      </c>
      <c r="K451" t="s">
        <v>38</v>
      </c>
      <c r="M451">
        <v>63421</v>
      </c>
      <c r="N451" t="s">
        <v>94</v>
      </c>
      <c r="O451" t="s">
        <v>95</v>
      </c>
      <c r="P451" t="s">
        <v>38</v>
      </c>
      <c r="Q451" t="s">
        <v>50</v>
      </c>
      <c r="R451">
        <v>0</v>
      </c>
      <c r="S451" t="s">
        <v>45</v>
      </c>
      <c r="T451" t="str" s="2">
        <f>=HYPERLINK("http://demo.enginatics.com:80/ecc/user/applications/log/63420.log","http://demo.enginatics.com:80/ecc/user/applications/log/63420.log")</f>
        <v>"http://demo.enginatics.com:80/ecc/user/applications/log/63420.log")</v>
      </c>
      <c r="U451">
        <v>63422</v>
      </c>
      <c r="V451" t="s">
        <v>38</v>
      </c>
      <c r="W451" t="s">
        <v>50</v>
      </c>
      <c r="X451">
        <v>0</v>
      </c>
      <c r="Y451">
        <v>0</v>
      </c>
      <c r="Z451" t="s">
        <v>46</v>
      </c>
      <c r="AA451">
        <v>63425</v>
      </c>
      <c r="AB451" t="s">
        <v>96</v>
      </c>
      <c r="AC451" t="s">
        <v>97</v>
      </c>
      <c r="AD451" t="s">
        <v>38</v>
      </c>
      <c r="AE451" t="s">
        <v>49</v>
      </c>
      <c r="AF451" t="s">
        <v>50</v>
      </c>
      <c r="AG451">
        <v>0</v>
      </c>
      <c r="AH451">
        <v>0</v>
      </c>
      <c r="AI451" t="s">
        <v>51</v>
      </c>
      <c r="AJ451" t="s">
        <v>51</v>
      </c>
      <c r="AK451" t="s">
        <v>51</v>
      </c>
    </row>
    <row r="452" spans="1:37" x14ac:dyDescent="0.2">
      <c r="A452">
        <v>63420</v>
      </c>
      <c r="B452" t="s">
        <v>37</v>
      </c>
      <c r="C452" t="s">
        <v>38</v>
      </c>
      <c r="D452" t="s">
        <v>93</v>
      </c>
      <c r="E452" t="s">
        <v>94</v>
      </c>
      <c r="G452" s="4">
        <v>43948.418587962963</v>
      </c>
      <c r="H452" s="4">
        <v>43948.418587962963</v>
      </c>
      <c r="I452" t="s">
        <v>50</v>
      </c>
      <c r="J452" s="5">
        <v>0</v>
      </c>
      <c r="K452" t="s">
        <v>38</v>
      </c>
      <c r="M452">
        <v>63421</v>
      </c>
      <c r="N452" t="s">
        <v>94</v>
      </c>
      <c r="O452" t="s">
        <v>95</v>
      </c>
      <c r="P452" t="s">
        <v>38</v>
      </c>
      <c r="Q452" t="s">
        <v>50</v>
      </c>
      <c r="R452">
        <v>0</v>
      </c>
      <c r="S452" t="s">
        <v>45</v>
      </c>
      <c r="T452" t="str" s="2">
        <f>=HYPERLINK("http://demo.enginatics.com:80/ecc/user/applications/log/63420.log","http://demo.enginatics.com:80/ecc/user/applications/log/63420.log")</f>
        <v>"http://demo.enginatics.com:80/ecc/user/applications/log/63420.log")</v>
      </c>
      <c r="U452">
        <v>63422</v>
      </c>
      <c r="V452" t="s">
        <v>38</v>
      </c>
      <c r="W452" t="s">
        <v>50</v>
      </c>
      <c r="X452">
        <v>0</v>
      </c>
      <c r="Y452">
        <v>0</v>
      </c>
      <c r="Z452" t="s">
        <v>46</v>
      </c>
      <c r="AA452">
        <v>63424</v>
      </c>
      <c r="AB452" t="s">
        <v>98</v>
      </c>
      <c r="AC452" t="s">
        <v>56</v>
      </c>
      <c r="AD452" t="s">
        <v>38</v>
      </c>
      <c r="AE452" t="s">
        <v>49</v>
      </c>
      <c r="AF452" t="s">
        <v>50</v>
      </c>
      <c r="AG452">
        <v>0</v>
      </c>
      <c r="AH452">
        <v>0</v>
      </c>
      <c r="AI452" t="s">
        <v>51</v>
      </c>
      <c r="AJ452" t="s">
        <v>51</v>
      </c>
      <c r="AK452" t="s">
        <v>51</v>
      </c>
    </row>
    <row r="453" spans="1:37" x14ac:dyDescent="0.2">
      <c r="A453">
        <v>63420</v>
      </c>
      <c r="B453" t="s">
        <v>37</v>
      </c>
      <c r="C453" t="s">
        <v>38</v>
      </c>
      <c r="D453" t="s">
        <v>93</v>
      </c>
      <c r="E453" t="s">
        <v>94</v>
      </c>
      <c r="G453" s="4">
        <v>43948.418587962963</v>
      </c>
      <c r="H453" s="4">
        <v>43948.418587962963</v>
      </c>
      <c r="I453" t="s">
        <v>50</v>
      </c>
      <c r="J453" s="5">
        <v>0</v>
      </c>
      <c r="K453" t="s">
        <v>38</v>
      </c>
      <c r="M453">
        <v>63421</v>
      </c>
      <c r="N453" t="s">
        <v>94</v>
      </c>
      <c r="O453" t="s">
        <v>95</v>
      </c>
      <c r="P453" t="s">
        <v>38</v>
      </c>
      <c r="Q453" t="s">
        <v>50</v>
      </c>
      <c r="R453">
        <v>0</v>
      </c>
      <c r="S453" t="s">
        <v>45</v>
      </c>
      <c r="T453" t="str" s="2">
        <f>=HYPERLINK("http://demo.enginatics.com:80/ecc/user/applications/log/63420.log","http://demo.enginatics.com:80/ecc/user/applications/log/63420.log")</f>
        <v>"http://demo.enginatics.com:80/ecc/user/applications/log/63420.log")</v>
      </c>
      <c r="U453">
        <v>63422</v>
      </c>
      <c r="V453" t="s">
        <v>38</v>
      </c>
      <c r="W453" t="s">
        <v>50</v>
      </c>
      <c r="X453">
        <v>0</v>
      </c>
      <c r="Y453">
        <v>0</v>
      </c>
      <c r="Z453" t="s">
        <v>46</v>
      </c>
      <c r="AA453">
        <v>63423</v>
      </c>
      <c r="AB453" t="s">
        <v>99</v>
      </c>
      <c r="AC453" t="s">
        <v>68</v>
      </c>
      <c r="AD453" t="s">
        <v>38</v>
      </c>
      <c r="AE453" t="s">
        <v>49</v>
      </c>
      <c r="AF453" t="s">
        <v>50</v>
      </c>
      <c r="AG453">
        <v>0</v>
      </c>
      <c r="AH453">
        <v>0</v>
      </c>
      <c r="AI453" t="s">
        <v>51</v>
      </c>
      <c r="AJ453" t="s">
        <v>51</v>
      </c>
      <c r="AK453" t="s">
        <v>51</v>
      </c>
    </row>
    <row r="454" spans="1:37" x14ac:dyDescent="0.2">
      <c r="A454">
        <v>63414</v>
      </c>
      <c r="B454" t="s">
        <v>37</v>
      </c>
      <c r="C454" t="s">
        <v>38</v>
      </c>
      <c r="D454" t="s">
        <v>93</v>
      </c>
      <c r="E454" t="s">
        <v>100</v>
      </c>
      <c r="G454" s="4">
        <v>43948.418483796296</v>
      </c>
      <c r="H454" s="4">
        <v>43948.41849537037</v>
      </c>
      <c r="I454" t="s">
        <v>50</v>
      </c>
      <c r="J454" s="5">
        <v>.9999999999999999999999999999999999999996</v>
      </c>
      <c r="K454" t="s">
        <v>38</v>
      </c>
      <c r="M454">
        <v>63415</v>
      </c>
      <c r="N454" t="s">
        <v>100</v>
      </c>
      <c r="O454" t="s">
        <v>101</v>
      </c>
      <c r="P454" t="s">
        <v>38</v>
      </c>
      <c r="Q454" t="s">
        <v>50</v>
      </c>
      <c r="R454">
        <v>.9999999999999999999999999999999999999996</v>
      </c>
      <c r="S454" t="s">
        <v>45</v>
      </c>
      <c r="T454" t="str" s="2">
        <f>=HYPERLINK("http://demo.enginatics.com:80/ecc/user/applications/log/63414.log","http://demo.enginatics.com:80/ecc/user/applications/log/63414.log")</f>
        <v>"http://demo.enginatics.com:80/ecc/user/applications/log/63414.log")</v>
      </c>
      <c r="U454">
        <v>63416</v>
      </c>
      <c r="V454" t="s">
        <v>38</v>
      </c>
      <c r="W454" t="s">
        <v>50</v>
      </c>
      <c r="X454">
        <v>.9999999999999999999999999999999999999996</v>
      </c>
      <c r="Y454">
        <v>0</v>
      </c>
      <c r="Z454" t="s">
        <v>46</v>
      </c>
      <c r="AA454">
        <v>63419</v>
      </c>
      <c r="AB454" t="s">
        <v>102</v>
      </c>
      <c r="AC454" t="s">
        <v>103</v>
      </c>
      <c r="AD454" t="s">
        <v>38</v>
      </c>
      <c r="AE454" t="s">
        <v>49</v>
      </c>
      <c r="AF454" t="s">
        <v>50</v>
      </c>
      <c r="AG454">
        <v>0</v>
      </c>
      <c r="AH454">
        <v>0</v>
      </c>
      <c r="AI454" t="s">
        <v>51</v>
      </c>
      <c r="AJ454" t="s">
        <v>51</v>
      </c>
      <c r="AK454" t="s">
        <v>51</v>
      </c>
    </row>
    <row r="455" spans="1:37" x14ac:dyDescent="0.2">
      <c r="A455">
        <v>63414</v>
      </c>
      <c r="B455" t="s">
        <v>37</v>
      </c>
      <c r="C455" t="s">
        <v>38</v>
      </c>
      <c r="D455" t="s">
        <v>93</v>
      </c>
      <c r="E455" t="s">
        <v>100</v>
      </c>
      <c r="G455" s="4">
        <v>43948.418483796296</v>
      </c>
      <c r="H455" s="4">
        <v>43948.41849537037</v>
      </c>
      <c r="I455" t="s">
        <v>50</v>
      </c>
      <c r="J455" s="5">
        <v>.9999999999999999999999999999999999999996</v>
      </c>
      <c r="K455" t="s">
        <v>38</v>
      </c>
      <c r="M455">
        <v>63415</v>
      </c>
      <c r="N455" t="s">
        <v>100</v>
      </c>
      <c r="O455" t="s">
        <v>101</v>
      </c>
      <c r="P455" t="s">
        <v>38</v>
      </c>
      <c r="Q455" t="s">
        <v>50</v>
      </c>
      <c r="R455">
        <v>.9999999999999999999999999999999999999996</v>
      </c>
      <c r="S455" t="s">
        <v>45</v>
      </c>
      <c r="T455" t="str" s="2">
        <f>=HYPERLINK("http://demo.enginatics.com:80/ecc/user/applications/log/63414.log","http://demo.enginatics.com:80/ecc/user/applications/log/63414.log")</f>
        <v>"http://demo.enginatics.com:80/ecc/user/applications/log/63414.log")</v>
      </c>
      <c r="U455">
        <v>63416</v>
      </c>
      <c r="V455" t="s">
        <v>38</v>
      </c>
      <c r="W455" t="s">
        <v>50</v>
      </c>
      <c r="X455">
        <v>.9999999999999999999999999999999999999996</v>
      </c>
      <c r="Y455">
        <v>0</v>
      </c>
      <c r="Z455" t="s">
        <v>46</v>
      </c>
      <c r="AA455">
        <v>63418</v>
      </c>
      <c r="AB455" t="s">
        <v>104</v>
      </c>
      <c r="AC455" t="s">
        <v>56</v>
      </c>
      <c r="AD455" t="s">
        <v>38</v>
      </c>
      <c r="AE455" t="s">
        <v>49</v>
      </c>
      <c r="AF455" t="s">
        <v>50</v>
      </c>
      <c r="AG455">
        <v>0</v>
      </c>
      <c r="AH455">
        <v>0</v>
      </c>
      <c r="AI455" t="s">
        <v>51</v>
      </c>
      <c r="AJ455" t="s">
        <v>51</v>
      </c>
      <c r="AK455" t="s">
        <v>51</v>
      </c>
    </row>
    <row r="456" spans="1:37" x14ac:dyDescent="0.2">
      <c r="A456">
        <v>63414</v>
      </c>
      <c r="B456" t="s">
        <v>37</v>
      </c>
      <c r="C456" t="s">
        <v>38</v>
      </c>
      <c r="D456" t="s">
        <v>93</v>
      </c>
      <c r="E456" t="s">
        <v>100</v>
      </c>
      <c r="G456" s="4">
        <v>43948.418483796296</v>
      </c>
      <c r="H456" s="4">
        <v>43948.41849537037</v>
      </c>
      <c r="I456" t="s">
        <v>50</v>
      </c>
      <c r="J456" s="5">
        <v>.9999999999999999999999999999999999999996</v>
      </c>
      <c r="K456" t="s">
        <v>38</v>
      </c>
      <c r="M456">
        <v>63415</v>
      </c>
      <c r="N456" t="s">
        <v>100</v>
      </c>
      <c r="O456" t="s">
        <v>101</v>
      </c>
      <c r="P456" t="s">
        <v>38</v>
      </c>
      <c r="Q456" t="s">
        <v>50</v>
      </c>
      <c r="R456">
        <v>.9999999999999999999999999999999999999996</v>
      </c>
      <c r="S456" t="s">
        <v>45</v>
      </c>
      <c r="T456" t="str" s="2">
        <f>=HYPERLINK("http://demo.enginatics.com:80/ecc/user/applications/log/63414.log","http://demo.enginatics.com:80/ecc/user/applications/log/63414.log")</f>
        <v>"http://demo.enginatics.com:80/ecc/user/applications/log/63414.log")</v>
      </c>
      <c r="U456">
        <v>63416</v>
      </c>
      <c r="V456" t="s">
        <v>38</v>
      </c>
      <c r="W456" t="s">
        <v>50</v>
      </c>
      <c r="X456">
        <v>.9999999999999999999999999999999999999996</v>
      </c>
      <c r="Y456">
        <v>0</v>
      </c>
      <c r="Z456" t="s">
        <v>46</v>
      </c>
      <c r="AA456">
        <v>63417</v>
      </c>
      <c r="AB456" t="s">
        <v>105</v>
      </c>
      <c r="AC456" t="s">
        <v>68</v>
      </c>
      <c r="AD456" t="s">
        <v>38</v>
      </c>
      <c r="AE456" t="s">
        <v>49</v>
      </c>
      <c r="AF456" t="s">
        <v>50</v>
      </c>
      <c r="AG456">
        <v>0</v>
      </c>
      <c r="AH456">
        <v>0</v>
      </c>
      <c r="AI456" t="s">
        <v>51</v>
      </c>
      <c r="AJ456" t="s">
        <v>51</v>
      </c>
      <c r="AK456" t="s">
        <v>51</v>
      </c>
    </row>
    <row r="457" spans="1:37" x14ac:dyDescent="0.2">
      <c r="A457">
        <v>63406</v>
      </c>
      <c r="B457" t="s">
        <v>37</v>
      </c>
      <c r="C457" t="s">
        <v>38</v>
      </c>
      <c r="D457" t="s">
        <v>106</v>
      </c>
      <c r="E457" t="s">
        <v>40</v>
      </c>
      <c r="G457" s="4">
        <v>43948.332638888889</v>
      </c>
      <c r="H457" s="4">
        <v>43948.332638888889</v>
      </c>
      <c r="I457" t="s">
        <v>50</v>
      </c>
      <c r="J457" s="5">
        <v>0</v>
      </c>
      <c r="K457" t="s">
        <v>38</v>
      </c>
      <c r="M457">
        <v>63413</v>
      </c>
      <c r="N457" t="s">
        <v>107</v>
      </c>
      <c r="O457" t="s">
        <v>108</v>
      </c>
      <c r="P457" t="s">
        <v>38</v>
      </c>
      <c r="Q457" t="s">
        <v>50</v>
      </c>
      <c r="R457">
        <v>0</v>
      </c>
      <c r="S457" t="s">
        <v>109</v>
      </c>
      <c r="T457" t="str" s="2">
        <f>=HYPERLINK("http://demo.enginatics.com:80/ecc/user/applications/log/63406.log","http://demo.enginatics.com:80/ecc/user/applications/log/63406.log")</f>
        <v>"http://demo.enginatics.com:80/ecc/user/applications/log/63406.log")</v>
      </c>
    </row>
    <row r="458" spans="1:37" x14ac:dyDescent="0.2">
      <c r="A458">
        <v>63406</v>
      </c>
      <c r="B458" t="s">
        <v>37</v>
      </c>
      <c r="C458" t="s">
        <v>38</v>
      </c>
      <c r="D458" t="s">
        <v>106</v>
      </c>
      <c r="E458" t="s">
        <v>40</v>
      </c>
      <c r="G458" s="4">
        <v>43948.332638888889</v>
      </c>
      <c r="H458" s="4">
        <v>43948.332638888889</v>
      </c>
      <c r="I458" t="s">
        <v>50</v>
      </c>
      <c r="J458" s="5">
        <v>0</v>
      </c>
      <c r="K458" t="s">
        <v>38</v>
      </c>
      <c r="M458">
        <v>63412</v>
      </c>
      <c r="N458" t="s">
        <v>110</v>
      </c>
      <c r="O458" t="s">
        <v>111</v>
      </c>
      <c r="P458" t="s">
        <v>38</v>
      </c>
      <c r="Q458" t="s">
        <v>50</v>
      </c>
      <c r="R458">
        <v>0</v>
      </c>
      <c r="S458" t="s">
        <v>112</v>
      </c>
      <c r="T458" t="str" s="2">
        <f>=HYPERLINK("http://demo.enginatics.com:80/ecc/user/applications/log/63406.log","http://demo.enginatics.com:80/ecc/user/applications/log/63406.log")</f>
        <v>"http://demo.enginatics.com:80/ecc/user/applications/log/63406.log")</v>
      </c>
    </row>
    <row r="459" spans="1:37" x14ac:dyDescent="0.2">
      <c r="A459">
        <v>63406</v>
      </c>
      <c r="B459" t="s">
        <v>37</v>
      </c>
      <c r="C459" t="s">
        <v>38</v>
      </c>
      <c r="D459" t="s">
        <v>106</v>
      </c>
      <c r="E459" t="s">
        <v>40</v>
      </c>
      <c r="G459" s="4">
        <v>43948.332638888889</v>
      </c>
      <c r="H459" s="4">
        <v>43948.332638888889</v>
      </c>
      <c r="I459" t="s">
        <v>50</v>
      </c>
      <c r="J459" s="5">
        <v>0</v>
      </c>
      <c r="K459" t="s">
        <v>38</v>
      </c>
      <c r="M459">
        <v>63411</v>
      </c>
      <c r="N459" t="s">
        <v>113</v>
      </c>
      <c r="O459" t="s">
        <v>106</v>
      </c>
      <c r="P459" t="s">
        <v>38</v>
      </c>
      <c r="Q459" t="s">
        <v>50</v>
      </c>
      <c r="R459">
        <v>0</v>
      </c>
      <c r="S459" t="s">
        <v>114</v>
      </c>
      <c r="T459" t="str" s="2">
        <f>=HYPERLINK("http://demo.enginatics.com:80/ecc/user/applications/log/63406.log","http://demo.enginatics.com:80/ecc/user/applications/log/63406.log")</f>
        <v>"http://demo.enginatics.com:80/ecc/user/applications/log/63406.log")</v>
      </c>
    </row>
    <row r="460" spans="1:37" x14ac:dyDescent="0.2">
      <c r="A460">
        <v>63406</v>
      </c>
      <c r="B460" t="s">
        <v>37</v>
      </c>
      <c r="C460" t="s">
        <v>38</v>
      </c>
      <c r="D460" t="s">
        <v>106</v>
      </c>
      <c r="E460" t="s">
        <v>40</v>
      </c>
      <c r="G460" s="4">
        <v>43948.332638888889</v>
      </c>
      <c r="H460" s="4">
        <v>43948.332638888889</v>
      </c>
      <c r="I460" t="s">
        <v>50</v>
      </c>
      <c r="J460" s="5">
        <v>0</v>
      </c>
      <c r="K460" t="s">
        <v>38</v>
      </c>
      <c r="M460">
        <v>63407</v>
      </c>
      <c r="N460" t="s">
        <v>115</v>
      </c>
      <c r="O460" t="s">
        <v>116</v>
      </c>
      <c r="P460" t="s">
        <v>38</v>
      </c>
      <c r="Q460" t="s">
        <v>50</v>
      </c>
      <c r="R460">
        <v>0</v>
      </c>
      <c r="S460" t="s">
        <v>45</v>
      </c>
      <c r="T460" t="str" s="2">
        <f>=HYPERLINK("http://demo.enginatics.com:80/ecc/user/applications/log/63406.log","http://demo.enginatics.com:80/ecc/user/applications/log/63406.log")</f>
        <v>"http://demo.enginatics.com:80/ecc/user/applications/log/63406.log")</v>
      </c>
      <c r="U460">
        <v>63408</v>
      </c>
      <c r="V460" t="s">
        <v>38</v>
      </c>
      <c r="W460" t="s">
        <v>50</v>
      </c>
      <c r="X460">
        <v>0</v>
      </c>
      <c r="Y460">
        <v>0</v>
      </c>
      <c r="Z460" t="s">
        <v>46</v>
      </c>
      <c r="AA460">
        <v>63410</v>
      </c>
      <c r="AB460" t="s">
        <v>881</v>
      </c>
      <c r="AC460" t="s">
        <v>68</v>
      </c>
      <c r="AD460" t="s">
        <v>38</v>
      </c>
      <c r="AE460" t="s">
        <v>49</v>
      </c>
      <c r="AF460" t="s">
        <v>50</v>
      </c>
      <c r="AG460">
        <v>0</v>
      </c>
      <c r="AH460">
        <v>0</v>
      </c>
      <c r="AI460" t="s">
        <v>51</v>
      </c>
      <c r="AJ460" t="s">
        <v>51</v>
      </c>
      <c r="AK460" t="s">
        <v>51</v>
      </c>
    </row>
    <row r="461" spans="1:37" x14ac:dyDescent="0.2">
      <c r="A461">
        <v>63406</v>
      </c>
      <c r="B461" t="s">
        <v>37</v>
      </c>
      <c r="C461" t="s">
        <v>38</v>
      </c>
      <c r="D461" t="s">
        <v>106</v>
      </c>
      <c r="E461" t="s">
        <v>40</v>
      </c>
      <c r="G461" s="4">
        <v>43948.332638888889</v>
      </c>
      <c r="H461" s="4">
        <v>43948.332638888889</v>
      </c>
      <c r="I461" t="s">
        <v>50</v>
      </c>
      <c r="J461" s="5">
        <v>0</v>
      </c>
      <c r="K461" t="s">
        <v>38</v>
      </c>
      <c r="M461">
        <v>63407</v>
      </c>
      <c r="N461" t="s">
        <v>115</v>
      </c>
      <c r="O461" t="s">
        <v>116</v>
      </c>
      <c r="P461" t="s">
        <v>38</v>
      </c>
      <c r="Q461" t="s">
        <v>50</v>
      </c>
      <c r="R461">
        <v>0</v>
      </c>
      <c r="S461" t="s">
        <v>45</v>
      </c>
      <c r="T461" t="str" s="2">
        <f>=HYPERLINK("http://demo.enginatics.com:80/ecc/user/applications/log/63406.log","http://demo.enginatics.com:80/ecc/user/applications/log/63406.log")</f>
        <v>"http://demo.enginatics.com:80/ecc/user/applications/log/63406.log")</v>
      </c>
      <c r="U461">
        <v>63408</v>
      </c>
      <c r="V461" t="s">
        <v>38</v>
      </c>
      <c r="W461" t="s">
        <v>50</v>
      </c>
      <c r="X461">
        <v>0</v>
      </c>
      <c r="Y461">
        <v>0</v>
      </c>
      <c r="Z461" t="s">
        <v>46</v>
      </c>
      <c r="AA461">
        <v>63409</v>
      </c>
      <c r="AB461" t="s">
        <v>882</v>
      </c>
      <c r="AC461" t="s">
        <v>56</v>
      </c>
      <c r="AD461" t="s">
        <v>38</v>
      </c>
      <c r="AE461" t="s">
        <v>49</v>
      </c>
      <c r="AF461" t="s">
        <v>50</v>
      </c>
      <c r="AG461">
        <v>0</v>
      </c>
      <c r="AH461">
        <v>0</v>
      </c>
      <c r="AI461" t="s">
        <v>51</v>
      </c>
      <c r="AJ461" t="s">
        <v>51</v>
      </c>
      <c r="AK461" t="s">
        <v>51</v>
      </c>
    </row>
    <row r="462" spans="1:37" x14ac:dyDescent="0.2">
      <c r="A462">
        <v>63402</v>
      </c>
      <c r="B462" t="s">
        <v>37</v>
      </c>
      <c r="C462" t="s">
        <v>38</v>
      </c>
      <c r="D462" t="s">
        <v>119</v>
      </c>
      <c r="E462" t="s">
        <v>40</v>
      </c>
      <c r="G462" s="4">
        <v>43948.287048611111</v>
      </c>
      <c r="H462" s="4">
        <v>43948.287048611111</v>
      </c>
      <c r="I462" t="s">
        <v>50</v>
      </c>
      <c r="J462" s="5">
        <v>0</v>
      </c>
      <c r="K462" t="s">
        <v>38</v>
      </c>
      <c r="M462">
        <v>63403</v>
      </c>
      <c r="N462" t="s">
        <v>120</v>
      </c>
      <c r="O462" t="s">
        <v>121</v>
      </c>
      <c r="P462" t="s">
        <v>38</v>
      </c>
      <c r="Q462" t="s">
        <v>50</v>
      </c>
      <c r="R462">
        <v>0</v>
      </c>
      <c r="S462" t="s">
        <v>45</v>
      </c>
      <c r="T462" t="str" s="2">
        <f>=HYPERLINK("http://demo.enginatics.com:80/ecc/user/applications/log/63402.log","http://demo.enginatics.com:80/ecc/user/applications/log/63402.log")</f>
        <v>"http://demo.enginatics.com:80/ecc/user/applications/log/63402.log")</v>
      </c>
      <c r="U462">
        <v>63404</v>
      </c>
      <c r="V462" t="s">
        <v>38</v>
      </c>
      <c r="W462" t="s">
        <v>50</v>
      </c>
      <c r="X462">
        <v>0</v>
      </c>
      <c r="Y462">
        <v>0</v>
      </c>
      <c r="Z462" t="s">
        <v>46</v>
      </c>
      <c r="AA462">
        <v>63405</v>
      </c>
      <c r="AB462" t="s">
        <v>122</v>
      </c>
      <c r="AC462" t="s">
        <v>68</v>
      </c>
      <c r="AD462" t="s">
        <v>38</v>
      </c>
      <c r="AE462" t="s">
        <v>49</v>
      </c>
      <c r="AF462" t="s">
        <v>50</v>
      </c>
      <c r="AG462">
        <v>0</v>
      </c>
      <c r="AH462">
        <v>0</v>
      </c>
      <c r="AI462" t="s">
        <v>51</v>
      </c>
      <c r="AJ462" t="s">
        <v>51</v>
      </c>
      <c r="AK462" t="s">
        <v>51</v>
      </c>
    </row>
    <row r="463" spans="1:37" x14ac:dyDescent="0.2">
      <c r="A463">
        <v>63395</v>
      </c>
      <c r="B463" t="s">
        <v>37</v>
      </c>
      <c r="C463" t="s">
        <v>38</v>
      </c>
      <c r="D463" t="s">
        <v>123</v>
      </c>
      <c r="E463" t="s">
        <v>40</v>
      </c>
      <c r="G463" s="4">
        <v>43948.283472222222</v>
      </c>
      <c r="H463" s="4">
        <v>43948.283483796296</v>
      </c>
      <c r="I463" t="s">
        <v>50</v>
      </c>
      <c r="J463" s="5">
        <v>.9999999999999999999999999999999999999996</v>
      </c>
      <c r="K463" t="s">
        <v>38</v>
      </c>
      <c r="M463">
        <v>63399</v>
      </c>
      <c r="N463" t="s">
        <v>124</v>
      </c>
      <c r="O463" t="s">
        <v>125</v>
      </c>
      <c r="P463" t="s">
        <v>38</v>
      </c>
      <c r="Q463" t="s">
        <v>50</v>
      </c>
      <c r="R463">
        <v>.9999999999999999999999999999999999999996</v>
      </c>
      <c r="S463" t="s">
        <v>45</v>
      </c>
      <c r="T463" t="str" s="2">
        <f>=HYPERLINK("http://demo.enginatics.com:80/ecc/user/applications/log/63395.log","http://demo.enginatics.com:80/ecc/user/applications/log/63395.log")</f>
        <v>"http://demo.enginatics.com:80/ecc/user/applications/log/63395.log")</v>
      </c>
      <c r="U463">
        <v>63400</v>
      </c>
      <c r="V463" t="s">
        <v>38</v>
      </c>
      <c r="W463" t="s">
        <v>50</v>
      </c>
      <c r="X463">
        <v>.9999999999999999999999999999999999999996</v>
      </c>
      <c r="Y463">
        <v>0</v>
      </c>
      <c r="Z463" t="s">
        <v>46</v>
      </c>
      <c r="AA463">
        <v>63401</v>
      </c>
      <c r="AB463" t="s">
        <v>883</v>
      </c>
      <c r="AC463" t="s">
        <v>68</v>
      </c>
      <c r="AD463" t="s">
        <v>38</v>
      </c>
      <c r="AE463" t="s">
        <v>49</v>
      </c>
      <c r="AF463" t="s">
        <v>50</v>
      </c>
      <c r="AG463">
        <v>.9999999999999999999999999999999999999996</v>
      </c>
      <c r="AH463">
        <v>0</v>
      </c>
      <c r="AI463" t="s">
        <v>51</v>
      </c>
      <c r="AJ463" t="s">
        <v>51</v>
      </c>
      <c r="AK463" t="s">
        <v>51</v>
      </c>
    </row>
    <row r="464" spans="1:37" x14ac:dyDescent="0.2">
      <c r="A464">
        <v>63395</v>
      </c>
      <c r="B464" t="s">
        <v>37</v>
      </c>
      <c r="C464" t="s">
        <v>38</v>
      </c>
      <c r="D464" t="s">
        <v>123</v>
      </c>
      <c r="E464" t="s">
        <v>40</v>
      </c>
      <c r="G464" s="4">
        <v>43948.283472222222</v>
      </c>
      <c r="H464" s="4">
        <v>43948.283483796296</v>
      </c>
      <c r="I464" t="s">
        <v>50</v>
      </c>
      <c r="J464" s="5">
        <v>.9999999999999999999999999999999999999996</v>
      </c>
      <c r="K464" t="s">
        <v>38</v>
      </c>
      <c r="M464">
        <v>63396</v>
      </c>
      <c r="N464" t="s">
        <v>127</v>
      </c>
      <c r="O464" t="s">
        <v>128</v>
      </c>
      <c r="P464" t="s">
        <v>38</v>
      </c>
      <c r="Q464" t="s">
        <v>50</v>
      </c>
      <c r="R464">
        <v>0</v>
      </c>
      <c r="S464" t="s">
        <v>45</v>
      </c>
      <c r="T464" t="str" s="2">
        <f>=HYPERLINK("http://demo.enginatics.com:80/ecc/user/applications/log/63395.log","http://demo.enginatics.com:80/ecc/user/applications/log/63395.log")</f>
        <v>"http://demo.enginatics.com:80/ecc/user/applications/log/63395.log")</v>
      </c>
      <c r="U464">
        <v>63397</v>
      </c>
      <c r="V464" t="s">
        <v>38</v>
      </c>
      <c r="W464" t="s">
        <v>50</v>
      </c>
      <c r="X464">
        <v>0</v>
      </c>
      <c r="Y464">
        <v>0</v>
      </c>
      <c r="Z464" t="s">
        <v>46</v>
      </c>
      <c r="AA464">
        <v>63398</v>
      </c>
      <c r="AB464" t="s">
        <v>884</v>
      </c>
      <c r="AC464" t="s">
        <v>68</v>
      </c>
      <c r="AD464" t="s">
        <v>38</v>
      </c>
      <c r="AE464" t="s">
        <v>49</v>
      </c>
      <c r="AF464" t="s">
        <v>50</v>
      </c>
      <c r="AG464">
        <v>0</v>
      </c>
      <c r="AH464">
        <v>0</v>
      </c>
      <c r="AI464" t="s">
        <v>51</v>
      </c>
      <c r="AJ464" t="s">
        <v>51</v>
      </c>
      <c r="AK464" t="s">
        <v>51</v>
      </c>
    </row>
    <row r="465" spans="1:37" x14ac:dyDescent="0.2">
      <c r="A465">
        <v>63356</v>
      </c>
      <c r="B465" t="s">
        <v>37</v>
      </c>
      <c r="C465" t="s">
        <v>38</v>
      </c>
      <c r="D465" t="s">
        <v>130</v>
      </c>
      <c r="E465" t="s">
        <v>40</v>
      </c>
      <c r="G465" s="4">
        <v>43948.199363425926</v>
      </c>
      <c r="H465" s="4">
        <v>43948.199444444444</v>
      </c>
      <c r="I465" t="s">
        <v>247</v>
      </c>
      <c r="J465" s="5">
        <v>7</v>
      </c>
      <c r="K465" t="s">
        <v>38</v>
      </c>
      <c r="M465">
        <v>63383</v>
      </c>
      <c r="N465" t="s">
        <v>131</v>
      </c>
      <c r="O465" t="s">
        <v>132</v>
      </c>
      <c r="P465" t="s">
        <v>38</v>
      </c>
      <c r="Q465" t="s">
        <v>75</v>
      </c>
      <c r="R465">
        <v>6</v>
      </c>
      <c r="S465" t="s">
        <v>45</v>
      </c>
      <c r="T465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65">
        <v>63384</v>
      </c>
      <c r="V465" t="s">
        <v>38</v>
      </c>
      <c r="W465" t="s">
        <v>78</v>
      </c>
      <c r="X465">
        <v>5</v>
      </c>
      <c r="Y465">
        <v>0</v>
      </c>
      <c r="Z465" t="s">
        <v>46</v>
      </c>
      <c r="AA465">
        <v>63394</v>
      </c>
      <c r="AB465" t="s">
        <v>885</v>
      </c>
      <c r="AC465" t="s">
        <v>48</v>
      </c>
      <c r="AD465" t="s">
        <v>38</v>
      </c>
      <c r="AE465" t="s">
        <v>49</v>
      </c>
      <c r="AF465" t="s">
        <v>50</v>
      </c>
      <c r="AG465">
        <v>.9999999999999999999999999999999999999996</v>
      </c>
      <c r="AH465">
        <v>0</v>
      </c>
      <c r="AI465" t="s">
        <v>51</v>
      </c>
      <c r="AJ465" t="s">
        <v>51</v>
      </c>
      <c r="AK465" t="s">
        <v>51</v>
      </c>
    </row>
    <row r="466" spans="1:37" x14ac:dyDescent="0.2">
      <c r="A466">
        <v>63356</v>
      </c>
      <c r="B466" t="s">
        <v>37</v>
      </c>
      <c r="C466" t="s">
        <v>38</v>
      </c>
      <c r="D466" t="s">
        <v>130</v>
      </c>
      <c r="E466" t="s">
        <v>40</v>
      </c>
      <c r="G466" s="4">
        <v>43948.199363425926</v>
      </c>
      <c r="H466" s="4">
        <v>43948.199444444444</v>
      </c>
      <c r="I466" t="s">
        <v>247</v>
      </c>
      <c r="J466" s="5">
        <v>7</v>
      </c>
      <c r="K466" t="s">
        <v>38</v>
      </c>
      <c r="M466">
        <v>63383</v>
      </c>
      <c r="N466" t="s">
        <v>131</v>
      </c>
      <c r="O466" t="s">
        <v>132</v>
      </c>
      <c r="P466" t="s">
        <v>38</v>
      </c>
      <c r="Q466" t="s">
        <v>75</v>
      </c>
      <c r="R466">
        <v>6</v>
      </c>
      <c r="S466" t="s">
        <v>45</v>
      </c>
      <c r="T466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66">
        <v>63384</v>
      </c>
      <c r="V466" t="s">
        <v>38</v>
      </c>
      <c r="W466" t="s">
        <v>78</v>
      </c>
      <c r="X466">
        <v>5</v>
      </c>
      <c r="Y466">
        <v>0</v>
      </c>
      <c r="Z466" t="s">
        <v>46</v>
      </c>
      <c r="AA466">
        <v>63393</v>
      </c>
      <c r="AB466" t="s">
        <v>886</v>
      </c>
      <c r="AC466" t="s">
        <v>48</v>
      </c>
      <c r="AD466" t="s">
        <v>38</v>
      </c>
      <c r="AE466" t="s">
        <v>49</v>
      </c>
      <c r="AF466" t="s">
        <v>50</v>
      </c>
      <c r="AG466">
        <v>0</v>
      </c>
      <c r="AH466">
        <v>0</v>
      </c>
      <c r="AI466" t="s">
        <v>51</v>
      </c>
      <c r="AJ466" t="s">
        <v>51</v>
      </c>
      <c r="AK466" t="s">
        <v>51</v>
      </c>
    </row>
    <row r="467" spans="1:37" x14ac:dyDescent="0.2">
      <c r="A467">
        <v>63356</v>
      </c>
      <c r="B467" t="s">
        <v>37</v>
      </c>
      <c r="C467" t="s">
        <v>38</v>
      </c>
      <c r="D467" t="s">
        <v>130</v>
      </c>
      <c r="E467" t="s">
        <v>40</v>
      </c>
      <c r="G467" s="4">
        <v>43948.199363425926</v>
      </c>
      <c r="H467" s="4">
        <v>43948.199444444444</v>
      </c>
      <c r="I467" t="s">
        <v>247</v>
      </c>
      <c r="J467" s="5">
        <v>7</v>
      </c>
      <c r="K467" t="s">
        <v>38</v>
      </c>
      <c r="M467">
        <v>63383</v>
      </c>
      <c r="N467" t="s">
        <v>131</v>
      </c>
      <c r="O467" t="s">
        <v>132</v>
      </c>
      <c r="P467" t="s">
        <v>38</v>
      </c>
      <c r="Q467" t="s">
        <v>75</v>
      </c>
      <c r="R467">
        <v>6</v>
      </c>
      <c r="S467" t="s">
        <v>45</v>
      </c>
      <c r="T467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67">
        <v>63384</v>
      </c>
      <c r="V467" t="s">
        <v>38</v>
      </c>
      <c r="W467" t="s">
        <v>78</v>
      </c>
      <c r="X467">
        <v>5</v>
      </c>
      <c r="Y467">
        <v>0</v>
      </c>
      <c r="Z467" t="s">
        <v>46</v>
      </c>
      <c r="AA467">
        <v>63392</v>
      </c>
      <c r="AB467" t="s">
        <v>887</v>
      </c>
      <c r="AC467" t="s">
        <v>48</v>
      </c>
      <c r="AD467" t="s">
        <v>38</v>
      </c>
      <c r="AE467" t="s">
        <v>49</v>
      </c>
      <c r="AF467" t="s">
        <v>50</v>
      </c>
      <c r="AG467">
        <v>0</v>
      </c>
      <c r="AH467">
        <v>0</v>
      </c>
      <c r="AI467" t="s">
        <v>51</v>
      </c>
      <c r="AJ467" t="s">
        <v>51</v>
      </c>
      <c r="AK467" t="s">
        <v>51</v>
      </c>
    </row>
    <row r="468" spans="1:37" x14ac:dyDescent="0.2">
      <c r="A468">
        <v>63356</v>
      </c>
      <c r="B468" t="s">
        <v>37</v>
      </c>
      <c r="C468" t="s">
        <v>38</v>
      </c>
      <c r="D468" t="s">
        <v>130</v>
      </c>
      <c r="E468" t="s">
        <v>40</v>
      </c>
      <c r="G468" s="4">
        <v>43948.199363425926</v>
      </c>
      <c r="H468" s="4">
        <v>43948.199444444444</v>
      </c>
      <c r="I468" t="s">
        <v>247</v>
      </c>
      <c r="J468" s="5">
        <v>7</v>
      </c>
      <c r="K468" t="s">
        <v>38</v>
      </c>
      <c r="M468">
        <v>63383</v>
      </c>
      <c r="N468" t="s">
        <v>131</v>
      </c>
      <c r="O468" t="s">
        <v>132</v>
      </c>
      <c r="P468" t="s">
        <v>38</v>
      </c>
      <c r="Q468" t="s">
        <v>75</v>
      </c>
      <c r="R468">
        <v>6</v>
      </c>
      <c r="S468" t="s">
        <v>45</v>
      </c>
      <c r="T468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68">
        <v>63384</v>
      </c>
      <c r="V468" t="s">
        <v>38</v>
      </c>
      <c r="W468" t="s">
        <v>78</v>
      </c>
      <c r="X468">
        <v>5</v>
      </c>
      <c r="Y468">
        <v>0</v>
      </c>
      <c r="Z468" t="s">
        <v>46</v>
      </c>
      <c r="AA468">
        <v>63391</v>
      </c>
      <c r="AB468" t="s">
        <v>888</v>
      </c>
      <c r="AC468" t="s">
        <v>48</v>
      </c>
      <c r="AD468" t="s">
        <v>38</v>
      </c>
      <c r="AE468" t="s">
        <v>49</v>
      </c>
      <c r="AF468" t="s">
        <v>50</v>
      </c>
      <c r="AG468">
        <v>.9999999999999999999999999999999999999996</v>
      </c>
      <c r="AH468">
        <v>0</v>
      </c>
      <c r="AI468" t="s">
        <v>51</v>
      </c>
      <c r="AJ468" t="s">
        <v>51</v>
      </c>
      <c r="AK468" t="s">
        <v>51</v>
      </c>
    </row>
    <row r="469" spans="1:37" x14ac:dyDescent="0.2">
      <c r="A469">
        <v>63356</v>
      </c>
      <c r="B469" t="s">
        <v>37</v>
      </c>
      <c r="C469" t="s">
        <v>38</v>
      </c>
      <c r="D469" t="s">
        <v>130</v>
      </c>
      <c r="E469" t="s">
        <v>40</v>
      </c>
      <c r="G469" s="4">
        <v>43948.199363425926</v>
      </c>
      <c r="H469" s="4">
        <v>43948.199444444444</v>
      </c>
      <c r="I469" t="s">
        <v>247</v>
      </c>
      <c r="J469" s="5">
        <v>7</v>
      </c>
      <c r="K469" t="s">
        <v>38</v>
      </c>
      <c r="M469">
        <v>63383</v>
      </c>
      <c r="N469" t="s">
        <v>131</v>
      </c>
      <c r="O469" t="s">
        <v>132</v>
      </c>
      <c r="P469" t="s">
        <v>38</v>
      </c>
      <c r="Q469" t="s">
        <v>75</v>
      </c>
      <c r="R469">
        <v>6</v>
      </c>
      <c r="S469" t="s">
        <v>45</v>
      </c>
      <c r="T469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69">
        <v>63384</v>
      </c>
      <c r="V469" t="s">
        <v>38</v>
      </c>
      <c r="W469" t="s">
        <v>78</v>
      </c>
      <c r="X469">
        <v>5</v>
      </c>
      <c r="Y469">
        <v>0</v>
      </c>
      <c r="Z469" t="s">
        <v>46</v>
      </c>
      <c r="AA469">
        <v>63390</v>
      </c>
      <c r="AB469" t="s">
        <v>889</v>
      </c>
      <c r="AC469" t="s">
        <v>48</v>
      </c>
      <c r="AD469" t="s">
        <v>38</v>
      </c>
      <c r="AE469" t="s">
        <v>49</v>
      </c>
      <c r="AF469" t="s">
        <v>50</v>
      </c>
      <c r="AG469">
        <v>0</v>
      </c>
      <c r="AH469">
        <v>0</v>
      </c>
      <c r="AI469" t="s">
        <v>51</v>
      </c>
      <c r="AJ469" t="s">
        <v>51</v>
      </c>
      <c r="AK469" t="s">
        <v>51</v>
      </c>
    </row>
    <row r="470" spans="1:37" x14ac:dyDescent="0.2">
      <c r="A470">
        <v>63356</v>
      </c>
      <c r="B470" t="s">
        <v>37</v>
      </c>
      <c r="C470" t="s">
        <v>38</v>
      </c>
      <c r="D470" t="s">
        <v>130</v>
      </c>
      <c r="E470" t="s">
        <v>40</v>
      </c>
      <c r="G470" s="4">
        <v>43948.199363425926</v>
      </c>
      <c r="H470" s="4">
        <v>43948.199444444444</v>
      </c>
      <c r="I470" t="s">
        <v>247</v>
      </c>
      <c r="J470" s="5">
        <v>7</v>
      </c>
      <c r="K470" t="s">
        <v>38</v>
      </c>
      <c r="M470">
        <v>63383</v>
      </c>
      <c r="N470" t="s">
        <v>131</v>
      </c>
      <c r="O470" t="s">
        <v>132</v>
      </c>
      <c r="P470" t="s">
        <v>38</v>
      </c>
      <c r="Q470" t="s">
        <v>75</v>
      </c>
      <c r="R470">
        <v>6</v>
      </c>
      <c r="S470" t="s">
        <v>45</v>
      </c>
      <c r="T470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0">
        <v>63384</v>
      </c>
      <c r="V470" t="s">
        <v>38</v>
      </c>
      <c r="W470" t="s">
        <v>78</v>
      </c>
      <c r="X470">
        <v>5</v>
      </c>
      <c r="Y470">
        <v>0</v>
      </c>
      <c r="Z470" t="s">
        <v>46</v>
      </c>
      <c r="AA470">
        <v>63389</v>
      </c>
      <c r="AB470" t="s">
        <v>890</v>
      </c>
      <c r="AC470" t="s">
        <v>60</v>
      </c>
      <c r="AD470" t="s">
        <v>38</v>
      </c>
      <c r="AE470" t="s">
        <v>49</v>
      </c>
      <c r="AF470" t="s">
        <v>50</v>
      </c>
      <c r="AG470">
        <v>0</v>
      </c>
      <c r="AH470">
        <v>0</v>
      </c>
      <c r="AI470" t="s">
        <v>51</v>
      </c>
      <c r="AJ470" t="s">
        <v>51</v>
      </c>
      <c r="AK470" t="s">
        <v>51</v>
      </c>
    </row>
    <row r="471" spans="1:37" x14ac:dyDescent="0.2">
      <c r="A471">
        <v>63356</v>
      </c>
      <c r="B471" t="s">
        <v>37</v>
      </c>
      <c r="C471" t="s">
        <v>38</v>
      </c>
      <c r="D471" t="s">
        <v>130</v>
      </c>
      <c r="E471" t="s">
        <v>40</v>
      </c>
      <c r="G471" s="4">
        <v>43948.199363425926</v>
      </c>
      <c r="H471" s="4">
        <v>43948.199444444444</v>
      </c>
      <c r="I471" t="s">
        <v>247</v>
      </c>
      <c r="J471" s="5">
        <v>7</v>
      </c>
      <c r="K471" t="s">
        <v>38</v>
      </c>
      <c r="M471">
        <v>63383</v>
      </c>
      <c r="N471" t="s">
        <v>131</v>
      </c>
      <c r="O471" t="s">
        <v>132</v>
      </c>
      <c r="P471" t="s">
        <v>38</v>
      </c>
      <c r="Q471" t="s">
        <v>75</v>
      </c>
      <c r="R471">
        <v>6</v>
      </c>
      <c r="S471" t="s">
        <v>45</v>
      </c>
      <c r="T471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1">
        <v>63384</v>
      </c>
      <c r="V471" t="s">
        <v>38</v>
      </c>
      <c r="W471" t="s">
        <v>78</v>
      </c>
      <c r="X471">
        <v>5</v>
      </c>
      <c r="Y471">
        <v>0</v>
      </c>
      <c r="Z471" t="s">
        <v>46</v>
      </c>
      <c r="AA471">
        <v>63388</v>
      </c>
      <c r="AB471" t="s">
        <v>891</v>
      </c>
      <c r="AC471" t="s">
        <v>60</v>
      </c>
      <c r="AD471" t="s">
        <v>38</v>
      </c>
      <c r="AE471" t="s">
        <v>49</v>
      </c>
      <c r="AF471" t="s">
        <v>50</v>
      </c>
      <c r="AG471">
        <v>0</v>
      </c>
      <c r="AH471">
        <v>0</v>
      </c>
      <c r="AI471" t="s">
        <v>51</v>
      </c>
      <c r="AJ471" t="s">
        <v>51</v>
      </c>
      <c r="AK471" t="s">
        <v>51</v>
      </c>
    </row>
    <row r="472" spans="1:37" x14ac:dyDescent="0.2">
      <c r="A472">
        <v>63356</v>
      </c>
      <c r="B472" t="s">
        <v>37</v>
      </c>
      <c r="C472" t="s">
        <v>38</v>
      </c>
      <c r="D472" t="s">
        <v>130</v>
      </c>
      <c r="E472" t="s">
        <v>40</v>
      </c>
      <c r="G472" s="4">
        <v>43948.199363425926</v>
      </c>
      <c r="H472" s="4">
        <v>43948.199444444444</v>
      </c>
      <c r="I472" t="s">
        <v>247</v>
      </c>
      <c r="J472" s="5">
        <v>7</v>
      </c>
      <c r="K472" t="s">
        <v>38</v>
      </c>
      <c r="M472">
        <v>63383</v>
      </c>
      <c r="N472" t="s">
        <v>131</v>
      </c>
      <c r="O472" t="s">
        <v>132</v>
      </c>
      <c r="P472" t="s">
        <v>38</v>
      </c>
      <c r="Q472" t="s">
        <v>75</v>
      </c>
      <c r="R472">
        <v>6</v>
      </c>
      <c r="S472" t="s">
        <v>45</v>
      </c>
      <c r="T472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2">
        <v>63384</v>
      </c>
      <c r="V472" t="s">
        <v>38</v>
      </c>
      <c r="W472" t="s">
        <v>78</v>
      </c>
      <c r="X472">
        <v>5</v>
      </c>
      <c r="Y472">
        <v>0</v>
      </c>
      <c r="Z472" t="s">
        <v>46</v>
      </c>
      <c r="AA472">
        <v>63387</v>
      </c>
      <c r="AB472" t="s">
        <v>892</v>
      </c>
      <c r="AC472" t="s">
        <v>56</v>
      </c>
      <c r="AD472" t="s">
        <v>38</v>
      </c>
      <c r="AE472" t="s">
        <v>49</v>
      </c>
      <c r="AF472" t="s">
        <v>50</v>
      </c>
      <c r="AG472">
        <v>0</v>
      </c>
      <c r="AH472">
        <v>0</v>
      </c>
      <c r="AI472" t="s">
        <v>51</v>
      </c>
      <c r="AJ472" t="s">
        <v>51</v>
      </c>
      <c r="AK472" t="s">
        <v>51</v>
      </c>
    </row>
    <row r="473" spans="1:37" x14ac:dyDescent="0.2">
      <c r="A473">
        <v>63356</v>
      </c>
      <c r="B473" t="s">
        <v>37</v>
      </c>
      <c r="C473" t="s">
        <v>38</v>
      </c>
      <c r="D473" t="s">
        <v>130</v>
      </c>
      <c r="E473" t="s">
        <v>40</v>
      </c>
      <c r="G473" s="4">
        <v>43948.199363425926</v>
      </c>
      <c r="H473" s="4">
        <v>43948.199444444444</v>
      </c>
      <c r="I473" t="s">
        <v>247</v>
      </c>
      <c r="J473" s="5">
        <v>7</v>
      </c>
      <c r="K473" t="s">
        <v>38</v>
      </c>
      <c r="M473">
        <v>63383</v>
      </c>
      <c r="N473" t="s">
        <v>131</v>
      </c>
      <c r="O473" t="s">
        <v>132</v>
      </c>
      <c r="P473" t="s">
        <v>38</v>
      </c>
      <c r="Q473" t="s">
        <v>75</v>
      </c>
      <c r="R473">
        <v>6</v>
      </c>
      <c r="S473" t="s">
        <v>45</v>
      </c>
      <c r="T473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3">
        <v>63384</v>
      </c>
      <c r="V473" t="s">
        <v>38</v>
      </c>
      <c r="W473" t="s">
        <v>78</v>
      </c>
      <c r="X473">
        <v>5</v>
      </c>
      <c r="Y473">
        <v>0</v>
      </c>
      <c r="Z473" t="s">
        <v>46</v>
      </c>
      <c r="AA473">
        <v>63386</v>
      </c>
      <c r="AB473" t="s">
        <v>893</v>
      </c>
      <c r="AC473" t="s">
        <v>60</v>
      </c>
      <c r="AD473" t="s">
        <v>38</v>
      </c>
      <c r="AE473" t="s">
        <v>49</v>
      </c>
      <c r="AF473" t="s">
        <v>50</v>
      </c>
      <c r="AG473">
        <v>0</v>
      </c>
      <c r="AH473">
        <v>0</v>
      </c>
      <c r="AI473" t="s">
        <v>51</v>
      </c>
      <c r="AJ473" t="s">
        <v>51</v>
      </c>
      <c r="AK473" t="s">
        <v>51</v>
      </c>
    </row>
    <row r="474" spans="1:37" x14ac:dyDescent="0.2">
      <c r="A474">
        <v>63356</v>
      </c>
      <c r="B474" t="s">
        <v>37</v>
      </c>
      <c r="C474" t="s">
        <v>38</v>
      </c>
      <c r="D474" t="s">
        <v>130</v>
      </c>
      <c r="E474" t="s">
        <v>40</v>
      </c>
      <c r="G474" s="4">
        <v>43948.199363425926</v>
      </c>
      <c r="H474" s="4">
        <v>43948.199444444444</v>
      </c>
      <c r="I474" t="s">
        <v>247</v>
      </c>
      <c r="J474" s="5">
        <v>7</v>
      </c>
      <c r="K474" t="s">
        <v>38</v>
      </c>
      <c r="M474">
        <v>63383</v>
      </c>
      <c r="N474" t="s">
        <v>131</v>
      </c>
      <c r="O474" t="s">
        <v>132</v>
      </c>
      <c r="P474" t="s">
        <v>38</v>
      </c>
      <c r="Q474" t="s">
        <v>75</v>
      </c>
      <c r="R474">
        <v>6</v>
      </c>
      <c r="S474" t="s">
        <v>45</v>
      </c>
      <c r="T474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4">
        <v>63384</v>
      </c>
      <c r="V474" t="s">
        <v>38</v>
      </c>
      <c r="W474" t="s">
        <v>78</v>
      </c>
      <c r="X474">
        <v>5</v>
      </c>
      <c r="Y474">
        <v>0</v>
      </c>
      <c r="Z474" t="s">
        <v>46</v>
      </c>
      <c r="AA474">
        <v>63385</v>
      </c>
      <c r="AB474" t="s">
        <v>894</v>
      </c>
      <c r="AC474" t="s">
        <v>56</v>
      </c>
      <c r="AD474" t="s">
        <v>38</v>
      </c>
      <c r="AE474" t="s">
        <v>49</v>
      </c>
      <c r="AF474" t="s">
        <v>50</v>
      </c>
      <c r="AG474">
        <v>0</v>
      </c>
      <c r="AH474">
        <v>0</v>
      </c>
      <c r="AI474" t="s">
        <v>51</v>
      </c>
      <c r="AJ474" t="s">
        <v>51</v>
      </c>
      <c r="AK474" t="s">
        <v>51</v>
      </c>
    </row>
    <row r="475" spans="1:37" x14ac:dyDescent="0.2">
      <c r="A475">
        <v>63356</v>
      </c>
      <c r="B475" t="s">
        <v>37</v>
      </c>
      <c r="C475" t="s">
        <v>38</v>
      </c>
      <c r="D475" t="s">
        <v>130</v>
      </c>
      <c r="E475" t="s">
        <v>40</v>
      </c>
      <c r="G475" s="4">
        <v>43948.199363425926</v>
      </c>
      <c r="H475" s="4">
        <v>43948.199444444444</v>
      </c>
      <c r="I475" t="s">
        <v>247</v>
      </c>
      <c r="J475" s="5">
        <v>7</v>
      </c>
      <c r="K475" t="s">
        <v>38</v>
      </c>
      <c r="M475">
        <v>63376</v>
      </c>
      <c r="N475" t="s">
        <v>143</v>
      </c>
      <c r="O475" t="s">
        <v>144</v>
      </c>
      <c r="P475" t="s">
        <v>38</v>
      </c>
      <c r="Q475" t="s">
        <v>50</v>
      </c>
      <c r="R475">
        <v>0</v>
      </c>
      <c r="S475" t="s">
        <v>45</v>
      </c>
      <c r="T475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5">
        <v>63377</v>
      </c>
      <c r="V475" t="s">
        <v>38</v>
      </c>
      <c r="W475" t="s">
        <v>50</v>
      </c>
      <c r="X475">
        <v>0</v>
      </c>
      <c r="Y475">
        <v>0</v>
      </c>
      <c r="Z475" t="s">
        <v>46</v>
      </c>
      <c r="AA475">
        <v>63382</v>
      </c>
      <c r="AB475" t="s">
        <v>145</v>
      </c>
      <c r="AC475" t="s">
        <v>56</v>
      </c>
      <c r="AD475" t="s">
        <v>38</v>
      </c>
      <c r="AE475" t="s">
        <v>49</v>
      </c>
      <c r="AF475" t="s">
        <v>50</v>
      </c>
      <c r="AG475">
        <v>0</v>
      </c>
      <c r="AH475">
        <v>0</v>
      </c>
      <c r="AI475" t="s">
        <v>51</v>
      </c>
      <c r="AJ475" t="s">
        <v>51</v>
      </c>
      <c r="AK475" t="s">
        <v>51</v>
      </c>
    </row>
    <row r="476" spans="1:37" x14ac:dyDescent="0.2">
      <c r="A476">
        <v>63356</v>
      </c>
      <c r="B476" t="s">
        <v>37</v>
      </c>
      <c r="C476" t="s">
        <v>38</v>
      </c>
      <c r="D476" t="s">
        <v>130</v>
      </c>
      <c r="E476" t="s">
        <v>40</v>
      </c>
      <c r="G476" s="4">
        <v>43948.199363425926</v>
      </c>
      <c r="H476" s="4">
        <v>43948.199444444444</v>
      </c>
      <c r="I476" t="s">
        <v>247</v>
      </c>
      <c r="J476" s="5">
        <v>7</v>
      </c>
      <c r="K476" t="s">
        <v>38</v>
      </c>
      <c r="M476">
        <v>63376</v>
      </c>
      <c r="N476" t="s">
        <v>143</v>
      </c>
      <c r="O476" t="s">
        <v>144</v>
      </c>
      <c r="P476" t="s">
        <v>38</v>
      </c>
      <c r="Q476" t="s">
        <v>50</v>
      </c>
      <c r="R476">
        <v>0</v>
      </c>
      <c r="S476" t="s">
        <v>45</v>
      </c>
      <c r="T476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6">
        <v>63377</v>
      </c>
      <c r="V476" t="s">
        <v>38</v>
      </c>
      <c r="W476" t="s">
        <v>50</v>
      </c>
      <c r="X476">
        <v>0</v>
      </c>
      <c r="Y476">
        <v>0</v>
      </c>
      <c r="Z476" t="s">
        <v>46</v>
      </c>
      <c r="AA476">
        <v>63381</v>
      </c>
      <c r="AB476" t="s">
        <v>146</v>
      </c>
      <c r="AC476" t="s">
        <v>68</v>
      </c>
      <c r="AD476" t="s">
        <v>38</v>
      </c>
      <c r="AE476" t="s">
        <v>49</v>
      </c>
      <c r="AF476" t="s">
        <v>50</v>
      </c>
      <c r="AG476">
        <v>0</v>
      </c>
      <c r="AH476">
        <v>0</v>
      </c>
      <c r="AI476" t="s">
        <v>51</v>
      </c>
      <c r="AJ476" t="s">
        <v>51</v>
      </c>
      <c r="AK476" t="s">
        <v>51</v>
      </c>
    </row>
    <row r="477" spans="1:37" x14ac:dyDescent="0.2">
      <c r="A477">
        <v>63356</v>
      </c>
      <c r="B477" t="s">
        <v>37</v>
      </c>
      <c r="C477" t="s">
        <v>38</v>
      </c>
      <c r="D477" t="s">
        <v>130</v>
      </c>
      <c r="E477" t="s">
        <v>40</v>
      </c>
      <c r="G477" s="4">
        <v>43948.199363425926</v>
      </c>
      <c r="H477" s="4">
        <v>43948.199444444444</v>
      </c>
      <c r="I477" t="s">
        <v>247</v>
      </c>
      <c r="J477" s="5">
        <v>7</v>
      </c>
      <c r="K477" t="s">
        <v>38</v>
      </c>
      <c r="M477">
        <v>63376</v>
      </c>
      <c r="N477" t="s">
        <v>143</v>
      </c>
      <c r="O477" t="s">
        <v>144</v>
      </c>
      <c r="P477" t="s">
        <v>38</v>
      </c>
      <c r="Q477" t="s">
        <v>50</v>
      </c>
      <c r="R477">
        <v>0</v>
      </c>
      <c r="S477" t="s">
        <v>45</v>
      </c>
      <c r="T477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7">
        <v>63377</v>
      </c>
      <c r="V477" t="s">
        <v>38</v>
      </c>
      <c r="W477" t="s">
        <v>50</v>
      </c>
      <c r="X477">
        <v>0</v>
      </c>
      <c r="Y477">
        <v>0</v>
      </c>
      <c r="Z477" t="s">
        <v>46</v>
      </c>
      <c r="AA477">
        <v>63380</v>
      </c>
      <c r="AB477" t="s">
        <v>147</v>
      </c>
      <c r="AC477" t="s">
        <v>68</v>
      </c>
      <c r="AD477" t="s">
        <v>38</v>
      </c>
      <c r="AE477" t="s">
        <v>49</v>
      </c>
      <c r="AF477" t="s">
        <v>50</v>
      </c>
      <c r="AG477">
        <v>0</v>
      </c>
      <c r="AH477">
        <v>0</v>
      </c>
      <c r="AI477" t="s">
        <v>51</v>
      </c>
      <c r="AJ477" t="s">
        <v>51</v>
      </c>
      <c r="AK477" t="s">
        <v>51</v>
      </c>
    </row>
    <row r="478" spans="1:37" x14ac:dyDescent="0.2">
      <c r="A478">
        <v>63356</v>
      </c>
      <c r="B478" t="s">
        <v>37</v>
      </c>
      <c r="C478" t="s">
        <v>38</v>
      </c>
      <c r="D478" t="s">
        <v>130</v>
      </c>
      <c r="E478" t="s">
        <v>40</v>
      </c>
      <c r="G478" s="4">
        <v>43948.199363425926</v>
      </c>
      <c r="H478" s="4">
        <v>43948.199444444444</v>
      </c>
      <c r="I478" t="s">
        <v>247</v>
      </c>
      <c r="J478" s="5">
        <v>7</v>
      </c>
      <c r="K478" t="s">
        <v>38</v>
      </c>
      <c r="M478">
        <v>63376</v>
      </c>
      <c r="N478" t="s">
        <v>143</v>
      </c>
      <c r="O478" t="s">
        <v>144</v>
      </c>
      <c r="P478" t="s">
        <v>38</v>
      </c>
      <c r="Q478" t="s">
        <v>50</v>
      </c>
      <c r="R478">
        <v>0</v>
      </c>
      <c r="S478" t="s">
        <v>45</v>
      </c>
      <c r="T478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8">
        <v>63377</v>
      </c>
      <c r="V478" t="s">
        <v>38</v>
      </c>
      <c r="W478" t="s">
        <v>50</v>
      </c>
      <c r="X478">
        <v>0</v>
      </c>
      <c r="Y478">
        <v>0</v>
      </c>
      <c r="Z478" t="s">
        <v>46</v>
      </c>
      <c r="AA478">
        <v>63379</v>
      </c>
      <c r="AB478" t="s">
        <v>148</v>
      </c>
      <c r="AC478" t="s">
        <v>68</v>
      </c>
      <c r="AD478" t="s">
        <v>38</v>
      </c>
      <c r="AE478" t="s">
        <v>49</v>
      </c>
      <c r="AF478" t="s">
        <v>50</v>
      </c>
      <c r="AG478">
        <v>0</v>
      </c>
      <c r="AH478">
        <v>0</v>
      </c>
      <c r="AI478" t="s">
        <v>51</v>
      </c>
      <c r="AJ478" t="s">
        <v>51</v>
      </c>
      <c r="AK478" t="s">
        <v>51</v>
      </c>
    </row>
    <row r="479" spans="1:37" x14ac:dyDescent="0.2">
      <c r="A479">
        <v>63356</v>
      </c>
      <c r="B479" t="s">
        <v>37</v>
      </c>
      <c r="C479" t="s">
        <v>38</v>
      </c>
      <c r="D479" t="s">
        <v>130</v>
      </c>
      <c r="E479" t="s">
        <v>40</v>
      </c>
      <c r="G479" s="4">
        <v>43948.199363425926</v>
      </c>
      <c r="H479" s="4">
        <v>43948.199444444444</v>
      </c>
      <c r="I479" t="s">
        <v>247</v>
      </c>
      <c r="J479" s="5">
        <v>7</v>
      </c>
      <c r="K479" t="s">
        <v>38</v>
      </c>
      <c r="M479">
        <v>63376</v>
      </c>
      <c r="N479" t="s">
        <v>143</v>
      </c>
      <c r="O479" t="s">
        <v>144</v>
      </c>
      <c r="P479" t="s">
        <v>38</v>
      </c>
      <c r="Q479" t="s">
        <v>50</v>
      </c>
      <c r="R479">
        <v>0</v>
      </c>
      <c r="S479" t="s">
        <v>45</v>
      </c>
      <c r="T479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79">
        <v>63377</v>
      </c>
      <c r="V479" t="s">
        <v>38</v>
      </c>
      <c r="W479" t="s">
        <v>50</v>
      </c>
      <c r="X479">
        <v>0</v>
      </c>
      <c r="Y479">
        <v>0</v>
      </c>
      <c r="Z479" t="s">
        <v>46</v>
      </c>
      <c r="AA479">
        <v>63378</v>
      </c>
      <c r="AB479" t="s">
        <v>149</v>
      </c>
      <c r="AC479" t="s">
        <v>68</v>
      </c>
      <c r="AD479" t="s">
        <v>38</v>
      </c>
      <c r="AE479" t="s">
        <v>49</v>
      </c>
      <c r="AF479" t="s">
        <v>50</v>
      </c>
      <c r="AG479">
        <v>0</v>
      </c>
      <c r="AH479">
        <v>0</v>
      </c>
      <c r="AI479" t="s">
        <v>51</v>
      </c>
      <c r="AJ479" t="s">
        <v>51</v>
      </c>
      <c r="AK479" t="s">
        <v>51</v>
      </c>
    </row>
    <row r="480" spans="1:37" x14ac:dyDescent="0.2">
      <c r="A480">
        <v>63356</v>
      </c>
      <c r="B480" t="s">
        <v>37</v>
      </c>
      <c r="C480" t="s">
        <v>38</v>
      </c>
      <c r="D480" t="s">
        <v>130</v>
      </c>
      <c r="E480" t="s">
        <v>40</v>
      </c>
      <c r="G480" s="4">
        <v>43948.199363425926</v>
      </c>
      <c r="H480" s="4">
        <v>43948.199444444444</v>
      </c>
      <c r="I480" t="s">
        <v>247</v>
      </c>
      <c r="J480" s="5">
        <v>7</v>
      </c>
      <c r="K480" t="s">
        <v>38</v>
      </c>
      <c r="M480">
        <v>63371</v>
      </c>
      <c r="N480" t="s">
        <v>150</v>
      </c>
      <c r="O480" t="s">
        <v>151</v>
      </c>
      <c r="P480" t="s">
        <v>38</v>
      </c>
      <c r="Q480" t="s">
        <v>50</v>
      </c>
      <c r="R480">
        <v>0</v>
      </c>
      <c r="S480" t="s">
        <v>45</v>
      </c>
      <c r="T480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0">
        <v>63372</v>
      </c>
      <c r="V480" t="s">
        <v>38</v>
      </c>
      <c r="W480" t="s">
        <v>50</v>
      </c>
      <c r="X480">
        <v>0</v>
      </c>
      <c r="Y480">
        <v>0</v>
      </c>
      <c r="Z480" t="s">
        <v>46</v>
      </c>
      <c r="AA480">
        <v>63375</v>
      </c>
      <c r="AB480" t="s">
        <v>152</v>
      </c>
      <c r="AC480" t="s">
        <v>56</v>
      </c>
      <c r="AD480" t="s">
        <v>38</v>
      </c>
      <c r="AE480" t="s">
        <v>49</v>
      </c>
      <c r="AF480" t="s">
        <v>50</v>
      </c>
      <c r="AG480">
        <v>0</v>
      </c>
      <c r="AH480">
        <v>0</v>
      </c>
      <c r="AI480" t="s">
        <v>51</v>
      </c>
      <c r="AJ480" t="s">
        <v>51</v>
      </c>
      <c r="AK480" t="s">
        <v>51</v>
      </c>
    </row>
    <row r="481" spans="1:37" x14ac:dyDescent="0.2">
      <c r="A481">
        <v>63356</v>
      </c>
      <c r="B481" t="s">
        <v>37</v>
      </c>
      <c r="C481" t="s">
        <v>38</v>
      </c>
      <c r="D481" t="s">
        <v>130</v>
      </c>
      <c r="E481" t="s">
        <v>40</v>
      </c>
      <c r="G481" s="4">
        <v>43948.199363425926</v>
      </c>
      <c r="H481" s="4">
        <v>43948.199444444444</v>
      </c>
      <c r="I481" t="s">
        <v>247</v>
      </c>
      <c r="J481" s="5">
        <v>7</v>
      </c>
      <c r="K481" t="s">
        <v>38</v>
      </c>
      <c r="M481">
        <v>63371</v>
      </c>
      <c r="N481" t="s">
        <v>150</v>
      </c>
      <c r="O481" t="s">
        <v>151</v>
      </c>
      <c r="P481" t="s">
        <v>38</v>
      </c>
      <c r="Q481" t="s">
        <v>50</v>
      </c>
      <c r="R481">
        <v>0</v>
      </c>
      <c r="S481" t="s">
        <v>45</v>
      </c>
      <c r="T481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1">
        <v>63372</v>
      </c>
      <c r="V481" t="s">
        <v>38</v>
      </c>
      <c r="W481" t="s">
        <v>50</v>
      </c>
      <c r="X481">
        <v>0</v>
      </c>
      <c r="Y481">
        <v>0</v>
      </c>
      <c r="Z481" t="s">
        <v>46</v>
      </c>
      <c r="AA481">
        <v>63374</v>
      </c>
      <c r="AB481" t="s">
        <v>153</v>
      </c>
      <c r="AC481" t="s">
        <v>56</v>
      </c>
      <c r="AD481" t="s">
        <v>38</v>
      </c>
      <c r="AE481" t="s">
        <v>49</v>
      </c>
      <c r="AF481" t="s">
        <v>50</v>
      </c>
      <c r="AG481">
        <v>0</v>
      </c>
      <c r="AH481">
        <v>0</v>
      </c>
      <c r="AI481" t="s">
        <v>51</v>
      </c>
      <c r="AJ481" t="s">
        <v>51</v>
      </c>
      <c r="AK481" t="s">
        <v>51</v>
      </c>
    </row>
    <row r="482" spans="1:37" x14ac:dyDescent="0.2">
      <c r="A482">
        <v>63356</v>
      </c>
      <c r="B482" t="s">
        <v>37</v>
      </c>
      <c r="C482" t="s">
        <v>38</v>
      </c>
      <c r="D482" t="s">
        <v>130</v>
      </c>
      <c r="E482" t="s">
        <v>40</v>
      </c>
      <c r="G482" s="4">
        <v>43948.199363425926</v>
      </c>
      <c r="H482" s="4">
        <v>43948.199444444444</v>
      </c>
      <c r="I482" t="s">
        <v>247</v>
      </c>
      <c r="J482" s="5">
        <v>7</v>
      </c>
      <c r="K482" t="s">
        <v>38</v>
      </c>
      <c r="M482">
        <v>63371</v>
      </c>
      <c r="N482" t="s">
        <v>150</v>
      </c>
      <c r="O482" t="s">
        <v>151</v>
      </c>
      <c r="P482" t="s">
        <v>38</v>
      </c>
      <c r="Q482" t="s">
        <v>50</v>
      </c>
      <c r="R482">
        <v>0</v>
      </c>
      <c r="S482" t="s">
        <v>45</v>
      </c>
      <c r="T482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2">
        <v>63372</v>
      </c>
      <c r="V482" t="s">
        <v>38</v>
      </c>
      <c r="W482" t="s">
        <v>50</v>
      </c>
      <c r="X482">
        <v>0</v>
      </c>
      <c r="Y482">
        <v>0</v>
      </c>
      <c r="Z482" t="s">
        <v>46</v>
      </c>
      <c r="AA482">
        <v>63373</v>
      </c>
      <c r="AB482" t="s">
        <v>154</v>
      </c>
      <c r="AC482" t="s">
        <v>68</v>
      </c>
      <c r="AD482" t="s">
        <v>38</v>
      </c>
      <c r="AE482" t="s">
        <v>49</v>
      </c>
      <c r="AF482" t="s">
        <v>50</v>
      </c>
      <c r="AG482">
        <v>0</v>
      </c>
      <c r="AH482">
        <v>0</v>
      </c>
      <c r="AI482" t="s">
        <v>51</v>
      </c>
      <c r="AJ482" t="s">
        <v>51</v>
      </c>
      <c r="AK482" t="s">
        <v>51</v>
      </c>
    </row>
    <row r="483" spans="1:37" x14ac:dyDescent="0.2">
      <c r="A483">
        <v>63356</v>
      </c>
      <c r="B483" t="s">
        <v>37</v>
      </c>
      <c r="C483" t="s">
        <v>38</v>
      </c>
      <c r="D483" t="s">
        <v>130</v>
      </c>
      <c r="E483" t="s">
        <v>40</v>
      </c>
      <c r="G483" s="4">
        <v>43948.199363425926</v>
      </c>
      <c r="H483" s="4">
        <v>43948.199444444444</v>
      </c>
      <c r="I483" t="s">
        <v>247</v>
      </c>
      <c r="J483" s="5">
        <v>7</v>
      </c>
      <c r="K483" t="s">
        <v>38</v>
      </c>
      <c r="M483">
        <v>63368</v>
      </c>
      <c r="N483" t="s">
        <v>155</v>
      </c>
      <c r="O483" t="s">
        <v>156</v>
      </c>
      <c r="P483" t="s">
        <v>38</v>
      </c>
      <c r="Q483" t="s">
        <v>50</v>
      </c>
      <c r="R483">
        <v>0</v>
      </c>
      <c r="S483" t="s">
        <v>45</v>
      </c>
      <c r="T483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3">
        <v>63369</v>
      </c>
      <c r="V483" t="s">
        <v>38</v>
      </c>
      <c r="W483" t="s">
        <v>50</v>
      </c>
      <c r="X483">
        <v>0</v>
      </c>
      <c r="Y483">
        <v>0</v>
      </c>
      <c r="Z483" t="s">
        <v>46</v>
      </c>
      <c r="AA483">
        <v>63370</v>
      </c>
      <c r="AB483" t="s">
        <v>895</v>
      </c>
      <c r="AC483" t="s">
        <v>68</v>
      </c>
      <c r="AD483" t="s">
        <v>38</v>
      </c>
      <c r="AE483" t="s">
        <v>49</v>
      </c>
      <c r="AF483" t="s">
        <v>50</v>
      </c>
      <c r="AG483">
        <v>0</v>
      </c>
      <c r="AH483">
        <v>0</v>
      </c>
      <c r="AI483" t="s">
        <v>51</v>
      </c>
      <c r="AJ483" t="s">
        <v>51</v>
      </c>
      <c r="AK483" t="s">
        <v>51</v>
      </c>
    </row>
    <row r="484" spans="1:37" x14ac:dyDescent="0.2">
      <c r="A484">
        <v>63356</v>
      </c>
      <c r="B484" t="s">
        <v>37</v>
      </c>
      <c r="C484" t="s">
        <v>38</v>
      </c>
      <c r="D484" t="s">
        <v>130</v>
      </c>
      <c r="E484" t="s">
        <v>40</v>
      </c>
      <c r="G484" s="4">
        <v>43948.199363425926</v>
      </c>
      <c r="H484" s="4">
        <v>43948.199444444444</v>
      </c>
      <c r="I484" t="s">
        <v>247</v>
      </c>
      <c r="J484" s="5">
        <v>7</v>
      </c>
      <c r="K484" t="s">
        <v>38</v>
      </c>
      <c r="M484">
        <v>63363</v>
      </c>
      <c r="N484" t="s">
        <v>158</v>
      </c>
      <c r="O484" t="s">
        <v>159</v>
      </c>
      <c r="P484" t="s">
        <v>38</v>
      </c>
      <c r="Q484" t="s">
        <v>50</v>
      </c>
      <c r="R484">
        <v>.9999999999999999999999999999999999999996</v>
      </c>
      <c r="S484" t="s">
        <v>45</v>
      </c>
      <c r="T484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4">
        <v>63364</v>
      </c>
      <c r="V484" t="s">
        <v>38</v>
      </c>
      <c r="W484" t="s">
        <v>50</v>
      </c>
      <c r="X484">
        <v>.9999999999999999999999999999999999999996</v>
      </c>
      <c r="Y484">
        <v>0</v>
      </c>
      <c r="Z484" t="s">
        <v>46</v>
      </c>
      <c r="AA484">
        <v>63367</v>
      </c>
      <c r="AB484" t="s">
        <v>160</v>
      </c>
      <c r="AC484" t="s">
        <v>56</v>
      </c>
      <c r="AD484" t="s">
        <v>38</v>
      </c>
      <c r="AE484" t="s">
        <v>49</v>
      </c>
      <c r="AF484" t="s">
        <v>50</v>
      </c>
      <c r="AG484">
        <v>0</v>
      </c>
      <c r="AH484">
        <v>0</v>
      </c>
      <c r="AI484" t="s">
        <v>51</v>
      </c>
      <c r="AJ484" t="s">
        <v>51</v>
      </c>
      <c r="AK484" t="s">
        <v>51</v>
      </c>
    </row>
    <row r="485" spans="1:37" x14ac:dyDescent="0.2">
      <c r="A485">
        <v>63356</v>
      </c>
      <c r="B485" t="s">
        <v>37</v>
      </c>
      <c r="C485" t="s">
        <v>38</v>
      </c>
      <c r="D485" t="s">
        <v>130</v>
      </c>
      <c r="E485" t="s">
        <v>40</v>
      </c>
      <c r="G485" s="4">
        <v>43948.199363425926</v>
      </c>
      <c r="H485" s="4">
        <v>43948.199444444444</v>
      </c>
      <c r="I485" t="s">
        <v>247</v>
      </c>
      <c r="J485" s="5">
        <v>7</v>
      </c>
      <c r="K485" t="s">
        <v>38</v>
      </c>
      <c r="M485">
        <v>63363</v>
      </c>
      <c r="N485" t="s">
        <v>158</v>
      </c>
      <c r="O485" t="s">
        <v>159</v>
      </c>
      <c r="P485" t="s">
        <v>38</v>
      </c>
      <c r="Q485" t="s">
        <v>50</v>
      </c>
      <c r="R485">
        <v>.9999999999999999999999999999999999999996</v>
      </c>
      <c r="S485" t="s">
        <v>45</v>
      </c>
      <c r="T485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5">
        <v>63364</v>
      </c>
      <c r="V485" t="s">
        <v>38</v>
      </c>
      <c r="W485" t="s">
        <v>50</v>
      </c>
      <c r="X485">
        <v>.9999999999999999999999999999999999999996</v>
      </c>
      <c r="Y485">
        <v>0</v>
      </c>
      <c r="Z485" t="s">
        <v>46</v>
      </c>
      <c r="AA485">
        <v>63366</v>
      </c>
      <c r="AB485" t="s">
        <v>161</v>
      </c>
      <c r="AC485" t="s">
        <v>68</v>
      </c>
      <c r="AD485" t="s">
        <v>38</v>
      </c>
      <c r="AE485" t="s">
        <v>49</v>
      </c>
      <c r="AF485" t="s">
        <v>50</v>
      </c>
      <c r="AG485">
        <v>.9999999999999999999999999999999999999996</v>
      </c>
      <c r="AH485">
        <v>0</v>
      </c>
      <c r="AI485" t="s">
        <v>51</v>
      </c>
      <c r="AJ485" t="s">
        <v>51</v>
      </c>
      <c r="AK485" t="s">
        <v>51</v>
      </c>
    </row>
    <row r="486" spans="1:37" x14ac:dyDescent="0.2">
      <c r="A486">
        <v>63356</v>
      </c>
      <c r="B486" t="s">
        <v>37</v>
      </c>
      <c r="C486" t="s">
        <v>38</v>
      </c>
      <c r="D486" t="s">
        <v>130</v>
      </c>
      <c r="E486" t="s">
        <v>40</v>
      </c>
      <c r="G486" s="4">
        <v>43948.199363425926</v>
      </c>
      <c r="H486" s="4">
        <v>43948.199444444444</v>
      </c>
      <c r="I486" t="s">
        <v>247</v>
      </c>
      <c r="J486" s="5">
        <v>7</v>
      </c>
      <c r="K486" t="s">
        <v>38</v>
      </c>
      <c r="M486">
        <v>63363</v>
      </c>
      <c r="N486" t="s">
        <v>158</v>
      </c>
      <c r="O486" t="s">
        <v>159</v>
      </c>
      <c r="P486" t="s">
        <v>38</v>
      </c>
      <c r="Q486" t="s">
        <v>50</v>
      </c>
      <c r="R486">
        <v>.9999999999999999999999999999999999999996</v>
      </c>
      <c r="S486" t="s">
        <v>45</v>
      </c>
      <c r="T486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6">
        <v>63364</v>
      </c>
      <c r="V486" t="s">
        <v>38</v>
      </c>
      <c r="W486" t="s">
        <v>50</v>
      </c>
      <c r="X486">
        <v>.9999999999999999999999999999999999999996</v>
      </c>
      <c r="Y486">
        <v>0</v>
      </c>
      <c r="Z486" t="s">
        <v>46</v>
      </c>
      <c r="AA486">
        <v>63365</v>
      </c>
      <c r="AB486" t="s">
        <v>162</v>
      </c>
      <c r="AC486" t="s">
        <v>68</v>
      </c>
      <c r="AD486" t="s">
        <v>38</v>
      </c>
      <c r="AE486" t="s">
        <v>49</v>
      </c>
      <c r="AF486" t="s">
        <v>50</v>
      </c>
      <c r="AG486">
        <v>0</v>
      </c>
      <c r="AH486">
        <v>0</v>
      </c>
      <c r="AI486" t="s">
        <v>51</v>
      </c>
      <c r="AJ486" t="s">
        <v>51</v>
      </c>
      <c r="AK486" t="s">
        <v>51</v>
      </c>
    </row>
    <row r="487" spans="1:37" x14ac:dyDescent="0.2">
      <c r="A487">
        <v>63356</v>
      </c>
      <c r="B487" t="s">
        <v>37</v>
      </c>
      <c r="C487" t="s">
        <v>38</v>
      </c>
      <c r="D487" t="s">
        <v>130</v>
      </c>
      <c r="E487" t="s">
        <v>40</v>
      </c>
      <c r="G487" s="4">
        <v>43948.199363425926</v>
      </c>
      <c r="H487" s="4">
        <v>43948.199444444444</v>
      </c>
      <c r="I487" t="s">
        <v>247</v>
      </c>
      <c r="J487" s="5">
        <v>7</v>
      </c>
      <c r="K487" t="s">
        <v>38</v>
      </c>
      <c r="M487">
        <v>63357</v>
      </c>
      <c r="N487" t="s">
        <v>163</v>
      </c>
      <c r="O487" t="s">
        <v>164</v>
      </c>
      <c r="P487" t="s">
        <v>38</v>
      </c>
      <c r="Q487" t="s">
        <v>50</v>
      </c>
      <c r="R487">
        <v>0</v>
      </c>
      <c r="S487" t="s">
        <v>45</v>
      </c>
      <c r="T487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7">
        <v>63358</v>
      </c>
      <c r="V487" t="s">
        <v>38</v>
      </c>
      <c r="W487" t="s">
        <v>50</v>
      </c>
      <c r="X487">
        <v>0</v>
      </c>
      <c r="Y487">
        <v>0</v>
      </c>
      <c r="Z487" t="s">
        <v>46</v>
      </c>
      <c r="AA487">
        <v>63362</v>
      </c>
      <c r="AB487" t="s">
        <v>165</v>
      </c>
      <c r="AC487" t="s">
        <v>56</v>
      </c>
      <c r="AD487" t="s">
        <v>38</v>
      </c>
      <c r="AE487" t="s">
        <v>49</v>
      </c>
      <c r="AF487" t="s">
        <v>50</v>
      </c>
      <c r="AG487">
        <v>0</v>
      </c>
      <c r="AH487">
        <v>0</v>
      </c>
      <c r="AI487" t="s">
        <v>51</v>
      </c>
      <c r="AJ487" t="s">
        <v>51</v>
      </c>
      <c r="AK487" t="s">
        <v>51</v>
      </c>
    </row>
    <row r="488" spans="1:37" x14ac:dyDescent="0.2">
      <c r="A488">
        <v>63356</v>
      </c>
      <c r="B488" t="s">
        <v>37</v>
      </c>
      <c r="C488" t="s">
        <v>38</v>
      </c>
      <c r="D488" t="s">
        <v>130</v>
      </c>
      <c r="E488" t="s">
        <v>40</v>
      </c>
      <c r="G488" s="4">
        <v>43948.199363425926</v>
      </c>
      <c r="H488" s="4">
        <v>43948.199444444444</v>
      </c>
      <c r="I488" t="s">
        <v>247</v>
      </c>
      <c r="J488" s="5">
        <v>7</v>
      </c>
      <c r="K488" t="s">
        <v>38</v>
      </c>
      <c r="M488">
        <v>63357</v>
      </c>
      <c r="N488" t="s">
        <v>163</v>
      </c>
      <c r="O488" t="s">
        <v>164</v>
      </c>
      <c r="P488" t="s">
        <v>38</v>
      </c>
      <c r="Q488" t="s">
        <v>50</v>
      </c>
      <c r="R488">
        <v>0</v>
      </c>
      <c r="S488" t="s">
        <v>45</v>
      </c>
      <c r="T488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8">
        <v>63358</v>
      </c>
      <c r="V488" t="s">
        <v>38</v>
      </c>
      <c r="W488" t="s">
        <v>50</v>
      </c>
      <c r="X488">
        <v>0</v>
      </c>
      <c r="Y488">
        <v>0</v>
      </c>
      <c r="Z488" t="s">
        <v>46</v>
      </c>
      <c r="AA488">
        <v>63361</v>
      </c>
      <c r="AB488" t="s">
        <v>896</v>
      </c>
      <c r="AC488" t="s">
        <v>48</v>
      </c>
      <c r="AD488" t="s">
        <v>38</v>
      </c>
      <c r="AE488" t="s">
        <v>49</v>
      </c>
      <c r="AF488" t="s">
        <v>50</v>
      </c>
      <c r="AG488">
        <v>0</v>
      </c>
      <c r="AH488">
        <v>0</v>
      </c>
      <c r="AI488" t="s">
        <v>51</v>
      </c>
      <c r="AJ488" t="s">
        <v>51</v>
      </c>
      <c r="AK488" t="s">
        <v>51</v>
      </c>
    </row>
    <row r="489" spans="1:37" x14ac:dyDescent="0.2">
      <c r="A489">
        <v>63356</v>
      </c>
      <c r="B489" t="s">
        <v>37</v>
      </c>
      <c r="C489" t="s">
        <v>38</v>
      </c>
      <c r="D489" t="s">
        <v>130</v>
      </c>
      <c r="E489" t="s">
        <v>40</v>
      </c>
      <c r="G489" s="4">
        <v>43948.199363425926</v>
      </c>
      <c r="H489" s="4">
        <v>43948.199444444444</v>
      </c>
      <c r="I489" t="s">
        <v>247</v>
      </c>
      <c r="J489" s="5">
        <v>7</v>
      </c>
      <c r="K489" t="s">
        <v>38</v>
      </c>
      <c r="M489">
        <v>63357</v>
      </c>
      <c r="N489" t="s">
        <v>163</v>
      </c>
      <c r="O489" t="s">
        <v>164</v>
      </c>
      <c r="P489" t="s">
        <v>38</v>
      </c>
      <c r="Q489" t="s">
        <v>50</v>
      </c>
      <c r="R489">
        <v>0</v>
      </c>
      <c r="S489" t="s">
        <v>45</v>
      </c>
      <c r="T489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89">
        <v>63358</v>
      </c>
      <c r="V489" t="s">
        <v>38</v>
      </c>
      <c r="W489" t="s">
        <v>50</v>
      </c>
      <c r="X489">
        <v>0</v>
      </c>
      <c r="Y489">
        <v>0</v>
      </c>
      <c r="Z489" t="s">
        <v>46</v>
      </c>
      <c r="AA489">
        <v>63360</v>
      </c>
      <c r="AB489" t="s">
        <v>167</v>
      </c>
      <c r="AC489" t="s">
        <v>68</v>
      </c>
      <c r="AD489" t="s">
        <v>38</v>
      </c>
      <c r="AE489" t="s">
        <v>49</v>
      </c>
      <c r="AF489" t="s">
        <v>50</v>
      </c>
      <c r="AG489">
        <v>0</v>
      </c>
      <c r="AH489">
        <v>0</v>
      </c>
      <c r="AI489" t="s">
        <v>51</v>
      </c>
      <c r="AJ489" t="s">
        <v>51</v>
      </c>
      <c r="AK489" t="s">
        <v>51</v>
      </c>
    </row>
    <row r="490" spans="1:37" x14ac:dyDescent="0.2">
      <c r="A490">
        <v>63356</v>
      </c>
      <c r="B490" t="s">
        <v>37</v>
      </c>
      <c r="C490" t="s">
        <v>38</v>
      </c>
      <c r="D490" t="s">
        <v>130</v>
      </c>
      <c r="E490" t="s">
        <v>40</v>
      </c>
      <c r="G490" s="4">
        <v>43948.199363425926</v>
      </c>
      <c r="H490" s="4">
        <v>43948.199444444444</v>
      </c>
      <c r="I490" t="s">
        <v>247</v>
      </c>
      <c r="J490" s="5">
        <v>7</v>
      </c>
      <c r="K490" t="s">
        <v>38</v>
      </c>
      <c r="M490">
        <v>63357</v>
      </c>
      <c r="N490" t="s">
        <v>163</v>
      </c>
      <c r="O490" t="s">
        <v>164</v>
      </c>
      <c r="P490" t="s">
        <v>38</v>
      </c>
      <c r="Q490" t="s">
        <v>50</v>
      </c>
      <c r="R490">
        <v>0</v>
      </c>
      <c r="S490" t="s">
        <v>45</v>
      </c>
      <c r="T490" t="str" s="2">
        <f>=HYPERLINK("http://demo.enginatics.com:80/ecc/user/applications/log/63356.log","http://demo.enginatics.com:80/ecc/user/applications/log/63356.log")</f>
        <v>"http://demo.enginatics.com:80/ecc/user/applications/log/63356.log")</v>
      </c>
      <c r="U490">
        <v>63358</v>
      </c>
      <c r="V490" t="s">
        <v>38</v>
      </c>
      <c r="W490" t="s">
        <v>50</v>
      </c>
      <c r="X490">
        <v>0</v>
      </c>
      <c r="Y490">
        <v>0</v>
      </c>
      <c r="Z490" t="s">
        <v>46</v>
      </c>
      <c r="AA490">
        <v>63359</v>
      </c>
      <c r="AB490" t="s">
        <v>168</v>
      </c>
      <c r="AC490" t="s">
        <v>68</v>
      </c>
      <c r="AD490" t="s">
        <v>38</v>
      </c>
      <c r="AE490" t="s">
        <v>49</v>
      </c>
      <c r="AF490" t="s">
        <v>50</v>
      </c>
      <c r="AG490">
        <v>0</v>
      </c>
      <c r="AH490">
        <v>0</v>
      </c>
      <c r="AI490" t="s">
        <v>51</v>
      </c>
      <c r="AJ490" t="s">
        <v>51</v>
      </c>
      <c r="AK490" t="s">
        <v>51</v>
      </c>
    </row>
    <row r="491" spans="1:37" x14ac:dyDescent="0.2">
      <c r="A491">
        <v>63352</v>
      </c>
      <c r="B491" t="s">
        <v>37</v>
      </c>
      <c r="C491" t="s">
        <v>38</v>
      </c>
      <c r="D491" t="s">
        <v>169</v>
      </c>
      <c r="E491" t="s">
        <v>170</v>
      </c>
      <c r="G491" s="4">
        <v>43948.182025462963</v>
      </c>
      <c r="H491" s="4">
        <v>43948.182025462963</v>
      </c>
      <c r="I491" t="s">
        <v>50</v>
      </c>
      <c r="J491" s="5">
        <v>0</v>
      </c>
      <c r="K491" t="s">
        <v>38</v>
      </c>
      <c r="M491">
        <v>63353</v>
      </c>
      <c r="N491" t="s">
        <v>170</v>
      </c>
      <c r="O491" t="s">
        <v>171</v>
      </c>
      <c r="P491" t="s">
        <v>38</v>
      </c>
      <c r="Q491" t="s">
        <v>50</v>
      </c>
      <c r="R491">
        <v>0</v>
      </c>
      <c r="S491" t="s">
        <v>45</v>
      </c>
      <c r="T491" t="str" s="2">
        <f>=HYPERLINK("http://demo.enginatics.com:80/ecc/user/applications/log/63352.log","http://demo.enginatics.com:80/ecc/user/applications/log/63352.log")</f>
        <v>"http://demo.enginatics.com:80/ecc/user/applications/log/63352.log")</v>
      </c>
      <c r="U491">
        <v>63354</v>
      </c>
      <c r="V491" t="s">
        <v>38</v>
      </c>
      <c r="W491" t="s">
        <v>50</v>
      </c>
      <c r="X491">
        <v>0</v>
      </c>
      <c r="Y491">
        <v>0</v>
      </c>
      <c r="Z491" t="s">
        <v>46</v>
      </c>
      <c r="AA491">
        <v>63355</v>
      </c>
      <c r="AB491" t="s">
        <v>172</v>
      </c>
      <c r="AC491" t="s">
        <v>68</v>
      </c>
      <c r="AD491" t="s">
        <v>38</v>
      </c>
      <c r="AE491" t="s">
        <v>49</v>
      </c>
      <c r="AF491" t="s">
        <v>50</v>
      </c>
      <c r="AG491">
        <v>0</v>
      </c>
      <c r="AH491">
        <v>0</v>
      </c>
      <c r="AI491" t="s">
        <v>51</v>
      </c>
      <c r="AJ491" t="s">
        <v>51</v>
      </c>
      <c r="AK491" t="s">
        <v>51</v>
      </c>
    </row>
    <row r="492" spans="1:37" x14ac:dyDescent="0.2">
      <c r="A492">
        <v>63348</v>
      </c>
      <c r="B492" t="s">
        <v>37</v>
      </c>
      <c r="C492" t="s">
        <v>38</v>
      </c>
      <c r="D492" t="s">
        <v>169</v>
      </c>
      <c r="E492" t="s">
        <v>173</v>
      </c>
      <c r="G492" s="4">
        <v>43948.181851851852</v>
      </c>
      <c r="H492" s="4">
        <v>43948.181851851852</v>
      </c>
      <c r="I492" t="s">
        <v>50</v>
      </c>
      <c r="J492" s="5">
        <v>0</v>
      </c>
      <c r="K492" t="s">
        <v>38</v>
      </c>
      <c r="M492">
        <v>63349</v>
      </c>
      <c r="N492" t="s">
        <v>173</v>
      </c>
      <c r="O492" t="s">
        <v>174</v>
      </c>
      <c r="P492" t="s">
        <v>38</v>
      </c>
      <c r="Q492" t="s">
        <v>50</v>
      </c>
      <c r="R492">
        <v>0</v>
      </c>
      <c r="S492" t="s">
        <v>45</v>
      </c>
      <c r="T492" t="str" s="2">
        <f>=HYPERLINK("http://demo.enginatics.com:80/ecc/user/applications/log/63348.log","http://demo.enginatics.com:80/ecc/user/applications/log/63348.log")</f>
        <v>"http://demo.enginatics.com:80/ecc/user/applications/log/63348.log")</v>
      </c>
      <c r="U492">
        <v>63350</v>
      </c>
      <c r="V492" t="s">
        <v>38</v>
      </c>
      <c r="W492" t="s">
        <v>50</v>
      </c>
      <c r="X492">
        <v>0</v>
      </c>
      <c r="Y492">
        <v>0</v>
      </c>
      <c r="Z492" t="s">
        <v>46</v>
      </c>
      <c r="AA492">
        <v>63351</v>
      </c>
      <c r="AB492" t="s">
        <v>175</v>
      </c>
      <c r="AC492" t="s">
        <v>68</v>
      </c>
      <c r="AD492" t="s">
        <v>38</v>
      </c>
      <c r="AE492" t="s">
        <v>49</v>
      </c>
      <c r="AF492" t="s">
        <v>50</v>
      </c>
      <c r="AG492">
        <v>0</v>
      </c>
      <c r="AH492">
        <v>0</v>
      </c>
      <c r="AI492" t="s">
        <v>51</v>
      </c>
      <c r="AJ492" t="s">
        <v>51</v>
      </c>
      <c r="AK492" t="s">
        <v>51</v>
      </c>
    </row>
    <row r="493" spans="1:37" x14ac:dyDescent="0.2">
      <c r="A493">
        <v>63344</v>
      </c>
      <c r="B493" t="s">
        <v>37</v>
      </c>
      <c r="C493" t="s">
        <v>38</v>
      </c>
      <c r="D493" t="s">
        <v>169</v>
      </c>
      <c r="E493" t="s">
        <v>176</v>
      </c>
      <c r="G493" s="4">
        <v>43948.181724537037</v>
      </c>
      <c r="H493" s="4">
        <v>43948.181736111111</v>
      </c>
      <c r="I493" t="s">
        <v>50</v>
      </c>
      <c r="J493" s="5">
        <v>.9999999999999999999999999999999999999996</v>
      </c>
      <c r="K493" t="s">
        <v>38</v>
      </c>
      <c r="M493">
        <v>63345</v>
      </c>
      <c r="N493" t="s">
        <v>176</v>
      </c>
      <c r="O493" t="s">
        <v>177</v>
      </c>
      <c r="P493" t="s">
        <v>38</v>
      </c>
      <c r="Q493" t="s">
        <v>50</v>
      </c>
      <c r="R493">
        <v>.9999999999999999999999999999999999999996</v>
      </c>
      <c r="S493" t="s">
        <v>45</v>
      </c>
      <c r="T493" t="str" s="2">
        <f>=HYPERLINK("http://demo.enginatics.com:80/ecc/user/applications/log/63344.log","http://demo.enginatics.com:80/ecc/user/applications/log/63344.log")</f>
        <v>"http://demo.enginatics.com:80/ecc/user/applications/log/63344.log")</v>
      </c>
      <c r="U493">
        <v>63346</v>
      </c>
      <c r="V493" t="s">
        <v>38</v>
      </c>
      <c r="W493" t="s">
        <v>50</v>
      </c>
      <c r="X493">
        <v>.9999999999999999999999999999999999999996</v>
      </c>
      <c r="Y493">
        <v>0</v>
      </c>
      <c r="Z493" t="s">
        <v>46</v>
      </c>
      <c r="AA493">
        <v>63347</v>
      </c>
      <c r="AB493" t="s">
        <v>178</v>
      </c>
      <c r="AC493" t="s">
        <v>68</v>
      </c>
      <c r="AD493" t="s">
        <v>38</v>
      </c>
      <c r="AE493" t="s">
        <v>49</v>
      </c>
      <c r="AF493" t="s">
        <v>50</v>
      </c>
      <c r="AG493">
        <v>0</v>
      </c>
      <c r="AH493">
        <v>0</v>
      </c>
      <c r="AI493" t="s">
        <v>51</v>
      </c>
      <c r="AJ493" t="s">
        <v>51</v>
      </c>
      <c r="AK493" t="s">
        <v>51</v>
      </c>
    </row>
    <row r="494" spans="1:37" x14ac:dyDescent="0.2">
      <c r="A494">
        <v>63340</v>
      </c>
      <c r="B494" t="s">
        <v>37</v>
      </c>
      <c r="C494" t="s">
        <v>38</v>
      </c>
      <c r="D494" t="s">
        <v>169</v>
      </c>
      <c r="E494" t="s">
        <v>179</v>
      </c>
      <c r="G494" s="4">
        <v>43948.181284722222</v>
      </c>
      <c r="H494" s="4">
        <v>43948.181574074074</v>
      </c>
      <c r="I494" t="s">
        <v>180</v>
      </c>
      <c r="J494" s="5">
        <v>25.00000000000000000000000000000000000001</v>
      </c>
      <c r="K494" t="s">
        <v>38</v>
      </c>
      <c r="M494">
        <v>63341</v>
      </c>
      <c r="N494" t="s">
        <v>179</v>
      </c>
      <c r="O494" t="s">
        <v>181</v>
      </c>
      <c r="P494" t="s">
        <v>38</v>
      </c>
      <c r="Q494" t="s">
        <v>183</v>
      </c>
      <c r="R494">
        <v>23.00000000000000000000000000000000000003</v>
      </c>
      <c r="S494" t="s">
        <v>45</v>
      </c>
      <c r="T494" t="str" s="2">
        <f>=HYPERLINK("http://demo.enginatics.com:80/ecc/user/applications/log/63340.log","http://demo.enginatics.com:80/ecc/user/applications/log/63340.log")</f>
        <v>"http://demo.enginatics.com:80/ecc/user/applications/log/63340.log")</v>
      </c>
      <c r="U494">
        <v>63342</v>
      </c>
      <c r="V494" t="s">
        <v>38</v>
      </c>
      <c r="W494" t="s">
        <v>183</v>
      </c>
      <c r="X494">
        <v>23.00000000000000000000000000000000000003</v>
      </c>
      <c r="Y494">
        <v>0</v>
      </c>
      <c r="Z494" t="s">
        <v>46</v>
      </c>
      <c r="AA494">
        <v>63343</v>
      </c>
      <c r="AB494" t="s">
        <v>182</v>
      </c>
      <c r="AC494" t="s">
        <v>68</v>
      </c>
      <c r="AD494" t="s">
        <v>38</v>
      </c>
      <c r="AE494" t="s">
        <v>49</v>
      </c>
      <c r="AF494" t="s">
        <v>183</v>
      </c>
      <c r="AG494">
        <v>23.00000000000000000000000000000000000003</v>
      </c>
      <c r="AH494">
        <v>22</v>
      </c>
      <c r="AI494" t="s">
        <v>51</v>
      </c>
      <c r="AJ494" t="s">
        <v>51</v>
      </c>
      <c r="AK494" t="s">
        <v>51</v>
      </c>
    </row>
    <row r="495" spans="1:37" x14ac:dyDescent="0.2">
      <c r="A495">
        <v>63336</v>
      </c>
      <c r="B495" t="s">
        <v>37</v>
      </c>
      <c r="C495" t="s">
        <v>38</v>
      </c>
      <c r="D495" t="s">
        <v>169</v>
      </c>
      <c r="E495" t="s">
        <v>184</v>
      </c>
      <c r="G495" s="4">
        <v>43948.181157407407</v>
      </c>
      <c r="H495" s="4">
        <v>43948.181168981481</v>
      </c>
      <c r="I495" t="s">
        <v>50</v>
      </c>
      <c r="J495" s="5">
        <v>.9999999999999999999999999999999999999996</v>
      </c>
      <c r="K495" t="s">
        <v>38</v>
      </c>
      <c r="M495">
        <v>63337</v>
      </c>
      <c r="N495" t="s">
        <v>184</v>
      </c>
      <c r="O495" t="s">
        <v>185</v>
      </c>
      <c r="P495" t="s">
        <v>38</v>
      </c>
      <c r="Q495" t="s">
        <v>50</v>
      </c>
      <c r="R495">
        <v>.9999999999999999999999999999999999999996</v>
      </c>
      <c r="S495" t="s">
        <v>45</v>
      </c>
      <c r="T495" t="str" s="2">
        <f>=HYPERLINK("http://demo.enginatics.com:80/ecc/user/applications/log/63336.log","http://demo.enginatics.com:80/ecc/user/applications/log/63336.log")</f>
        <v>"http://demo.enginatics.com:80/ecc/user/applications/log/63336.log")</v>
      </c>
      <c r="U495">
        <v>63338</v>
      </c>
      <c r="V495" t="s">
        <v>38</v>
      </c>
      <c r="W495" t="s">
        <v>50</v>
      </c>
      <c r="X495">
        <v>.9999999999999999999999999999999999999996</v>
      </c>
      <c r="Y495">
        <v>0</v>
      </c>
      <c r="Z495" t="s">
        <v>46</v>
      </c>
      <c r="AA495">
        <v>63339</v>
      </c>
      <c r="AB495" t="s">
        <v>186</v>
      </c>
      <c r="AC495" t="s">
        <v>68</v>
      </c>
      <c r="AD495" t="s">
        <v>38</v>
      </c>
      <c r="AE495" t="s">
        <v>49</v>
      </c>
      <c r="AF495" t="s">
        <v>50</v>
      </c>
      <c r="AG495">
        <v>.9999999999999999999999999999999999999996</v>
      </c>
      <c r="AH495">
        <v>0</v>
      </c>
      <c r="AI495" t="s">
        <v>51</v>
      </c>
      <c r="AJ495" t="s">
        <v>51</v>
      </c>
      <c r="AK495" t="s">
        <v>51</v>
      </c>
    </row>
    <row r="496" spans="1:37" x14ac:dyDescent="0.2">
      <c r="A496">
        <v>63332</v>
      </c>
      <c r="B496" t="s">
        <v>37</v>
      </c>
      <c r="C496" t="s">
        <v>38</v>
      </c>
      <c r="D496" t="s">
        <v>169</v>
      </c>
      <c r="E496" t="s">
        <v>187</v>
      </c>
      <c r="G496" s="4">
        <v>43948.181053240741</v>
      </c>
      <c r="H496" s="4">
        <v>43948.181087962963</v>
      </c>
      <c r="I496" t="s">
        <v>85</v>
      </c>
      <c r="J496" s="5">
        <v>3</v>
      </c>
      <c r="K496" t="s">
        <v>38</v>
      </c>
      <c r="M496">
        <v>63333</v>
      </c>
      <c r="N496" t="s">
        <v>187</v>
      </c>
      <c r="O496" t="s">
        <v>188</v>
      </c>
      <c r="P496" t="s">
        <v>38</v>
      </c>
      <c r="Q496" t="s">
        <v>85</v>
      </c>
      <c r="R496">
        <v>3</v>
      </c>
      <c r="S496" t="s">
        <v>45</v>
      </c>
      <c r="T496" t="str" s="2">
        <f>=HYPERLINK("http://demo.enginatics.com:80/ecc/user/applications/log/63332.log","http://demo.enginatics.com:80/ecc/user/applications/log/63332.log")</f>
        <v>"http://demo.enginatics.com:80/ecc/user/applications/log/63332.log")</v>
      </c>
      <c r="U496">
        <v>63334</v>
      </c>
      <c r="V496" t="s">
        <v>38</v>
      </c>
      <c r="W496" t="s">
        <v>85</v>
      </c>
      <c r="X496">
        <v>3</v>
      </c>
      <c r="Y496">
        <v>0</v>
      </c>
      <c r="Z496" t="s">
        <v>46</v>
      </c>
      <c r="AA496">
        <v>63335</v>
      </c>
      <c r="AB496" t="s">
        <v>189</v>
      </c>
      <c r="AC496" t="s">
        <v>68</v>
      </c>
      <c r="AD496" t="s">
        <v>38</v>
      </c>
      <c r="AE496" t="s">
        <v>49</v>
      </c>
      <c r="AF496" t="s">
        <v>85</v>
      </c>
      <c r="AG496">
        <v>3</v>
      </c>
      <c r="AH496">
        <v>3</v>
      </c>
      <c r="AI496" t="s">
        <v>51</v>
      </c>
      <c r="AJ496" t="s">
        <v>51</v>
      </c>
      <c r="AK496" t="s">
        <v>51</v>
      </c>
    </row>
    <row r="497" spans="1:37" x14ac:dyDescent="0.2">
      <c r="A497">
        <v>63328</v>
      </c>
      <c r="B497" t="s">
        <v>37</v>
      </c>
      <c r="C497" t="s">
        <v>38</v>
      </c>
      <c r="D497" t="s">
        <v>169</v>
      </c>
      <c r="E497" t="s">
        <v>190</v>
      </c>
      <c r="G497" s="4">
        <v>43948.180925925926</v>
      </c>
      <c r="H497" s="4">
        <v>43948.180925925926</v>
      </c>
      <c r="I497" t="s">
        <v>50</v>
      </c>
      <c r="J497" s="5">
        <v>0</v>
      </c>
      <c r="K497" t="s">
        <v>38</v>
      </c>
      <c r="M497">
        <v>63329</v>
      </c>
      <c r="N497" t="s">
        <v>190</v>
      </c>
      <c r="O497" t="s">
        <v>191</v>
      </c>
      <c r="P497" t="s">
        <v>38</v>
      </c>
      <c r="Q497" t="s">
        <v>50</v>
      </c>
      <c r="R497">
        <v>0</v>
      </c>
      <c r="S497" t="s">
        <v>45</v>
      </c>
      <c r="T497" t="str" s="2">
        <f>=HYPERLINK("http://demo.enginatics.com:80/ecc/user/applications/log/63328.log","http://demo.enginatics.com:80/ecc/user/applications/log/63328.log")</f>
        <v>"http://demo.enginatics.com:80/ecc/user/applications/log/63328.log")</v>
      </c>
      <c r="U497">
        <v>63330</v>
      </c>
      <c r="V497" t="s">
        <v>38</v>
      </c>
      <c r="W497" t="s">
        <v>50</v>
      </c>
      <c r="X497">
        <v>0</v>
      </c>
      <c r="Y497">
        <v>0</v>
      </c>
      <c r="Z497" t="s">
        <v>46</v>
      </c>
      <c r="AA497">
        <v>63331</v>
      </c>
      <c r="AB497" t="s">
        <v>192</v>
      </c>
      <c r="AC497" t="s">
        <v>68</v>
      </c>
      <c r="AD497" t="s">
        <v>38</v>
      </c>
      <c r="AE497" t="s">
        <v>49</v>
      </c>
      <c r="AF497" t="s">
        <v>50</v>
      </c>
      <c r="AG497">
        <v>0</v>
      </c>
      <c r="AH497">
        <v>0</v>
      </c>
      <c r="AI497" t="s">
        <v>51</v>
      </c>
      <c r="AJ497" t="s">
        <v>51</v>
      </c>
      <c r="AK497" t="s">
        <v>51</v>
      </c>
    </row>
    <row r="498" spans="1:37" x14ac:dyDescent="0.2">
      <c r="A498">
        <v>63324</v>
      </c>
      <c r="B498" t="s">
        <v>37</v>
      </c>
      <c r="C498" t="s">
        <v>38</v>
      </c>
      <c r="D498" t="s">
        <v>169</v>
      </c>
      <c r="E498" t="s">
        <v>193</v>
      </c>
      <c r="G498" s="4">
        <v>43948.180821759259</v>
      </c>
      <c r="H498" s="4">
        <v>43948.180821759259</v>
      </c>
      <c r="I498" t="s">
        <v>50</v>
      </c>
      <c r="J498" s="5">
        <v>0</v>
      </c>
      <c r="K498" t="s">
        <v>38</v>
      </c>
      <c r="M498">
        <v>63325</v>
      </c>
      <c r="N498" t="s">
        <v>193</v>
      </c>
      <c r="O498" t="s">
        <v>194</v>
      </c>
      <c r="P498" t="s">
        <v>38</v>
      </c>
      <c r="Q498" t="s">
        <v>50</v>
      </c>
      <c r="R498">
        <v>0</v>
      </c>
      <c r="S498" t="s">
        <v>45</v>
      </c>
      <c r="T498" t="str" s="2">
        <f>=HYPERLINK("http://demo.enginatics.com:80/ecc/user/applications/log/63324.log","http://demo.enginatics.com:80/ecc/user/applications/log/63324.log")</f>
        <v>"http://demo.enginatics.com:80/ecc/user/applications/log/63324.log")</v>
      </c>
      <c r="U498">
        <v>63326</v>
      </c>
      <c r="V498" t="s">
        <v>38</v>
      </c>
      <c r="W498" t="s">
        <v>50</v>
      </c>
      <c r="X498">
        <v>0</v>
      </c>
      <c r="Y498">
        <v>0</v>
      </c>
      <c r="Z498" t="s">
        <v>46</v>
      </c>
      <c r="AA498">
        <v>63327</v>
      </c>
      <c r="AB498" t="s">
        <v>195</v>
      </c>
      <c r="AC498" t="s">
        <v>68</v>
      </c>
      <c r="AD498" t="s">
        <v>38</v>
      </c>
      <c r="AE498" t="s">
        <v>49</v>
      </c>
      <c r="AF498" t="s">
        <v>50</v>
      </c>
      <c r="AG498">
        <v>0</v>
      </c>
      <c r="AH498">
        <v>0</v>
      </c>
      <c r="AI498" t="s">
        <v>51</v>
      </c>
      <c r="AJ498" t="s">
        <v>51</v>
      </c>
      <c r="AK498" t="s">
        <v>51</v>
      </c>
    </row>
    <row r="499" spans="1:37" x14ac:dyDescent="0.2">
      <c r="A499">
        <v>63321</v>
      </c>
      <c r="B499" t="s">
        <v>37</v>
      </c>
      <c r="C499" t="s">
        <v>196</v>
      </c>
      <c r="D499" t="s">
        <v>169</v>
      </c>
      <c r="E499" t="s">
        <v>197</v>
      </c>
      <c r="G499" s="4">
        <v>43948.180659722222</v>
      </c>
      <c r="H499" s="4">
        <v>43948.180671296296</v>
      </c>
      <c r="I499" t="s">
        <v>50</v>
      </c>
      <c r="J499" s="5">
        <v>.9999999999999999999999999999999999999996</v>
      </c>
      <c r="K499" t="s">
        <v>196</v>
      </c>
      <c r="M499">
        <v>63322</v>
      </c>
      <c r="N499" t="s">
        <v>197</v>
      </c>
      <c r="O499" t="s">
        <v>198</v>
      </c>
      <c r="P499" t="s">
        <v>196</v>
      </c>
      <c r="Q499" t="s">
        <v>50</v>
      </c>
      <c r="R499">
        <v>.9999999999999999999999999999999999999996</v>
      </c>
      <c r="S499" t="s">
        <v>199</v>
      </c>
      <c r="T499" t="str" s="2">
        <f>=HYPERLINK("http://demo.enginatics.com:80/ecc/user/applications/log/63321.log","http://demo.enginatics.com:80/ecc/user/applications/log/63321.log")</f>
        <v>"http://demo.enginatics.com:80/ecc/user/applications/log/63321.log")</v>
      </c>
      <c r="U499">
        <v>63323</v>
      </c>
      <c r="V499" t="s">
        <v>196</v>
      </c>
      <c r="W499" t="s">
        <v>50</v>
      </c>
      <c r="X499">
        <v>0</v>
      </c>
      <c r="Y499">
        <v>0</v>
      </c>
      <c r="Z499" t="s">
        <v>897</v>
      </c>
    </row>
    <row r="500" spans="1:37" x14ac:dyDescent="0.2">
      <c r="A500">
        <v>63317</v>
      </c>
      <c r="B500" t="s">
        <v>37</v>
      </c>
      <c r="C500" t="s">
        <v>38</v>
      </c>
      <c r="D500" t="s">
        <v>169</v>
      </c>
      <c r="E500" t="s">
        <v>201</v>
      </c>
      <c r="G500" s="4">
        <v>43948.175972222222</v>
      </c>
      <c r="H500" s="4">
        <v>43948.176030092593</v>
      </c>
      <c r="I500" t="s">
        <v>78</v>
      </c>
      <c r="J500" s="5">
        <v>5</v>
      </c>
      <c r="K500" t="s">
        <v>38</v>
      </c>
      <c r="M500">
        <v>63318</v>
      </c>
      <c r="N500" t="s">
        <v>201</v>
      </c>
      <c r="O500" t="s">
        <v>202</v>
      </c>
      <c r="P500" t="s">
        <v>38</v>
      </c>
      <c r="Q500" t="s">
        <v>44</v>
      </c>
      <c r="R500">
        <v>4</v>
      </c>
      <c r="S500" t="s">
        <v>45</v>
      </c>
      <c r="T500" t="str" s="2">
        <f>=HYPERLINK("http://demo.enginatics.com:80/ecc/user/applications/log/63317.log","http://demo.enginatics.com:80/ecc/user/applications/log/63317.log")</f>
        <v>"http://demo.enginatics.com:80/ecc/user/applications/log/63317.log")</v>
      </c>
      <c r="U500">
        <v>63319</v>
      </c>
      <c r="V500" t="s">
        <v>38</v>
      </c>
      <c r="W500" t="s">
        <v>44</v>
      </c>
      <c r="X500">
        <v>4</v>
      </c>
      <c r="Y500">
        <v>0</v>
      </c>
      <c r="Z500" t="s">
        <v>46</v>
      </c>
      <c r="AA500">
        <v>63320</v>
      </c>
      <c r="AB500" t="s">
        <v>898</v>
      </c>
      <c r="AC500" t="s">
        <v>68</v>
      </c>
      <c r="AD500" t="s">
        <v>38</v>
      </c>
      <c r="AE500" t="s">
        <v>49</v>
      </c>
      <c r="AF500" t="s">
        <v>50</v>
      </c>
      <c r="AG500">
        <v>.9999999999999999999999999999999999999996</v>
      </c>
      <c r="AH500">
        <v>0</v>
      </c>
      <c r="AI500" t="s">
        <v>51</v>
      </c>
      <c r="AJ500" t="s">
        <v>51</v>
      </c>
      <c r="AK500" t="s">
        <v>51</v>
      </c>
    </row>
    <row r="501" spans="1:37" x14ac:dyDescent="0.2">
      <c r="A501">
        <v>63312</v>
      </c>
      <c r="B501" t="s">
        <v>37</v>
      </c>
      <c r="C501" t="s">
        <v>38</v>
      </c>
      <c r="D501" t="s">
        <v>169</v>
      </c>
      <c r="E501" t="s">
        <v>204</v>
      </c>
      <c r="G501" s="4">
        <v>43948.175810185185</v>
      </c>
      <c r="H501" s="4">
        <v>43948.17587962963</v>
      </c>
      <c r="I501" t="s">
        <v>75</v>
      </c>
      <c r="J501" s="5">
        <v>6</v>
      </c>
      <c r="K501" t="s">
        <v>38</v>
      </c>
      <c r="M501">
        <v>63313</v>
      </c>
      <c r="N501" t="s">
        <v>204</v>
      </c>
      <c r="O501" t="s">
        <v>205</v>
      </c>
      <c r="P501" t="s">
        <v>38</v>
      </c>
      <c r="Q501" t="s">
        <v>75</v>
      </c>
      <c r="R501">
        <v>6</v>
      </c>
      <c r="S501" t="s">
        <v>45</v>
      </c>
      <c r="T501" t="str" s="2">
        <f>=HYPERLINK("http://demo.enginatics.com:80/ecc/user/applications/log/63312.log","http://demo.enginatics.com:80/ecc/user/applications/log/63312.log")</f>
        <v>"http://demo.enginatics.com:80/ecc/user/applications/log/63312.log")</v>
      </c>
      <c r="U501">
        <v>63314</v>
      </c>
      <c r="V501" t="s">
        <v>38</v>
      </c>
      <c r="W501" t="s">
        <v>75</v>
      </c>
      <c r="X501">
        <v>6</v>
      </c>
      <c r="Y501">
        <v>1</v>
      </c>
      <c r="Z501" t="s">
        <v>46</v>
      </c>
      <c r="AA501">
        <v>63316</v>
      </c>
      <c r="AB501" t="s">
        <v>206</v>
      </c>
      <c r="AC501" t="s">
        <v>68</v>
      </c>
      <c r="AD501" t="s">
        <v>38</v>
      </c>
      <c r="AE501" t="s">
        <v>49</v>
      </c>
      <c r="AF501" t="s">
        <v>50</v>
      </c>
      <c r="AG501">
        <v>.9999999999999999999999999999999999999996</v>
      </c>
      <c r="AH501">
        <v>0</v>
      </c>
      <c r="AI501" t="s">
        <v>51</v>
      </c>
      <c r="AJ501" t="s">
        <v>51</v>
      </c>
      <c r="AK501" t="s">
        <v>51</v>
      </c>
    </row>
    <row r="502" spans="1:37" x14ac:dyDescent="0.2">
      <c r="A502">
        <v>63312</v>
      </c>
      <c r="B502" t="s">
        <v>37</v>
      </c>
      <c r="C502" t="s">
        <v>38</v>
      </c>
      <c r="D502" t="s">
        <v>169</v>
      </c>
      <c r="E502" t="s">
        <v>204</v>
      </c>
      <c r="G502" s="4">
        <v>43948.175810185185</v>
      </c>
      <c r="H502" s="4">
        <v>43948.17587962963</v>
      </c>
      <c r="I502" t="s">
        <v>75</v>
      </c>
      <c r="J502" s="5">
        <v>6</v>
      </c>
      <c r="K502" t="s">
        <v>38</v>
      </c>
      <c r="M502">
        <v>63313</v>
      </c>
      <c r="N502" t="s">
        <v>204</v>
      </c>
      <c r="O502" t="s">
        <v>205</v>
      </c>
      <c r="P502" t="s">
        <v>38</v>
      </c>
      <c r="Q502" t="s">
        <v>75</v>
      </c>
      <c r="R502">
        <v>6</v>
      </c>
      <c r="S502" t="s">
        <v>45</v>
      </c>
      <c r="T502" t="str" s="2">
        <f>=HYPERLINK("http://demo.enginatics.com:80/ecc/user/applications/log/63312.log","http://demo.enginatics.com:80/ecc/user/applications/log/63312.log")</f>
        <v>"http://demo.enginatics.com:80/ecc/user/applications/log/63312.log")</v>
      </c>
      <c r="U502">
        <v>63314</v>
      </c>
      <c r="V502" t="s">
        <v>38</v>
      </c>
      <c r="W502" t="s">
        <v>75</v>
      </c>
      <c r="X502">
        <v>6</v>
      </c>
      <c r="Y502">
        <v>1</v>
      </c>
      <c r="Z502" t="s">
        <v>46</v>
      </c>
      <c r="AA502">
        <v>63315</v>
      </c>
      <c r="AB502" t="s">
        <v>207</v>
      </c>
      <c r="AC502" t="s">
        <v>56</v>
      </c>
      <c r="AD502" t="s">
        <v>38</v>
      </c>
      <c r="AE502" t="s">
        <v>49</v>
      </c>
      <c r="AF502" t="s">
        <v>85</v>
      </c>
      <c r="AG502">
        <v>3</v>
      </c>
      <c r="AH502">
        <v>1</v>
      </c>
      <c r="AI502" t="s">
        <v>51</v>
      </c>
      <c r="AJ502" t="s">
        <v>51</v>
      </c>
      <c r="AK502" t="s">
        <v>51</v>
      </c>
    </row>
    <row r="503" spans="1:37" x14ac:dyDescent="0.2">
      <c r="A503">
        <v>63307</v>
      </c>
      <c r="B503" t="s">
        <v>37</v>
      </c>
      <c r="C503" t="s">
        <v>38</v>
      </c>
      <c r="D503" t="s">
        <v>169</v>
      </c>
      <c r="E503" t="s">
        <v>208</v>
      </c>
      <c r="G503" s="4">
        <v>43948.175706018519</v>
      </c>
      <c r="H503" s="4">
        <v>43948.175717592593</v>
      </c>
      <c r="I503" t="s">
        <v>50</v>
      </c>
      <c r="J503" s="5">
        <v>.9999999999999999999999999999999999999996</v>
      </c>
      <c r="K503" t="s">
        <v>38</v>
      </c>
      <c r="M503">
        <v>63308</v>
      </c>
      <c r="N503" t="s">
        <v>208</v>
      </c>
      <c r="O503" t="s">
        <v>209</v>
      </c>
      <c r="P503" t="s">
        <v>38</v>
      </c>
      <c r="Q503" t="s">
        <v>50</v>
      </c>
      <c r="R503">
        <v>.9999999999999999999999999999999999999996</v>
      </c>
      <c r="S503" t="s">
        <v>45</v>
      </c>
      <c r="T503" t="str" s="2">
        <f>=HYPERLINK("http://demo.enginatics.com:80/ecc/user/applications/log/63307.log","http://demo.enginatics.com:80/ecc/user/applications/log/63307.log")</f>
        <v>"http://demo.enginatics.com:80/ecc/user/applications/log/63307.log")</v>
      </c>
      <c r="U503">
        <v>63309</v>
      </c>
      <c r="V503" t="s">
        <v>38</v>
      </c>
      <c r="W503" t="s">
        <v>50</v>
      </c>
      <c r="X503">
        <v>.9999999999999999999999999999999999999996</v>
      </c>
      <c r="Y503">
        <v>0</v>
      </c>
      <c r="Z503" t="s">
        <v>46</v>
      </c>
      <c r="AA503">
        <v>63311</v>
      </c>
      <c r="AB503" t="s">
        <v>210</v>
      </c>
      <c r="AC503" t="s">
        <v>48</v>
      </c>
      <c r="AD503" t="s">
        <v>38</v>
      </c>
      <c r="AE503" t="s">
        <v>49</v>
      </c>
      <c r="AF503" t="s">
        <v>50</v>
      </c>
      <c r="AG503">
        <v>0</v>
      </c>
      <c r="AH503">
        <v>0</v>
      </c>
      <c r="AI503" t="s">
        <v>51</v>
      </c>
      <c r="AJ503" t="s">
        <v>51</v>
      </c>
      <c r="AK503" t="s">
        <v>51</v>
      </c>
    </row>
    <row r="504" spans="1:37" x14ac:dyDescent="0.2">
      <c r="A504">
        <v>63307</v>
      </c>
      <c r="B504" t="s">
        <v>37</v>
      </c>
      <c r="C504" t="s">
        <v>38</v>
      </c>
      <c r="D504" t="s">
        <v>169</v>
      </c>
      <c r="E504" t="s">
        <v>208</v>
      </c>
      <c r="G504" s="4">
        <v>43948.175706018519</v>
      </c>
      <c r="H504" s="4">
        <v>43948.175717592593</v>
      </c>
      <c r="I504" t="s">
        <v>50</v>
      </c>
      <c r="J504" s="5">
        <v>.9999999999999999999999999999999999999996</v>
      </c>
      <c r="K504" t="s">
        <v>38</v>
      </c>
      <c r="M504">
        <v>63308</v>
      </c>
      <c r="N504" t="s">
        <v>208</v>
      </c>
      <c r="O504" t="s">
        <v>209</v>
      </c>
      <c r="P504" t="s">
        <v>38</v>
      </c>
      <c r="Q504" t="s">
        <v>50</v>
      </c>
      <c r="R504">
        <v>.9999999999999999999999999999999999999996</v>
      </c>
      <c r="S504" t="s">
        <v>45</v>
      </c>
      <c r="T504" t="str" s="2">
        <f>=HYPERLINK("http://demo.enginatics.com:80/ecc/user/applications/log/63307.log","http://demo.enginatics.com:80/ecc/user/applications/log/63307.log")</f>
        <v>"http://demo.enginatics.com:80/ecc/user/applications/log/63307.log")</v>
      </c>
      <c r="U504">
        <v>63309</v>
      </c>
      <c r="V504" t="s">
        <v>38</v>
      </c>
      <c r="W504" t="s">
        <v>50</v>
      </c>
      <c r="X504">
        <v>.9999999999999999999999999999999999999996</v>
      </c>
      <c r="Y504">
        <v>0</v>
      </c>
      <c r="Z504" t="s">
        <v>46</v>
      </c>
      <c r="AA504">
        <v>63310</v>
      </c>
      <c r="AB504" t="s">
        <v>211</v>
      </c>
      <c r="AC504" t="s">
        <v>56</v>
      </c>
      <c r="AD504" t="s">
        <v>38</v>
      </c>
      <c r="AE504" t="s">
        <v>49</v>
      </c>
      <c r="AF504" t="s">
        <v>50</v>
      </c>
      <c r="AG504">
        <v>0</v>
      </c>
      <c r="AH504">
        <v>0</v>
      </c>
      <c r="AI504" t="s">
        <v>51</v>
      </c>
      <c r="AJ504" t="s">
        <v>51</v>
      </c>
      <c r="AK504" t="s">
        <v>51</v>
      </c>
    </row>
    <row r="505" spans="1:37" x14ac:dyDescent="0.2">
      <c r="A505">
        <v>63303</v>
      </c>
      <c r="B505" t="s">
        <v>37</v>
      </c>
      <c r="C505" t="s">
        <v>38</v>
      </c>
      <c r="D505" t="s">
        <v>169</v>
      </c>
      <c r="E505" t="s">
        <v>212</v>
      </c>
      <c r="G505" s="4">
        <v>43948.17556712963</v>
      </c>
      <c r="H505" s="4">
        <v>43948.175578703704</v>
      </c>
      <c r="I505" t="s">
        <v>50</v>
      </c>
      <c r="J505" s="5">
        <v>.9999999999999999999999999999999999999996</v>
      </c>
      <c r="K505" t="s">
        <v>38</v>
      </c>
      <c r="M505">
        <v>63304</v>
      </c>
      <c r="N505" t="s">
        <v>212</v>
      </c>
      <c r="O505" t="s">
        <v>213</v>
      </c>
      <c r="P505" t="s">
        <v>38</v>
      </c>
      <c r="Q505" t="s">
        <v>50</v>
      </c>
      <c r="R505">
        <v>.9999999999999999999999999999999999999996</v>
      </c>
      <c r="S505" t="s">
        <v>45</v>
      </c>
      <c r="T505" t="str" s="2">
        <f>=HYPERLINK("http://demo.enginatics.com:80/ecc/user/applications/log/63303.log","http://demo.enginatics.com:80/ecc/user/applications/log/63303.log")</f>
        <v>"http://demo.enginatics.com:80/ecc/user/applications/log/63303.log")</v>
      </c>
      <c r="U505">
        <v>63305</v>
      </c>
      <c r="V505" t="s">
        <v>38</v>
      </c>
      <c r="W505" t="s">
        <v>50</v>
      </c>
      <c r="X505">
        <v>0</v>
      </c>
      <c r="Y505">
        <v>0</v>
      </c>
      <c r="Z505" t="s">
        <v>46</v>
      </c>
      <c r="AA505">
        <v>63306</v>
      </c>
      <c r="AB505" t="s">
        <v>899</v>
      </c>
      <c r="AC505" t="s">
        <v>68</v>
      </c>
      <c r="AD505" t="s">
        <v>38</v>
      </c>
      <c r="AE505" t="s">
        <v>49</v>
      </c>
      <c r="AF505" t="s">
        <v>50</v>
      </c>
      <c r="AG505">
        <v>0</v>
      </c>
      <c r="AH505">
        <v>0</v>
      </c>
      <c r="AI505" t="s">
        <v>51</v>
      </c>
      <c r="AJ505" t="s">
        <v>51</v>
      </c>
      <c r="AK505" t="s">
        <v>51</v>
      </c>
    </row>
    <row r="506" spans="1:37" x14ac:dyDescent="0.2">
      <c r="A506">
        <v>63298</v>
      </c>
      <c r="B506" t="s">
        <v>37</v>
      </c>
      <c r="C506" t="s">
        <v>38</v>
      </c>
      <c r="D506" t="s">
        <v>169</v>
      </c>
      <c r="E506" t="s">
        <v>215</v>
      </c>
      <c r="G506" s="4">
        <v>43948.175462962963</v>
      </c>
      <c r="H506" s="4">
        <v>43948.175474537037</v>
      </c>
      <c r="I506" t="s">
        <v>50</v>
      </c>
      <c r="J506" s="5">
        <v>.9999999999999999999999999999999999999996</v>
      </c>
      <c r="K506" t="s">
        <v>38</v>
      </c>
      <c r="M506">
        <v>63299</v>
      </c>
      <c r="N506" t="s">
        <v>215</v>
      </c>
      <c r="O506" t="s">
        <v>216</v>
      </c>
      <c r="P506" t="s">
        <v>38</v>
      </c>
      <c r="Q506" t="s">
        <v>50</v>
      </c>
      <c r="R506">
        <v>.9999999999999999999999999999999999999996</v>
      </c>
      <c r="S506" t="s">
        <v>45</v>
      </c>
      <c r="T506" t="str" s="2">
        <f>=HYPERLINK("http://demo.enginatics.com:80/ecc/user/applications/log/63298.log","http://demo.enginatics.com:80/ecc/user/applications/log/63298.log")</f>
        <v>"http://demo.enginatics.com:80/ecc/user/applications/log/63298.log")</v>
      </c>
      <c r="U506">
        <v>63300</v>
      </c>
      <c r="V506" t="s">
        <v>38</v>
      </c>
      <c r="W506" t="s">
        <v>50</v>
      </c>
      <c r="X506">
        <v>.9999999999999999999999999999999999999996</v>
      </c>
      <c r="Y506">
        <v>0</v>
      </c>
      <c r="Z506" t="s">
        <v>46</v>
      </c>
      <c r="AA506">
        <v>63302</v>
      </c>
      <c r="AB506" t="s">
        <v>217</v>
      </c>
      <c r="AC506" t="s">
        <v>48</v>
      </c>
      <c r="AD506" t="s">
        <v>38</v>
      </c>
      <c r="AE506" t="s">
        <v>49</v>
      </c>
      <c r="AF506" t="s">
        <v>50</v>
      </c>
      <c r="AG506">
        <v>0</v>
      </c>
      <c r="AH506">
        <v>0</v>
      </c>
      <c r="AI506" t="s">
        <v>51</v>
      </c>
      <c r="AJ506" t="s">
        <v>51</v>
      </c>
      <c r="AK506" t="s">
        <v>51</v>
      </c>
    </row>
    <row r="507" spans="1:37" x14ac:dyDescent="0.2">
      <c r="A507">
        <v>63298</v>
      </c>
      <c r="B507" t="s">
        <v>37</v>
      </c>
      <c r="C507" t="s">
        <v>38</v>
      </c>
      <c r="D507" t="s">
        <v>169</v>
      </c>
      <c r="E507" t="s">
        <v>215</v>
      </c>
      <c r="G507" s="4">
        <v>43948.175462962963</v>
      </c>
      <c r="H507" s="4">
        <v>43948.175474537037</v>
      </c>
      <c r="I507" t="s">
        <v>50</v>
      </c>
      <c r="J507" s="5">
        <v>.9999999999999999999999999999999999999996</v>
      </c>
      <c r="K507" t="s">
        <v>38</v>
      </c>
      <c r="M507">
        <v>63299</v>
      </c>
      <c r="N507" t="s">
        <v>215</v>
      </c>
      <c r="O507" t="s">
        <v>216</v>
      </c>
      <c r="P507" t="s">
        <v>38</v>
      </c>
      <c r="Q507" t="s">
        <v>50</v>
      </c>
      <c r="R507">
        <v>.9999999999999999999999999999999999999996</v>
      </c>
      <c r="S507" t="s">
        <v>45</v>
      </c>
      <c r="T507" t="str" s="2">
        <f>=HYPERLINK("http://demo.enginatics.com:80/ecc/user/applications/log/63298.log","http://demo.enginatics.com:80/ecc/user/applications/log/63298.log")</f>
        <v>"http://demo.enginatics.com:80/ecc/user/applications/log/63298.log")</v>
      </c>
      <c r="U507">
        <v>63300</v>
      </c>
      <c r="V507" t="s">
        <v>38</v>
      </c>
      <c r="W507" t="s">
        <v>50</v>
      </c>
      <c r="X507">
        <v>.9999999999999999999999999999999999999996</v>
      </c>
      <c r="Y507">
        <v>0</v>
      </c>
      <c r="Z507" t="s">
        <v>46</v>
      </c>
      <c r="AA507">
        <v>63301</v>
      </c>
      <c r="AB507" t="s">
        <v>218</v>
      </c>
      <c r="AC507" t="s">
        <v>56</v>
      </c>
      <c r="AD507" t="s">
        <v>38</v>
      </c>
      <c r="AE507" t="s">
        <v>49</v>
      </c>
      <c r="AF507" t="s">
        <v>50</v>
      </c>
      <c r="AG507">
        <v>.9999999999999999999999999999999999999996</v>
      </c>
      <c r="AH507">
        <v>0</v>
      </c>
      <c r="AI507" t="s">
        <v>51</v>
      </c>
      <c r="AJ507" t="s">
        <v>51</v>
      </c>
      <c r="AK507" t="s">
        <v>51</v>
      </c>
    </row>
    <row r="508" spans="1:37" x14ac:dyDescent="0.2">
      <c r="A508">
        <v>63293</v>
      </c>
      <c r="B508" t="s">
        <v>37</v>
      </c>
      <c r="C508" t="s">
        <v>38</v>
      </c>
      <c r="D508" t="s">
        <v>169</v>
      </c>
      <c r="E508" t="s">
        <v>219</v>
      </c>
      <c r="G508" s="4">
        <v>43948.175081018519</v>
      </c>
      <c r="H508" s="4">
        <v>43948.175347222222</v>
      </c>
      <c r="I508" t="s">
        <v>183</v>
      </c>
      <c r="J508" s="5">
        <v>23.00000000000000000000000000000000000003</v>
      </c>
      <c r="K508" t="s">
        <v>38</v>
      </c>
      <c r="M508">
        <v>63294</v>
      </c>
      <c r="N508" t="s">
        <v>219</v>
      </c>
      <c r="O508" t="s">
        <v>220</v>
      </c>
      <c r="P508" t="s">
        <v>38</v>
      </c>
      <c r="Q508" t="s">
        <v>183</v>
      </c>
      <c r="R508">
        <v>23.00000000000000000000000000000000000003</v>
      </c>
      <c r="S508" t="s">
        <v>45</v>
      </c>
      <c r="T508" t="str" s="2">
        <f>=HYPERLINK("http://demo.enginatics.com:80/ecc/user/applications/log/63293.log","http://demo.enginatics.com:80/ecc/user/applications/log/63293.log")</f>
        <v>"http://demo.enginatics.com:80/ecc/user/applications/log/63293.log")</v>
      </c>
      <c r="U508">
        <v>63295</v>
      </c>
      <c r="V508" t="s">
        <v>38</v>
      </c>
      <c r="W508" t="s">
        <v>183</v>
      </c>
      <c r="X508">
        <v>23.00000000000000000000000000000000000003</v>
      </c>
      <c r="Y508">
        <v>22</v>
      </c>
      <c r="Z508" t="s">
        <v>46</v>
      </c>
      <c r="AA508">
        <v>63297</v>
      </c>
      <c r="AB508" t="s">
        <v>221</v>
      </c>
      <c r="AC508" t="s">
        <v>48</v>
      </c>
      <c r="AD508" t="s">
        <v>38</v>
      </c>
      <c r="AE508" t="s">
        <v>49</v>
      </c>
      <c r="AF508" t="s">
        <v>50</v>
      </c>
      <c r="AG508">
        <v>0</v>
      </c>
      <c r="AH508">
        <v>0</v>
      </c>
      <c r="AI508" t="s">
        <v>51</v>
      </c>
      <c r="AJ508" t="s">
        <v>51</v>
      </c>
      <c r="AK508" t="s">
        <v>51</v>
      </c>
    </row>
    <row r="509" spans="1:37" x14ac:dyDescent="0.2">
      <c r="A509">
        <v>63293</v>
      </c>
      <c r="B509" t="s">
        <v>37</v>
      </c>
      <c r="C509" t="s">
        <v>38</v>
      </c>
      <c r="D509" t="s">
        <v>169</v>
      </c>
      <c r="E509" t="s">
        <v>219</v>
      </c>
      <c r="G509" s="4">
        <v>43948.175081018519</v>
      </c>
      <c r="H509" s="4">
        <v>43948.175347222222</v>
      </c>
      <c r="I509" t="s">
        <v>183</v>
      </c>
      <c r="J509" s="5">
        <v>23.00000000000000000000000000000000000003</v>
      </c>
      <c r="K509" t="s">
        <v>38</v>
      </c>
      <c r="M509">
        <v>63294</v>
      </c>
      <c r="N509" t="s">
        <v>219</v>
      </c>
      <c r="O509" t="s">
        <v>220</v>
      </c>
      <c r="P509" t="s">
        <v>38</v>
      </c>
      <c r="Q509" t="s">
        <v>183</v>
      </c>
      <c r="R509">
        <v>23.00000000000000000000000000000000000003</v>
      </c>
      <c r="S509" t="s">
        <v>45</v>
      </c>
      <c r="T509" t="str" s="2">
        <f>=HYPERLINK("http://demo.enginatics.com:80/ecc/user/applications/log/63293.log","http://demo.enginatics.com:80/ecc/user/applications/log/63293.log")</f>
        <v>"http://demo.enginatics.com:80/ecc/user/applications/log/63293.log")</v>
      </c>
      <c r="U509">
        <v>63295</v>
      </c>
      <c r="V509" t="s">
        <v>38</v>
      </c>
      <c r="W509" t="s">
        <v>183</v>
      </c>
      <c r="X509">
        <v>23.00000000000000000000000000000000000003</v>
      </c>
      <c r="Y509">
        <v>22</v>
      </c>
      <c r="Z509" t="s">
        <v>46</v>
      </c>
      <c r="AA509">
        <v>63296</v>
      </c>
      <c r="AB509" t="s">
        <v>222</v>
      </c>
      <c r="AC509" t="s">
        <v>56</v>
      </c>
      <c r="AD509" t="s">
        <v>38</v>
      </c>
      <c r="AE509" t="s">
        <v>49</v>
      </c>
      <c r="AF509" t="s">
        <v>50</v>
      </c>
      <c r="AG509">
        <v>0</v>
      </c>
      <c r="AH509">
        <v>0</v>
      </c>
      <c r="AI509" t="s">
        <v>51</v>
      </c>
      <c r="AJ509" t="s">
        <v>51</v>
      </c>
      <c r="AK509" t="s">
        <v>51</v>
      </c>
    </row>
    <row r="510" spans="1:37" x14ac:dyDescent="0.2">
      <c r="A510">
        <v>63289</v>
      </c>
      <c r="B510" t="s">
        <v>37</v>
      </c>
      <c r="C510" t="s">
        <v>38</v>
      </c>
      <c r="D510" t="s">
        <v>169</v>
      </c>
      <c r="E510" t="s">
        <v>223</v>
      </c>
      <c r="G510" s="4">
        <v>43948.174131944444</v>
      </c>
      <c r="H510" s="4">
        <v>43948.174143518519</v>
      </c>
      <c r="I510" t="s">
        <v>50</v>
      </c>
      <c r="J510" s="5">
        <v>.9999999999999999999999999999999999999996</v>
      </c>
      <c r="K510" t="s">
        <v>38</v>
      </c>
      <c r="M510">
        <v>63290</v>
      </c>
      <c r="N510" t="s">
        <v>223</v>
      </c>
      <c r="O510" t="s">
        <v>224</v>
      </c>
      <c r="P510" t="s">
        <v>38</v>
      </c>
      <c r="Q510" t="s">
        <v>50</v>
      </c>
      <c r="R510">
        <v>0</v>
      </c>
      <c r="S510" t="s">
        <v>45</v>
      </c>
      <c r="T510" t="str" s="2">
        <f>=HYPERLINK("http://demo.enginatics.com:80/ecc/user/applications/log/63289.log","http://demo.enginatics.com:80/ecc/user/applications/log/63289.log")</f>
        <v>"http://demo.enginatics.com:80/ecc/user/applications/log/63289.log")</v>
      </c>
      <c r="U510">
        <v>63291</v>
      </c>
      <c r="V510" t="s">
        <v>38</v>
      </c>
      <c r="W510" t="s">
        <v>50</v>
      </c>
      <c r="X510">
        <v>0</v>
      </c>
      <c r="Y510">
        <v>0</v>
      </c>
      <c r="Z510" t="s">
        <v>46</v>
      </c>
      <c r="AA510">
        <v>63292</v>
      </c>
      <c r="AB510" t="s">
        <v>225</v>
      </c>
      <c r="AC510" t="s">
        <v>68</v>
      </c>
      <c r="AD510" t="s">
        <v>38</v>
      </c>
      <c r="AE510" t="s">
        <v>49</v>
      </c>
      <c r="AF510" t="s">
        <v>50</v>
      </c>
      <c r="AG510">
        <v>0</v>
      </c>
      <c r="AH510">
        <v>0</v>
      </c>
      <c r="AI510" t="s">
        <v>51</v>
      </c>
      <c r="AJ510" t="s">
        <v>51</v>
      </c>
      <c r="AK510" t="s">
        <v>51</v>
      </c>
    </row>
    <row r="511" spans="1:37" x14ac:dyDescent="0.2">
      <c r="A511">
        <v>63285</v>
      </c>
      <c r="B511" t="s">
        <v>37</v>
      </c>
      <c r="C511" t="s">
        <v>38</v>
      </c>
      <c r="D511" t="s">
        <v>169</v>
      </c>
      <c r="E511" t="s">
        <v>226</v>
      </c>
      <c r="G511" s="4">
        <v>43948.173912037037</v>
      </c>
      <c r="H511" s="4">
        <v>43948.173923611111</v>
      </c>
      <c r="I511" t="s">
        <v>50</v>
      </c>
      <c r="J511" s="5">
        <v>.9999999999999999999999999999999999999996</v>
      </c>
      <c r="K511" t="s">
        <v>38</v>
      </c>
      <c r="M511">
        <v>63286</v>
      </c>
      <c r="N511" t="s">
        <v>226</v>
      </c>
      <c r="O511" t="s">
        <v>227</v>
      </c>
      <c r="P511" t="s">
        <v>38</v>
      </c>
      <c r="Q511" t="s">
        <v>50</v>
      </c>
      <c r="R511">
        <v>.9999999999999999999999999999999999999996</v>
      </c>
      <c r="S511" t="s">
        <v>45</v>
      </c>
      <c r="T511" t="str" s="2">
        <f>=HYPERLINK("http://demo.enginatics.com:80/ecc/user/applications/log/63285.log","http://demo.enginatics.com:80/ecc/user/applications/log/63285.log")</f>
        <v>"http://demo.enginatics.com:80/ecc/user/applications/log/63285.log")</v>
      </c>
      <c r="U511">
        <v>63287</v>
      </c>
      <c r="V511" t="s">
        <v>38</v>
      </c>
      <c r="W511" t="s">
        <v>50</v>
      </c>
      <c r="X511">
        <v>.9999999999999999999999999999999999999996</v>
      </c>
      <c r="Y511">
        <v>0</v>
      </c>
      <c r="Z511" t="s">
        <v>46</v>
      </c>
      <c r="AA511">
        <v>63288</v>
      </c>
      <c r="AB511" t="s">
        <v>228</v>
      </c>
      <c r="AC511" t="s">
        <v>68</v>
      </c>
      <c r="AD511" t="s">
        <v>38</v>
      </c>
      <c r="AE511" t="s">
        <v>49</v>
      </c>
      <c r="AF511" t="s">
        <v>50</v>
      </c>
      <c r="AG511">
        <v>0</v>
      </c>
      <c r="AH511">
        <v>0</v>
      </c>
      <c r="AI511" t="s">
        <v>51</v>
      </c>
      <c r="AJ511" t="s">
        <v>51</v>
      </c>
      <c r="AK511" t="s">
        <v>51</v>
      </c>
    </row>
    <row r="512" spans="1:37" x14ac:dyDescent="0.2">
      <c r="A512">
        <v>63281</v>
      </c>
      <c r="B512" t="s">
        <v>37</v>
      </c>
      <c r="C512" t="s">
        <v>38</v>
      </c>
      <c r="D512" t="s">
        <v>169</v>
      </c>
      <c r="E512" t="s">
        <v>229</v>
      </c>
      <c r="G512" s="4">
        <v>43948.173761574074</v>
      </c>
      <c r="H512" s="4">
        <v>43948.173773148148</v>
      </c>
      <c r="I512" t="s">
        <v>50</v>
      </c>
      <c r="J512" s="5">
        <v>.9999999999999999999999999999999999999996</v>
      </c>
      <c r="K512" t="s">
        <v>38</v>
      </c>
      <c r="M512">
        <v>63282</v>
      </c>
      <c r="N512" t="s">
        <v>229</v>
      </c>
      <c r="O512" t="s">
        <v>230</v>
      </c>
      <c r="P512" t="s">
        <v>38</v>
      </c>
      <c r="Q512" t="s">
        <v>50</v>
      </c>
      <c r="R512">
        <v>.9999999999999999999999999999999999999996</v>
      </c>
      <c r="S512" t="s">
        <v>45</v>
      </c>
      <c r="T512" t="str" s="2">
        <f>=HYPERLINK("http://demo.enginatics.com:80/ecc/user/applications/log/63281.log","http://demo.enginatics.com:80/ecc/user/applications/log/63281.log")</f>
        <v>"http://demo.enginatics.com:80/ecc/user/applications/log/63281.log")</v>
      </c>
      <c r="U512">
        <v>63283</v>
      </c>
      <c r="V512" t="s">
        <v>38</v>
      </c>
      <c r="W512" t="s">
        <v>50</v>
      </c>
      <c r="X512">
        <v>.9999999999999999999999999999999999999996</v>
      </c>
      <c r="Y512">
        <v>0</v>
      </c>
      <c r="Z512" t="s">
        <v>46</v>
      </c>
      <c r="AA512">
        <v>63284</v>
      </c>
      <c r="AB512" t="s">
        <v>231</v>
      </c>
      <c r="AC512" t="s">
        <v>68</v>
      </c>
      <c r="AD512" t="s">
        <v>38</v>
      </c>
      <c r="AE512" t="s">
        <v>49</v>
      </c>
      <c r="AF512" t="s">
        <v>50</v>
      </c>
      <c r="AG512">
        <v>0</v>
      </c>
      <c r="AH512">
        <v>0</v>
      </c>
      <c r="AI512" t="s">
        <v>51</v>
      </c>
      <c r="AJ512" t="s">
        <v>51</v>
      </c>
      <c r="AK512" t="s">
        <v>51</v>
      </c>
    </row>
    <row r="513" spans="1:37" x14ac:dyDescent="0.2">
      <c r="A513">
        <v>63277</v>
      </c>
      <c r="B513" t="s">
        <v>37</v>
      </c>
      <c r="C513" t="s">
        <v>38</v>
      </c>
      <c r="D513" t="s">
        <v>169</v>
      </c>
      <c r="E513" t="s">
        <v>232</v>
      </c>
      <c r="G513" s="4">
        <v>43948.173622685185</v>
      </c>
      <c r="H513" s="4">
        <v>43948.173634259259</v>
      </c>
      <c r="I513" t="s">
        <v>50</v>
      </c>
      <c r="J513" s="5">
        <v>.9999999999999999999999999999999999999996</v>
      </c>
      <c r="K513" t="s">
        <v>38</v>
      </c>
      <c r="M513">
        <v>63278</v>
      </c>
      <c r="N513" t="s">
        <v>232</v>
      </c>
      <c r="O513" t="s">
        <v>233</v>
      </c>
      <c r="P513" t="s">
        <v>38</v>
      </c>
      <c r="Q513" t="s">
        <v>50</v>
      </c>
      <c r="R513">
        <v>.9999999999999999999999999999999999999996</v>
      </c>
      <c r="S513" t="s">
        <v>45</v>
      </c>
      <c r="T513" t="str" s="2">
        <f>=HYPERLINK("http://demo.enginatics.com:80/ecc/user/applications/log/63277.log","http://demo.enginatics.com:80/ecc/user/applications/log/63277.log")</f>
        <v>"http://demo.enginatics.com:80/ecc/user/applications/log/63277.log")</v>
      </c>
      <c r="U513">
        <v>63279</v>
      </c>
      <c r="V513" t="s">
        <v>38</v>
      </c>
      <c r="W513" t="s">
        <v>50</v>
      </c>
      <c r="X513">
        <v>0</v>
      </c>
      <c r="Y513">
        <v>0</v>
      </c>
      <c r="Z513" t="s">
        <v>46</v>
      </c>
      <c r="AA513">
        <v>63280</v>
      </c>
      <c r="AB513" t="s">
        <v>234</v>
      </c>
      <c r="AC513" t="s">
        <v>68</v>
      </c>
      <c r="AD513" t="s">
        <v>38</v>
      </c>
      <c r="AE513" t="s">
        <v>49</v>
      </c>
      <c r="AF513" t="s">
        <v>50</v>
      </c>
      <c r="AG513">
        <v>0</v>
      </c>
      <c r="AH513">
        <v>0</v>
      </c>
      <c r="AI513" t="s">
        <v>51</v>
      </c>
      <c r="AJ513" t="s">
        <v>51</v>
      </c>
      <c r="AK513" t="s">
        <v>51</v>
      </c>
    </row>
    <row r="514" spans="1:37" x14ac:dyDescent="0.2">
      <c r="A514">
        <v>63273</v>
      </c>
      <c r="B514" t="s">
        <v>37</v>
      </c>
      <c r="C514" t="s">
        <v>38</v>
      </c>
      <c r="D514" t="s">
        <v>169</v>
      </c>
      <c r="E514" t="s">
        <v>235</v>
      </c>
      <c r="G514" s="4">
        <v>43948.173449074074</v>
      </c>
      <c r="H514" s="4">
        <v>43948.173518518519</v>
      </c>
      <c r="I514" t="s">
        <v>75</v>
      </c>
      <c r="J514" s="5">
        <v>6</v>
      </c>
      <c r="K514" t="s">
        <v>38</v>
      </c>
      <c r="M514">
        <v>63274</v>
      </c>
      <c r="N514" t="s">
        <v>235</v>
      </c>
      <c r="O514" t="s">
        <v>237</v>
      </c>
      <c r="P514" t="s">
        <v>38</v>
      </c>
      <c r="Q514" t="s">
        <v>75</v>
      </c>
      <c r="R514">
        <v>6</v>
      </c>
      <c r="S514" t="s">
        <v>45</v>
      </c>
      <c r="T514" t="str" s="2">
        <f>=HYPERLINK("http://demo.enginatics.com:80/ecc/user/applications/log/63273.log","http://demo.enginatics.com:80/ecc/user/applications/log/63273.log")</f>
        <v>"http://demo.enginatics.com:80/ecc/user/applications/log/63273.log")</v>
      </c>
      <c r="U514">
        <v>63275</v>
      </c>
      <c r="V514" t="s">
        <v>38</v>
      </c>
      <c r="W514" t="s">
        <v>75</v>
      </c>
      <c r="X514">
        <v>6</v>
      </c>
      <c r="Y514">
        <v>0</v>
      </c>
      <c r="Z514" t="s">
        <v>46</v>
      </c>
      <c r="AA514">
        <v>63276</v>
      </c>
      <c r="AB514" t="s">
        <v>239</v>
      </c>
      <c r="AC514" t="s">
        <v>68</v>
      </c>
      <c r="AD514" t="s">
        <v>38</v>
      </c>
      <c r="AE514" t="s">
        <v>240</v>
      </c>
      <c r="AF514" t="s">
        <v>78</v>
      </c>
      <c r="AG514">
        <v>5</v>
      </c>
      <c r="AH514">
        <v>0</v>
      </c>
      <c r="AI514" t="s">
        <v>241</v>
      </c>
      <c r="AJ514" t="s">
        <v>51</v>
      </c>
      <c r="AK514" t="s">
        <v>241</v>
      </c>
    </row>
    <row r="515" spans="1:37" x14ac:dyDescent="0.2">
      <c r="A515">
        <v>63268</v>
      </c>
      <c r="B515" t="s">
        <v>37</v>
      </c>
      <c r="C515" t="s">
        <v>38</v>
      </c>
      <c r="D515" t="s">
        <v>169</v>
      </c>
      <c r="E515" t="s">
        <v>242</v>
      </c>
      <c r="G515" s="4">
        <v>43948.173310185185</v>
      </c>
      <c r="H515" s="4">
        <v>43948.173321759259</v>
      </c>
      <c r="I515" t="s">
        <v>50</v>
      </c>
      <c r="J515" s="5">
        <v>.9999999999999999999999999999999999999996</v>
      </c>
      <c r="K515" t="s">
        <v>38</v>
      </c>
      <c r="M515">
        <v>63269</v>
      </c>
      <c r="N515" t="s">
        <v>242</v>
      </c>
      <c r="O515" t="s">
        <v>243</v>
      </c>
      <c r="P515" t="s">
        <v>38</v>
      </c>
      <c r="Q515" t="s">
        <v>50</v>
      </c>
      <c r="R515">
        <v>.9999999999999999999999999999999999999996</v>
      </c>
      <c r="S515" t="s">
        <v>45</v>
      </c>
      <c r="T515" t="str" s="2">
        <f>=HYPERLINK("http://demo.enginatics.com:80/ecc/user/applications/log/63268.log","http://demo.enginatics.com:80/ecc/user/applications/log/63268.log")</f>
        <v>"http://demo.enginatics.com:80/ecc/user/applications/log/63268.log")</v>
      </c>
      <c r="U515">
        <v>63270</v>
      </c>
      <c r="V515" t="s">
        <v>38</v>
      </c>
      <c r="W515" t="s">
        <v>50</v>
      </c>
      <c r="X515">
        <v>.9999999999999999999999999999999999999996</v>
      </c>
      <c r="Y515">
        <v>0</v>
      </c>
      <c r="Z515" t="s">
        <v>46</v>
      </c>
      <c r="AA515">
        <v>63272</v>
      </c>
      <c r="AB515" t="s">
        <v>244</v>
      </c>
      <c r="AC515" t="s">
        <v>56</v>
      </c>
      <c r="AD515" t="s">
        <v>38</v>
      </c>
      <c r="AE515" t="s">
        <v>49</v>
      </c>
      <c r="AF515" t="s">
        <v>50</v>
      </c>
      <c r="AG515">
        <v>0</v>
      </c>
      <c r="AH515">
        <v>0</v>
      </c>
      <c r="AI515" t="s">
        <v>51</v>
      </c>
      <c r="AJ515" t="s">
        <v>51</v>
      </c>
      <c r="AK515" t="s">
        <v>51</v>
      </c>
    </row>
    <row r="516" spans="1:37" x14ac:dyDescent="0.2">
      <c r="A516">
        <v>63268</v>
      </c>
      <c r="B516" t="s">
        <v>37</v>
      </c>
      <c r="C516" t="s">
        <v>38</v>
      </c>
      <c r="D516" t="s">
        <v>169</v>
      </c>
      <c r="E516" t="s">
        <v>242</v>
      </c>
      <c r="G516" s="4">
        <v>43948.173310185185</v>
      </c>
      <c r="H516" s="4">
        <v>43948.173321759259</v>
      </c>
      <c r="I516" t="s">
        <v>50</v>
      </c>
      <c r="J516" s="5">
        <v>.9999999999999999999999999999999999999996</v>
      </c>
      <c r="K516" t="s">
        <v>38</v>
      </c>
      <c r="M516">
        <v>63269</v>
      </c>
      <c r="N516" t="s">
        <v>242</v>
      </c>
      <c r="O516" t="s">
        <v>243</v>
      </c>
      <c r="P516" t="s">
        <v>38</v>
      </c>
      <c r="Q516" t="s">
        <v>50</v>
      </c>
      <c r="R516">
        <v>.9999999999999999999999999999999999999996</v>
      </c>
      <c r="S516" t="s">
        <v>45</v>
      </c>
      <c r="T516" t="str" s="2">
        <f>=HYPERLINK("http://demo.enginatics.com:80/ecc/user/applications/log/63268.log","http://demo.enginatics.com:80/ecc/user/applications/log/63268.log")</f>
        <v>"http://demo.enginatics.com:80/ecc/user/applications/log/63268.log")</v>
      </c>
      <c r="U516">
        <v>63270</v>
      </c>
      <c r="V516" t="s">
        <v>38</v>
      </c>
      <c r="W516" t="s">
        <v>50</v>
      </c>
      <c r="X516">
        <v>.9999999999999999999999999999999999999996</v>
      </c>
      <c r="Y516">
        <v>0</v>
      </c>
      <c r="Z516" t="s">
        <v>46</v>
      </c>
      <c r="AA516">
        <v>63271</v>
      </c>
      <c r="AB516" t="s">
        <v>245</v>
      </c>
      <c r="AC516" t="s">
        <v>68</v>
      </c>
      <c r="AD516" t="s">
        <v>38</v>
      </c>
      <c r="AE516" t="s">
        <v>49</v>
      </c>
      <c r="AF516" t="s">
        <v>50</v>
      </c>
      <c r="AG516">
        <v>0</v>
      </c>
      <c r="AH516">
        <v>0</v>
      </c>
      <c r="AI516" t="s">
        <v>51</v>
      </c>
      <c r="AJ516" t="s">
        <v>51</v>
      </c>
      <c r="AK516" t="s">
        <v>51</v>
      </c>
    </row>
    <row r="517" spans="1:37" x14ac:dyDescent="0.2">
      <c r="A517">
        <v>63264</v>
      </c>
      <c r="B517" t="s">
        <v>37</v>
      </c>
      <c r="C517" t="s">
        <v>38</v>
      </c>
      <c r="D517" t="s">
        <v>169</v>
      </c>
      <c r="E517" t="s">
        <v>246</v>
      </c>
      <c r="G517" s="4">
        <v>43948.170717592593</v>
      </c>
      <c r="H517" s="4">
        <v>43948.170787037037</v>
      </c>
      <c r="I517" t="s">
        <v>75</v>
      </c>
      <c r="J517" s="5">
        <v>6</v>
      </c>
      <c r="K517" t="s">
        <v>38</v>
      </c>
      <c r="M517">
        <v>63265</v>
      </c>
      <c r="N517" t="s">
        <v>246</v>
      </c>
      <c r="O517" t="s">
        <v>248</v>
      </c>
      <c r="P517" t="s">
        <v>38</v>
      </c>
      <c r="Q517" t="s">
        <v>75</v>
      </c>
      <c r="R517">
        <v>6</v>
      </c>
      <c r="S517" t="s">
        <v>45</v>
      </c>
      <c r="T517" t="str" s="2">
        <f>=HYPERLINK("http://demo.enginatics.com:80/ecc/user/applications/log/63264.log","http://demo.enginatics.com:80/ecc/user/applications/log/63264.log")</f>
        <v>"http://demo.enginatics.com:80/ecc/user/applications/log/63264.log")</v>
      </c>
      <c r="U517">
        <v>63266</v>
      </c>
      <c r="V517" t="s">
        <v>38</v>
      </c>
      <c r="W517" t="s">
        <v>75</v>
      </c>
      <c r="X517">
        <v>6</v>
      </c>
      <c r="Y517">
        <v>6</v>
      </c>
      <c r="Z517" t="s">
        <v>46</v>
      </c>
      <c r="AA517">
        <v>63267</v>
      </c>
      <c r="AB517" t="s">
        <v>249</v>
      </c>
      <c r="AC517" t="s">
        <v>68</v>
      </c>
      <c r="AD517" t="s">
        <v>38</v>
      </c>
      <c r="AE517" t="s">
        <v>49</v>
      </c>
      <c r="AF517" t="s">
        <v>50</v>
      </c>
      <c r="AG517">
        <v>0</v>
      </c>
      <c r="AH517">
        <v>0</v>
      </c>
      <c r="AI517" t="s">
        <v>51</v>
      </c>
      <c r="AJ517" t="s">
        <v>51</v>
      </c>
      <c r="AK517" t="s">
        <v>51</v>
      </c>
    </row>
    <row r="518" spans="1:37" x14ac:dyDescent="0.2">
      <c r="A518">
        <v>63260</v>
      </c>
      <c r="B518" t="s">
        <v>37</v>
      </c>
      <c r="C518" t="s">
        <v>38</v>
      </c>
      <c r="D518" t="s">
        <v>169</v>
      </c>
      <c r="E518" t="s">
        <v>250</v>
      </c>
      <c r="G518" s="4">
        <v>43948.170543981481</v>
      </c>
      <c r="H518" s="4">
        <v>43948.170555555556</v>
      </c>
      <c r="I518" t="s">
        <v>50</v>
      </c>
      <c r="J518" s="5">
        <v>.9999999999999999999999999999999999999996</v>
      </c>
      <c r="K518" t="s">
        <v>38</v>
      </c>
      <c r="M518">
        <v>63261</v>
      </c>
      <c r="N518" t="s">
        <v>250</v>
      </c>
      <c r="O518" t="s">
        <v>251</v>
      </c>
      <c r="P518" t="s">
        <v>38</v>
      </c>
      <c r="Q518" t="s">
        <v>50</v>
      </c>
      <c r="R518">
        <v>.9999999999999999999999999999999999999996</v>
      </c>
      <c r="S518" t="s">
        <v>45</v>
      </c>
      <c r="T518" t="str" s="2">
        <f>=HYPERLINK("http://demo.enginatics.com:80/ecc/user/applications/log/63260.log","http://demo.enginatics.com:80/ecc/user/applications/log/63260.log")</f>
        <v>"http://demo.enginatics.com:80/ecc/user/applications/log/63260.log")</v>
      </c>
      <c r="U518">
        <v>63262</v>
      </c>
      <c r="V518" t="s">
        <v>38</v>
      </c>
      <c r="W518" t="s">
        <v>50</v>
      </c>
      <c r="X518">
        <v>.9999999999999999999999999999999999999996</v>
      </c>
      <c r="Y518">
        <v>0</v>
      </c>
      <c r="Z518" t="s">
        <v>46</v>
      </c>
      <c r="AA518">
        <v>63263</v>
      </c>
      <c r="AB518" t="s">
        <v>252</v>
      </c>
      <c r="AC518" t="s">
        <v>68</v>
      </c>
      <c r="AD518" t="s">
        <v>38</v>
      </c>
      <c r="AE518" t="s">
        <v>49</v>
      </c>
      <c r="AF518" t="s">
        <v>50</v>
      </c>
      <c r="AG518">
        <v>0</v>
      </c>
      <c r="AH518">
        <v>0</v>
      </c>
      <c r="AI518" t="s">
        <v>51</v>
      </c>
      <c r="AJ518" t="s">
        <v>51</v>
      </c>
      <c r="AK518" t="s">
        <v>51</v>
      </c>
    </row>
    <row r="519" spans="1:37" x14ac:dyDescent="0.2">
      <c r="A519">
        <v>63244</v>
      </c>
      <c r="B519" t="s">
        <v>37</v>
      </c>
      <c r="C519" t="s">
        <v>38</v>
      </c>
      <c r="D519" t="s">
        <v>253</v>
      </c>
      <c r="E519" t="s">
        <v>254</v>
      </c>
      <c r="G519" s="4">
        <v>43948.165648148148</v>
      </c>
      <c r="H519" s="4">
        <v>43948.165659722222</v>
      </c>
      <c r="I519" t="s">
        <v>50</v>
      </c>
      <c r="J519" s="5">
        <v>.9999999999999999999999999999999999999996</v>
      </c>
      <c r="K519" t="s">
        <v>38</v>
      </c>
      <c r="M519">
        <v>63245</v>
      </c>
      <c r="N519" t="s">
        <v>254</v>
      </c>
      <c r="O519" t="s">
        <v>255</v>
      </c>
      <c r="P519" t="s">
        <v>38</v>
      </c>
      <c r="Q519" t="s">
        <v>50</v>
      </c>
      <c r="R519">
        <v>0</v>
      </c>
      <c r="S519" t="s">
        <v>45</v>
      </c>
      <c r="T519" t="str" s="2">
        <f>=HYPERLINK("http://demo.enginatics.com:80/ecc/user/applications/log/63244.log","http://demo.enginatics.com:80/ecc/user/applications/log/63244.log")</f>
        <v>"http://demo.enginatics.com:80/ecc/user/applications/log/63244.log")</v>
      </c>
      <c r="U519">
        <v>63246</v>
      </c>
      <c r="V519" t="s">
        <v>38</v>
      </c>
      <c r="W519" t="s">
        <v>50</v>
      </c>
      <c r="X519">
        <v>0</v>
      </c>
      <c r="Y519">
        <v>0</v>
      </c>
      <c r="Z519" t="s">
        <v>46</v>
      </c>
      <c r="AA519">
        <v>63247</v>
      </c>
      <c r="AB519" t="s">
        <v>900</v>
      </c>
      <c r="AC519" t="s">
        <v>68</v>
      </c>
      <c r="AD519" t="s">
        <v>38</v>
      </c>
      <c r="AE519" t="s">
        <v>49</v>
      </c>
      <c r="AF519" t="s">
        <v>50</v>
      </c>
      <c r="AG519">
        <v>0</v>
      </c>
      <c r="AH519">
        <v>0</v>
      </c>
      <c r="AI519" t="s">
        <v>51</v>
      </c>
      <c r="AJ519" t="s">
        <v>51</v>
      </c>
      <c r="AK519" t="s">
        <v>51</v>
      </c>
    </row>
    <row r="520" spans="1:37" x14ac:dyDescent="0.2">
      <c r="A520">
        <v>63231</v>
      </c>
      <c r="B520" t="s">
        <v>37</v>
      </c>
      <c r="C520" t="s">
        <v>38</v>
      </c>
      <c r="D520" t="s">
        <v>270</v>
      </c>
      <c r="E520" t="s">
        <v>40</v>
      </c>
      <c r="G520" s="4">
        <v>43948.165590277778</v>
      </c>
      <c r="H520" s="4">
        <v>43948.165671296296</v>
      </c>
      <c r="I520" t="s">
        <v>247</v>
      </c>
      <c r="J520" s="5">
        <v>7</v>
      </c>
      <c r="K520" t="s">
        <v>38</v>
      </c>
      <c r="M520">
        <v>63257</v>
      </c>
      <c r="N520" t="s">
        <v>271</v>
      </c>
      <c r="O520" t="s">
        <v>272</v>
      </c>
      <c r="P520" t="s">
        <v>38</v>
      </c>
      <c r="Q520" t="s">
        <v>50</v>
      </c>
      <c r="R520">
        <v>0</v>
      </c>
      <c r="S520" t="s">
        <v>45</v>
      </c>
      <c r="T520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0">
        <v>63258</v>
      </c>
      <c r="V520" t="s">
        <v>38</v>
      </c>
      <c r="W520" t="s">
        <v>50</v>
      </c>
      <c r="X520">
        <v>0</v>
      </c>
      <c r="Y520">
        <v>0</v>
      </c>
      <c r="Z520" t="s">
        <v>46</v>
      </c>
      <c r="AA520">
        <v>63259</v>
      </c>
      <c r="AB520" t="s">
        <v>273</v>
      </c>
      <c r="AC520" t="s">
        <v>68</v>
      </c>
      <c r="AD520" t="s">
        <v>38</v>
      </c>
      <c r="AE520" t="s">
        <v>49</v>
      </c>
      <c r="AF520" t="s">
        <v>50</v>
      </c>
      <c r="AG520">
        <v>0</v>
      </c>
      <c r="AH520">
        <v>0</v>
      </c>
      <c r="AI520" t="s">
        <v>51</v>
      </c>
      <c r="AJ520" t="s">
        <v>51</v>
      </c>
      <c r="AK520" t="s">
        <v>51</v>
      </c>
    </row>
    <row r="521" spans="1:37" x14ac:dyDescent="0.2">
      <c r="A521">
        <v>63231</v>
      </c>
      <c r="B521" t="s">
        <v>37</v>
      </c>
      <c r="C521" t="s">
        <v>38</v>
      </c>
      <c r="D521" t="s">
        <v>270</v>
      </c>
      <c r="E521" t="s">
        <v>40</v>
      </c>
      <c r="G521" s="4">
        <v>43948.165590277778</v>
      </c>
      <c r="H521" s="4">
        <v>43948.165671296296</v>
      </c>
      <c r="I521" t="s">
        <v>247</v>
      </c>
      <c r="J521" s="5">
        <v>7</v>
      </c>
      <c r="K521" t="s">
        <v>38</v>
      </c>
      <c r="M521">
        <v>63254</v>
      </c>
      <c r="N521" t="s">
        <v>274</v>
      </c>
      <c r="O521" t="s">
        <v>275</v>
      </c>
      <c r="P521" t="s">
        <v>38</v>
      </c>
      <c r="Q521" t="s">
        <v>50</v>
      </c>
      <c r="R521">
        <v>0</v>
      </c>
      <c r="S521" t="s">
        <v>45</v>
      </c>
      <c r="T521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1">
        <v>63255</v>
      </c>
      <c r="V521" t="s">
        <v>38</v>
      </c>
      <c r="W521" t="s">
        <v>50</v>
      </c>
      <c r="X521">
        <v>0</v>
      </c>
      <c r="Y521">
        <v>0</v>
      </c>
      <c r="Z521" t="s">
        <v>46</v>
      </c>
      <c r="AA521">
        <v>63256</v>
      </c>
      <c r="AB521" t="s">
        <v>276</v>
      </c>
      <c r="AC521" t="s">
        <v>68</v>
      </c>
      <c r="AD521" t="s">
        <v>38</v>
      </c>
      <c r="AE521" t="s">
        <v>49</v>
      </c>
      <c r="AF521" t="s">
        <v>50</v>
      </c>
      <c r="AG521">
        <v>0</v>
      </c>
      <c r="AH521">
        <v>0</v>
      </c>
      <c r="AI521" t="s">
        <v>51</v>
      </c>
      <c r="AJ521" t="s">
        <v>51</v>
      </c>
      <c r="AK521" t="s">
        <v>51</v>
      </c>
    </row>
    <row r="522" spans="1:37" x14ac:dyDescent="0.2">
      <c r="A522">
        <v>63231</v>
      </c>
      <c r="B522" t="s">
        <v>37</v>
      </c>
      <c r="C522" t="s">
        <v>38</v>
      </c>
      <c r="D522" t="s">
        <v>270</v>
      </c>
      <c r="E522" t="s">
        <v>40</v>
      </c>
      <c r="G522" s="4">
        <v>43948.165590277778</v>
      </c>
      <c r="H522" s="4">
        <v>43948.165671296296</v>
      </c>
      <c r="I522" t="s">
        <v>247</v>
      </c>
      <c r="J522" s="5">
        <v>7</v>
      </c>
      <c r="K522" t="s">
        <v>38</v>
      </c>
      <c r="M522">
        <v>63251</v>
      </c>
      <c r="N522" t="s">
        <v>277</v>
      </c>
      <c r="O522" t="s">
        <v>278</v>
      </c>
      <c r="P522" t="s">
        <v>38</v>
      </c>
      <c r="Q522" t="s">
        <v>50</v>
      </c>
      <c r="R522">
        <v>0</v>
      </c>
      <c r="S522" t="s">
        <v>45</v>
      </c>
      <c r="T522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2">
        <v>63252</v>
      </c>
      <c r="V522" t="s">
        <v>38</v>
      </c>
      <c r="W522" t="s">
        <v>50</v>
      </c>
      <c r="X522">
        <v>0</v>
      </c>
      <c r="Y522">
        <v>0</v>
      </c>
      <c r="Z522" t="s">
        <v>46</v>
      </c>
      <c r="AA522">
        <v>63253</v>
      </c>
      <c r="AB522" t="s">
        <v>279</v>
      </c>
      <c r="AC522" t="s">
        <v>68</v>
      </c>
      <c r="AD522" t="s">
        <v>38</v>
      </c>
      <c r="AE522" t="s">
        <v>49</v>
      </c>
      <c r="AF522" t="s">
        <v>50</v>
      </c>
      <c r="AG522">
        <v>0</v>
      </c>
      <c r="AH522">
        <v>0</v>
      </c>
      <c r="AI522" t="s">
        <v>51</v>
      </c>
      <c r="AJ522" t="s">
        <v>51</v>
      </c>
      <c r="AK522" t="s">
        <v>51</v>
      </c>
    </row>
    <row r="523" spans="1:37" x14ac:dyDescent="0.2">
      <c r="A523">
        <v>63231</v>
      </c>
      <c r="B523" t="s">
        <v>37</v>
      </c>
      <c r="C523" t="s">
        <v>38</v>
      </c>
      <c r="D523" t="s">
        <v>270</v>
      </c>
      <c r="E523" t="s">
        <v>40</v>
      </c>
      <c r="G523" s="4">
        <v>43948.165590277778</v>
      </c>
      <c r="H523" s="4">
        <v>43948.165671296296</v>
      </c>
      <c r="I523" t="s">
        <v>247</v>
      </c>
      <c r="J523" s="5">
        <v>7</v>
      </c>
      <c r="K523" t="s">
        <v>38</v>
      </c>
      <c r="M523">
        <v>63248</v>
      </c>
      <c r="N523" t="s">
        <v>280</v>
      </c>
      <c r="O523" t="s">
        <v>281</v>
      </c>
      <c r="P523" t="s">
        <v>38</v>
      </c>
      <c r="Q523" t="s">
        <v>50</v>
      </c>
      <c r="R523">
        <v>0</v>
      </c>
      <c r="S523" t="s">
        <v>45</v>
      </c>
      <c r="T523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3">
        <v>63249</v>
      </c>
      <c r="V523" t="s">
        <v>38</v>
      </c>
      <c r="W523" t="s">
        <v>50</v>
      </c>
      <c r="X523">
        <v>0</v>
      </c>
      <c r="Y523">
        <v>0</v>
      </c>
      <c r="Z523" t="s">
        <v>46</v>
      </c>
      <c r="AA523">
        <v>63250</v>
      </c>
      <c r="AB523" t="s">
        <v>282</v>
      </c>
      <c r="AC523" t="s">
        <v>68</v>
      </c>
      <c r="AD523" t="s">
        <v>38</v>
      </c>
      <c r="AE523" t="s">
        <v>49</v>
      </c>
      <c r="AF523" t="s">
        <v>50</v>
      </c>
      <c r="AG523">
        <v>0</v>
      </c>
      <c r="AH523">
        <v>0</v>
      </c>
      <c r="AI523" t="s">
        <v>51</v>
      </c>
      <c r="AJ523" t="s">
        <v>51</v>
      </c>
      <c r="AK523" t="s">
        <v>51</v>
      </c>
    </row>
    <row r="524" spans="1:37" x14ac:dyDescent="0.2">
      <c r="A524">
        <v>63231</v>
      </c>
      <c r="B524" t="s">
        <v>37</v>
      </c>
      <c r="C524" t="s">
        <v>38</v>
      </c>
      <c r="D524" t="s">
        <v>270</v>
      </c>
      <c r="E524" t="s">
        <v>40</v>
      </c>
      <c r="G524" s="4">
        <v>43948.165590277778</v>
      </c>
      <c r="H524" s="4">
        <v>43948.165671296296</v>
      </c>
      <c r="I524" t="s">
        <v>247</v>
      </c>
      <c r="J524" s="5">
        <v>7</v>
      </c>
      <c r="K524" t="s">
        <v>38</v>
      </c>
      <c r="M524">
        <v>63241</v>
      </c>
      <c r="N524" t="s">
        <v>283</v>
      </c>
      <c r="O524" t="s">
        <v>284</v>
      </c>
      <c r="P524" t="s">
        <v>38</v>
      </c>
      <c r="Q524" t="s">
        <v>75</v>
      </c>
      <c r="R524">
        <v>6</v>
      </c>
      <c r="S524" t="s">
        <v>45</v>
      </c>
      <c r="T524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4">
        <v>63242</v>
      </c>
      <c r="V524" t="s">
        <v>38</v>
      </c>
      <c r="W524" t="s">
        <v>75</v>
      </c>
      <c r="X524">
        <v>6</v>
      </c>
      <c r="Y524">
        <v>0</v>
      </c>
      <c r="Z524" t="s">
        <v>46</v>
      </c>
      <c r="AA524">
        <v>63243</v>
      </c>
      <c r="AB524" t="s">
        <v>285</v>
      </c>
      <c r="AC524" t="s">
        <v>68</v>
      </c>
      <c r="AD524" t="s">
        <v>38</v>
      </c>
      <c r="AE524" t="s">
        <v>49</v>
      </c>
      <c r="AF524" t="s">
        <v>75</v>
      </c>
      <c r="AG524">
        <v>6</v>
      </c>
      <c r="AH524">
        <v>5</v>
      </c>
      <c r="AI524" t="s">
        <v>51</v>
      </c>
      <c r="AJ524" t="s">
        <v>51</v>
      </c>
      <c r="AK524" t="s">
        <v>51</v>
      </c>
    </row>
    <row r="525" spans="1:37" x14ac:dyDescent="0.2">
      <c r="A525">
        <v>63231</v>
      </c>
      <c r="B525" t="s">
        <v>37</v>
      </c>
      <c r="C525" t="s">
        <v>38</v>
      </c>
      <c r="D525" t="s">
        <v>270</v>
      </c>
      <c r="E525" t="s">
        <v>40</v>
      </c>
      <c r="G525" s="4">
        <v>43948.165590277778</v>
      </c>
      <c r="H525" s="4">
        <v>43948.165671296296</v>
      </c>
      <c r="I525" t="s">
        <v>247</v>
      </c>
      <c r="J525" s="5">
        <v>7</v>
      </c>
      <c r="K525" t="s">
        <v>38</v>
      </c>
      <c r="M525">
        <v>63238</v>
      </c>
      <c r="N525" t="s">
        <v>286</v>
      </c>
      <c r="O525" t="s">
        <v>287</v>
      </c>
      <c r="P525" t="s">
        <v>38</v>
      </c>
      <c r="Q525" t="s">
        <v>50</v>
      </c>
      <c r="R525">
        <v>0</v>
      </c>
      <c r="S525" t="s">
        <v>45</v>
      </c>
      <c r="T525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5">
        <v>63239</v>
      </c>
      <c r="V525" t="s">
        <v>38</v>
      </c>
      <c r="W525" t="s">
        <v>50</v>
      </c>
      <c r="X525">
        <v>0</v>
      </c>
      <c r="Y525">
        <v>0</v>
      </c>
      <c r="Z525" t="s">
        <v>46</v>
      </c>
      <c r="AA525">
        <v>63240</v>
      </c>
      <c r="AB525" t="s">
        <v>288</v>
      </c>
      <c r="AC525" t="s">
        <v>68</v>
      </c>
      <c r="AD525" t="s">
        <v>38</v>
      </c>
      <c r="AE525" t="s">
        <v>49</v>
      </c>
      <c r="AF525" t="s">
        <v>50</v>
      </c>
      <c r="AG525">
        <v>0</v>
      </c>
      <c r="AH525">
        <v>0</v>
      </c>
      <c r="AI525" t="s">
        <v>51</v>
      </c>
      <c r="AJ525" t="s">
        <v>51</v>
      </c>
      <c r="AK525" t="s">
        <v>51</v>
      </c>
    </row>
    <row r="526" spans="1:37" x14ac:dyDescent="0.2">
      <c r="A526">
        <v>63231</v>
      </c>
      <c r="B526" t="s">
        <v>37</v>
      </c>
      <c r="C526" t="s">
        <v>38</v>
      </c>
      <c r="D526" t="s">
        <v>270</v>
      </c>
      <c r="E526" t="s">
        <v>40</v>
      </c>
      <c r="G526" s="4">
        <v>43948.165590277778</v>
      </c>
      <c r="H526" s="4">
        <v>43948.165671296296</v>
      </c>
      <c r="I526" t="s">
        <v>247</v>
      </c>
      <c r="J526" s="5">
        <v>7</v>
      </c>
      <c r="K526" t="s">
        <v>38</v>
      </c>
      <c r="M526">
        <v>63235</v>
      </c>
      <c r="N526" t="s">
        <v>289</v>
      </c>
      <c r="O526" t="s">
        <v>290</v>
      </c>
      <c r="P526" t="s">
        <v>38</v>
      </c>
      <c r="Q526" t="s">
        <v>50</v>
      </c>
      <c r="R526">
        <v>0</v>
      </c>
      <c r="S526" t="s">
        <v>45</v>
      </c>
      <c r="T526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6">
        <v>63236</v>
      </c>
      <c r="V526" t="s">
        <v>38</v>
      </c>
      <c r="W526" t="s">
        <v>50</v>
      </c>
      <c r="X526">
        <v>0</v>
      </c>
      <c r="Y526">
        <v>0</v>
      </c>
      <c r="Z526" t="s">
        <v>46</v>
      </c>
      <c r="AA526">
        <v>63237</v>
      </c>
      <c r="AB526" t="s">
        <v>291</v>
      </c>
      <c r="AC526" t="s">
        <v>68</v>
      </c>
      <c r="AD526" t="s">
        <v>38</v>
      </c>
      <c r="AE526" t="s">
        <v>49</v>
      </c>
      <c r="AF526" t="s">
        <v>50</v>
      </c>
      <c r="AG526">
        <v>0</v>
      </c>
      <c r="AH526">
        <v>0</v>
      </c>
      <c r="AI526" t="s">
        <v>51</v>
      </c>
      <c r="AJ526" t="s">
        <v>51</v>
      </c>
      <c r="AK526" t="s">
        <v>51</v>
      </c>
    </row>
    <row r="527" spans="1:37" x14ac:dyDescent="0.2">
      <c r="A527">
        <v>63231</v>
      </c>
      <c r="B527" t="s">
        <v>37</v>
      </c>
      <c r="C527" t="s">
        <v>38</v>
      </c>
      <c r="D527" t="s">
        <v>270</v>
      </c>
      <c r="E527" t="s">
        <v>40</v>
      </c>
      <c r="G527" s="4">
        <v>43948.165590277778</v>
      </c>
      <c r="H527" s="4">
        <v>43948.165671296296</v>
      </c>
      <c r="I527" t="s">
        <v>247</v>
      </c>
      <c r="J527" s="5">
        <v>7</v>
      </c>
      <c r="K527" t="s">
        <v>38</v>
      </c>
      <c r="M527">
        <v>63232</v>
      </c>
      <c r="N527" t="s">
        <v>292</v>
      </c>
      <c r="O527" t="s">
        <v>293</v>
      </c>
      <c r="P527" t="s">
        <v>38</v>
      </c>
      <c r="Q527" t="s">
        <v>50</v>
      </c>
      <c r="R527">
        <v>.9999999999999999999999999999999999999996</v>
      </c>
      <c r="S527" t="s">
        <v>45</v>
      </c>
      <c r="T527" t="str" s="2">
        <f>=HYPERLINK("http://demo.enginatics.com:80/ecc/user/applications/log/63231.log","http://demo.enginatics.com:80/ecc/user/applications/log/63231.log")</f>
        <v>"http://demo.enginatics.com:80/ecc/user/applications/log/63231.log")</v>
      </c>
      <c r="U527">
        <v>63233</v>
      </c>
      <c r="V527" t="s">
        <v>38</v>
      </c>
      <c r="W527" t="s">
        <v>50</v>
      </c>
      <c r="X527">
        <v>.9999999999999999999999999999999999999996</v>
      </c>
      <c r="Y527">
        <v>0</v>
      </c>
      <c r="Z527" t="s">
        <v>46</v>
      </c>
      <c r="AA527">
        <v>63234</v>
      </c>
      <c r="AB527" t="s">
        <v>294</v>
      </c>
      <c r="AC527" t="s">
        <v>68</v>
      </c>
      <c r="AD527" t="s">
        <v>38</v>
      </c>
      <c r="AE527" t="s">
        <v>49</v>
      </c>
      <c r="AF527" t="s">
        <v>50</v>
      </c>
      <c r="AG527">
        <v>0</v>
      </c>
      <c r="AH527">
        <v>0</v>
      </c>
      <c r="AI527" t="s">
        <v>51</v>
      </c>
      <c r="AJ527" t="s">
        <v>51</v>
      </c>
      <c r="AK527" t="s">
        <v>51</v>
      </c>
    </row>
    <row r="528" spans="1:37" x14ac:dyDescent="0.2">
      <c r="A528">
        <v>63227</v>
      </c>
      <c r="B528" t="s">
        <v>37</v>
      </c>
      <c r="C528" t="s">
        <v>38</v>
      </c>
      <c r="D528" t="s">
        <v>253</v>
      </c>
      <c r="E528" t="s">
        <v>257</v>
      </c>
      <c r="G528" s="4">
        <v>43948.165439814815</v>
      </c>
      <c r="H528" s="4">
        <v>43948.165532407407</v>
      </c>
      <c r="I528" t="s">
        <v>652</v>
      </c>
      <c r="J528" s="5">
        <v>8</v>
      </c>
      <c r="K528" t="s">
        <v>38</v>
      </c>
      <c r="M528">
        <v>63228</v>
      </c>
      <c r="N528" t="s">
        <v>257</v>
      </c>
      <c r="O528" t="s">
        <v>258</v>
      </c>
      <c r="P528" t="s">
        <v>38</v>
      </c>
      <c r="Q528" t="s">
        <v>652</v>
      </c>
      <c r="R528">
        <v>8</v>
      </c>
      <c r="S528" t="s">
        <v>45</v>
      </c>
      <c r="T528" t="str" s="2">
        <f>=HYPERLINK("http://demo.enginatics.com:80/ecc/user/applications/log/63227.log","http://demo.enginatics.com:80/ecc/user/applications/log/63227.log")</f>
        <v>"http://demo.enginatics.com:80/ecc/user/applications/log/63227.log")</v>
      </c>
      <c r="U528">
        <v>63229</v>
      </c>
      <c r="V528" t="s">
        <v>38</v>
      </c>
      <c r="W528" t="s">
        <v>652</v>
      </c>
      <c r="X528">
        <v>8</v>
      </c>
      <c r="Y528">
        <v>0</v>
      </c>
      <c r="Z528" t="s">
        <v>46</v>
      </c>
      <c r="AA528">
        <v>63230</v>
      </c>
      <c r="AB528" t="s">
        <v>259</v>
      </c>
      <c r="AC528" t="s">
        <v>68</v>
      </c>
      <c r="AD528" t="s">
        <v>38</v>
      </c>
      <c r="AE528" t="s">
        <v>260</v>
      </c>
      <c r="AF528" t="s">
        <v>78</v>
      </c>
      <c r="AG528">
        <v>5</v>
      </c>
      <c r="AH528">
        <v>2</v>
      </c>
      <c r="AI528" t="s">
        <v>261</v>
      </c>
      <c r="AJ528" t="s">
        <v>51</v>
      </c>
      <c r="AK528" t="s">
        <v>261</v>
      </c>
    </row>
    <row r="529" spans="1:37" x14ac:dyDescent="0.2">
      <c r="A529">
        <v>63222</v>
      </c>
      <c r="B529" t="s">
        <v>37</v>
      </c>
      <c r="C529" t="s">
        <v>38</v>
      </c>
      <c r="D529" t="s">
        <v>253</v>
      </c>
      <c r="E529" t="s">
        <v>262</v>
      </c>
      <c r="G529" s="4">
        <v>43948.1653125</v>
      </c>
      <c r="H529" s="4">
        <v>43948.165324074074</v>
      </c>
      <c r="I529" t="s">
        <v>50</v>
      </c>
      <c r="J529" s="5">
        <v>.9999999999999999999999999999999999999996</v>
      </c>
      <c r="K529" t="s">
        <v>38</v>
      </c>
      <c r="M529">
        <v>63223</v>
      </c>
      <c r="N529" t="s">
        <v>262</v>
      </c>
      <c r="O529" t="s">
        <v>263</v>
      </c>
      <c r="P529" t="s">
        <v>38</v>
      </c>
      <c r="Q529" t="s">
        <v>50</v>
      </c>
      <c r="R529">
        <v>.9999999999999999999999999999999999999996</v>
      </c>
      <c r="S529" t="s">
        <v>45</v>
      </c>
      <c r="T529" t="str" s="2">
        <f>=HYPERLINK("http://demo.enginatics.com:80/ecc/user/applications/log/63222.log","http://demo.enginatics.com:80/ecc/user/applications/log/63222.log")</f>
        <v>"http://demo.enginatics.com:80/ecc/user/applications/log/63222.log")</v>
      </c>
      <c r="U529">
        <v>63224</v>
      </c>
      <c r="V529" t="s">
        <v>38</v>
      </c>
      <c r="W529" t="s">
        <v>50</v>
      </c>
      <c r="X529">
        <v>.9999999999999999999999999999999999999996</v>
      </c>
      <c r="Y529">
        <v>0</v>
      </c>
      <c r="Z529" t="s">
        <v>46</v>
      </c>
      <c r="AA529">
        <v>63226</v>
      </c>
      <c r="AB529" t="s">
        <v>264</v>
      </c>
      <c r="AC529" t="s">
        <v>68</v>
      </c>
      <c r="AD529" t="s">
        <v>38</v>
      </c>
      <c r="AE529" t="s">
        <v>49</v>
      </c>
      <c r="AF529" t="s">
        <v>50</v>
      </c>
      <c r="AG529">
        <v>0</v>
      </c>
      <c r="AH529">
        <v>0</v>
      </c>
      <c r="AI529" t="s">
        <v>51</v>
      </c>
      <c r="AJ529" t="s">
        <v>51</v>
      </c>
      <c r="AK529" t="s">
        <v>51</v>
      </c>
    </row>
    <row r="530" spans="1:37" x14ac:dyDescent="0.2">
      <c r="A530">
        <v>63222</v>
      </c>
      <c r="B530" t="s">
        <v>37</v>
      </c>
      <c r="C530" t="s">
        <v>38</v>
      </c>
      <c r="D530" t="s">
        <v>253</v>
      </c>
      <c r="E530" t="s">
        <v>262</v>
      </c>
      <c r="G530" s="4">
        <v>43948.1653125</v>
      </c>
      <c r="H530" s="4">
        <v>43948.165324074074</v>
      </c>
      <c r="I530" t="s">
        <v>50</v>
      </c>
      <c r="J530" s="5">
        <v>.9999999999999999999999999999999999999996</v>
      </c>
      <c r="K530" t="s">
        <v>38</v>
      </c>
      <c r="M530">
        <v>63223</v>
      </c>
      <c r="N530" t="s">
        <v>262</v>
      </c>
      <c r="O530" t="s">
        <v>263</v>
      </c>
      <c r="P530" t="s">
        <v>38</v>
      </c>
      <c r="Q530" t="s">
        <v>50</v>
      </c>
      <c r="R530">
        <v>.9999999999999999999999999999999999999996</v>
      </c>
      <c r="S530" t="s">
        <v>45</v>
      </c>
      <c r="T530" t="str" s="2">
        <f>=HYPERLINK("http://demo.enginatics.com:80/ecc/user/applications/log/63222.log","http://demo.enginatics.com:80/ecc/user/applications/log/63222.log")</f>
        <v>"http://demo.enginatics.com:80/ecc/user/applications/log/63222.log")</v>
      </c>
      <c r="U530">
        <v>63224</v>
      </c>
      <c r="V530" t="s">
        <v>38</v>
      </c>
      <c r="W530" t="s">
        <v>50</v>
      </c>
      <c r="X530">
        <v>.9999999999999999999999999999999999999996</v>
      </c>
      <c r="Y530">
        <v>0</v>
      </c>
      <c r="Z530" t="s">
        <v>46</v>
      </c>
      <c r="AA530">
        <v>63225</v>
      </c>
      <c r="AB530" t="s">
        <v>901</v>
      </c>
      <c r="AC530" t="s">
        <v>56</v>
      </c>
      <c r="AD530" t="s">
        <v>38</v>
      </c>
      <c r="AE530" t="s">
        <v>49</v>
      </c>
      <c r="AF530" t="s">
        <v>50</v>
      </c>
      <c r="AG530">
        <v>0</v>
      </c>
      <c r="AH530">
        <v>0</v>
      </c>
      <c r="AI530" t="s">
        <v>51</v>
      </c>
      <c r="AJ530" t="s">
        <v>51</v>
      </c>
      <c r="AK530" t="s">
        <v>51</v>
      </c>
    </row>
    <row r="531" spans="1:37" x14ac:dyDescent="0.2">
      <c r="A531">
        <v>63216</v>
      </c>
      <c r="B531" t="s">
        <v>37</v>
      </c>
      <c r="C531" t="s">
        <v>38</v>
      </c>
      <c r="D531" t="s">
        <v>253</v>
      </c>
      <c r="E531" t="s">
        <v>266</v>
      </c>
      <c r="G531" s="4">
        <v>43948.165196759259</v>
      </c>
      <c r="H531" s="4">
        <v>43948.165208333333</v>
      </c>
      <c r="I531" t="s">
        <v>50</v>
      </c>
      <c r="J531" s="5">
        <v>.9999999999999999999999999999999999999996</v>
      </c>
      <c r="K531" t="s">
        <v>38</v>
      </c>
      <c r="M531">
        <v>63217</v>
      </c>
      <c r="N531" t="s">
        <v>266</v>
      </c>
      <c r="O531" t="s">
        <v>267</v>
      </c>
      <c r="P531" t="s">
        <v>38</v>
      </c>
      <c r="Q531" t="s">
        <v>50</v>
      </c>
      <c r="R531">
        <v>.9999999999999999999999999999999999999996</v>
      </c>
      <c r="S531" t="s">
        <v>45</v>
      </c>
      <c r="T531" t="str" s="2">
        <f>=HYPERLINK("http://demo.enginatics.com:80/ecc/user/applications/log/63216.log","http://demo.enginatics.com:80/ecc/user/applications/log/63216.log")</f>
        <v>"http://demo.enginatics.com:80/ecc/user/applications/log/63216.log")</v>
      </c>
      <c r="U531">
        <v>63220</v>
      </c>
      <c r="V531" t="s">
        <v>38</v>
      </c>
      <c r="W531" t="s">
        <v>50</v>
      </c>
      <c r="X531">
        <v>0</v>
      </c>
      <c r="Y531">
        <v>0</v>
      </c>
      <c r="Z531" t="s">
        <v>46</v>
      </c>
      <c r="AA531">
        <v>63221</v>
      </c>
      <c r="AB531" t="s">
        <v>268</v>
      </c>
      <c r="AC531" t="s">
        <v>48</v>
      </c>
      <c r="AD531" t="s">
        <v>38</v>
      </c>
      <c r="AE531" t="s">
        <v>49</v>
      </c>
      <c r="AF531" t="s">
        <v>50</v>
      </c>
      <c r="AG531">
        <v>0</v>
      </c>
      <c r="AH531">
        <v>0</v>
      </c>
      <c r="AI531" t="s">
        <v>51</v>
      </c>
      <c r="AJ531" t="s">
        <v>51</v>
      </c>
      <c r="AK531" t="s">
        <v>51</v>
      </c>
    </row>
    <row r="532" spans="1:37" x14ac:dyDescent="0.2">
      <c r="A532">
        <v>63216</v>
      </c>
      <c r="B532" t="s">
        <v>37</v>
      </c>
      <c r="C532" t="s">
        <v>38</v>
      </c>
      <c r="D532" t="s">
        <v>253</v>
      </c>
      <c r="E532" t="s">
        <v>266</v>
      </c>
      <c r="G532" s="4">
        <v>43948.165196759259</v>
      </c>
      <c r="H532" s="4">
        <v>43948.165208333333</v>
      </c>
      <c r="I532" t="s">
        <v>50</v>
      </c>
      <c r="J532" s="5">
        <v>.9999999999999999999999999999999999999996</v>
      </c>
      <c r="K532" t="s">
        <v>38</v>
      </c>
      <c r="M532">
        <v>63217</v>
      </c>
      <c r="N532" t="s">
        <v>266</v>
      </c>
      <c r="O532" t="s">
        <v>267</v>
      </c>
      <c r="P532" t="s">
        <v>38</v>
      </c>
      <c r="Q532" t="s">
        <v>50</v>
      </c>
      <c r="R532">
        <v>.9999999999999999999999999999999999999996</v>
      </c>
      <c r="S532" t="s">
        <v>45</v>
      </c>
      <c r="T532" t="str" s="2">
        <f>=HYPERLINK("http://demo.enginatics.com:80/ecc/user/applications/log/63216.log","http://demo.enginatics.com:80/ecc/user/applications/log/63216.log")</f>
        <v>"http://demo.enginatics.com:80/ecc/user/applications/log/63216.log")</v>
      </c>
      <c r="U532">
        <v>63218</v>
      </c>
      <c r="V532" t="s">
        <v>38</v>
      </c>
      <c r="W532" t="s">
        <v>50</v>
      </c>
      <c r="X532">
        <v>.9999999999999999999999999999999999999996</v>
      </c>
      <c r="Y532">
        <v>0</v>
      </c>
      <c r="Z532" t="s">
        <v>46</v>
      </c>
      <c r="AA532">
        <v>63219</v>
      </c>
      <c r="AB532" t="s">
        <v>269</v>
      </c>
      <c r="AC532" t="s">
        <v>56</v>
      </c>
      <c r="AD532" t="s">
        <v>38</v>
      </c>
      <c r="AE532" t="s">
        <v>49</v>
      </c>
      <c r="AF532" t="s">
        <v>50</v>
      </c>
      <c r="AG532">
        <v>0</v>
      </c>
      <c r="AH532">
        <v>0</v>
      </c>
      <c r="AI532" t="s">
        <v>51</v>
      </c>
      <c r="AJ532" t="s">
        <v>51</v>
      </c>
      <c r="AK532" t="s">
        <v>51</v>
      </c>
    </row>
    <row r="533" spans="1:37" x14ac:dyDescent="0.2">
      <c r="A533">
        <v>63209</v>
      </c>
      <c r="B533" t="s">
        <v>37</v>
      </c>
      <c r="C533" t="s">
        <v>38</v>
      </c>
      <c r="D533" t="s">
        <v>295</v>
      </c>
      <c r="E533" t="s">
        <v>296</v>
      </c>
      <c r="G533" s="4">
        <v>43948.163449074074</v>
      </c>
      <c r="H533" s="4">
        <v>43948.163530092593</v>
      </c>
      <c r="I533" t="s">
        <v>247</v>
      </c>
      <c r="J533" s="5">
        <v>7</v>
      </c>
      <c r="K533" t="s">
        <v>38</v>
      </c>
      <c r="M533">
        <v>63211</v>
      </c>
      <c r="N533" t="s">
        <v>296</v>
      </c>
      <c r="O533" t="s">
        <v>297</v>
      </c>
      <c r="P533" t="s">
        <v>38</v>
      </c>
      <c r="Q533" t="s">
        <v>50</v>
      </c>
      <c r="R533">
        <v>.9999999999999999999999999999999999999996</v>
      </c>
      <c r="S533" t="s">
        <v>45</v>
      </c>
      <c r="T533" t="str" s="2">
        <f>=HYPERLINK("http://demo.enginatics.com:80/ecc/user/applications/log/63209.log","http://demo.enginatics.com:80/ecc/user/applications/log/63209.log")</f>
        <v>"http://demo.enginatics.com:80/ecc/user/applications/log/63209.log")</v>
      </c>
      <c r="U533">
        <v>63212</v>
      </c>
      <c r="V533" t="s">
        <v>38</v>
      </c>
      <c r="W533" t="s">
        <v>50</v>
      </c>
      <c r="X533">
        <v>.9999999999999999999999999999999999999996</v>
      </c>
      <c r="Y533">
        <v>0</v>
      </c>
      <c r="Z533" t="s">
        <v>46</v>
      </c>
      <c r="AA533">
        <v>63213</v>
      </c>
      <c r="AB533" t="s">
        <v>298</v>
      </c>
      <c r="AC533" t="s">
        <v>68</v>
      </c>
      <c r="AD533" t="s">
        <v>38</v>
      </c>
      <c r="AE533" t="s">
        <v>49</v>
      </c>
      <c r="AF533" t="s">
        <v>50</v>
      </c>
      <c r="AG533">
        <v>0</v>
      </c>
      <c r="AH533">
        <v>0</v>
      </c>
      <c r="AI533" t="s">
        <v>51</v>
      </c>
      <c r="AJ533" t="s">
        <v>51</v>
      </c>
      <c r="AK533" t="s">
        <v>51</v>
      </c>
    </row>
    <row r="534" spans="1:37" x14ac:dyDescent="0.2">
      <c r="A534">
        <v>63206</v>
      </c>
      <c r="B534" t="s">
        <v>37</v>
      </c>
      <c r="C534" t="s">
        <v>38</v>
      </c>
      <c r="D534" t="s">
        <v>295</v>
      </c>
      <c r="E534" t="s">
        <v>299</v>
      </c>
      <c r="G534" s="4">
        <v>43948.1634375</v>
      </c>
      <c r="H534" s="4">
        <v>43948.163564814815</v>
      </c>
      <c r="I534" t="s">
        <v>337</v>
      </c>
      <c r="J534" s="5">
        <v>11.00000000000000000000000000000000000002</v>
      </c>
      <c r="K534" t="s">
        <v>38</v>
      </c>
      <c r="M534">
        <v>63207</v>
      </c>
      <c r="N534" t="s">
        <v>299</v>
      </c>
      <c r="O534" t="s">
        <v>301</v>
      </c>
      <c r="P534" t="s">
        <v>38</v>
      </c>
      <c r="Q534" t="s">
        <v>337</v>
      </c>
      <c r="R534">
        <v>11.00000000000000000000000000000000000002</v>
      </c>
      <c r="S534" t="s">
        <v>45</v>
      </c>
      <c r="T534" t="str" s="2">
        <f>=HYPERLINK("http://demo.enginatics.com:80/ecc/user/applications/log/63206.log","http://demo.enginatics.com:80/ecc/user/applications/log/63206.log")</f>
        <v>"http://demo.enginatics.com:80/ecc/user/applications/log/63206.log")</v>
      </c>
      <c r="U534">
        <v>63208</v>
      </c>
      <c r="V534" t="s">
        <v>38</v>
      </c>
      <c r="W534" t="s">
        <v>337</v>
      </c>
      <c r="X534">
        <v>11.00000000000000000000000000000000000002</v>
      </c>
      <c r="Y534">
        <v>10</v>
      </c>
      <c r="Z534" t="s">
        <v>46</v>
      </c>
      <c r="AA534">
        <v>63215</v>
      </c>
      <c r="AB534" t="s">
        <v>302</v>
      </c>
      <c r="AC534" t="s">
        <v>68</v>
      </c>
      <c r="AD534" t="s">
        <v>38</v>
      </c>
      <c r="AE534" t="s">
        <v>49</v>
      </c>
      <c r="AF534" t="s">
        <v>50</v>
      </c>
      <c r="AG534">
        <v>0</v>
      </c>
      <c r="AH534">
        <v>0</v>
      </c>
      <c r="AI534" t="s">
        <v>51</v>
      </c>
      <c r="AJ534" t="s">
        <v>51</v>
      </c>
      <c r="AK534" t="s">
        <v>51</v>
      </c>
    </row>
    <row r="535" spans="1:37" x14ac:dyDescent="0.2">
      <c r="A535">
        <v>63206</v>
      </c>
      <c r="B535" t="s">
        <v>37</v>
      </c>
      <c r="C535" t="s">
        <v>38</v>
      </c>
      <c r="D535" t="s">
        <v>295</v>
      </c>
      <c r="E535" t="s">
        <v>299</v>
      </c>
      <c r="G535" s="4">
        <v>43948.1634375</v>
      </c>
      <c r="H535" s="4">
        <v>43948.163564814815</v>
      </c>
      <c r="I535" t="s">
        <v>337</v>
      </c>
      <c r="J535" s="5">
        <v>11.00000000000000000000000000000000000002</v>
      </c>
      <c r="K535" t="s">
        <v>38</v>
      </c>
      <c r="M535">
        <v>63207</v>
      </c>
      <c r="N535" t="s">
        <v>299</v>
      </c>
      <c r="O535" t="s">
        <v>301</v>
      </c>
      <c r="P535" t="s">
        <v>38</v>
      </c>
      <c r="Q535" t="s">
        <v>337</v>
      </c>
      <c r="R535">
        <v>11.00000000000000000000000000000000000002</v>
      </c>
      <c r="S535" t="s">
        <v>45</v>
      </c>
      <c r="T535" t="str" s="2">
        <f>=HYPERLINK("http://demo.enginatics.com:80/ecc/user/applications/log/63206.log","http://demo.enginatics.com:80/ecc/user/applications/log/63206.log")</f>
        <v>"http://demo.enginatics.com:80/ecc/user/applications/log/63206.log")</v>
      </c>
      <c r="U535">
        <v>63208</v>
      </c>
      <c r="V535" t="s">
        <v>38</v>
      </c>
      <c r="W535" t="s">
        <v>337</v>
      </c>
      <c r="X535">
        <v>11.00000000000000000000000000000000000002</v>
      </c>
      <c r="Y535">
        <v>10</v>
      </c>
      <c r="Z535" t="s">
        <v>46</v>
      </c>
      <c r="AA535">
        <v>63214</v>
      </c>
      <c r="AB535" t="s">
        <v>303</v>
      </c>
      <c r="AC535" t="s">
        <v>56</v>
      </c>
      <c r="AD535" t="s">
        <v>38</v>
      </c>
      <c r="AE535" t="s">
        <v>49</v>
      </c>
      <c r="AF535" t="s">
        <v>50</v>
      </c>
      <c r="AG535">
        <v>0</v>
      </c>
      <c r="AH535">
        <v>0</v>
      </c>
      <c r="AI535" t="s">
        <v>51</v>
      </c>
      <c r="AJ535" t="s">
        <v>51</v>
      </c>
      <c r="AK535" t="s">
        <v>51</v>
      </c>
    </row>
    <row r="536" spans="1:37" x14ac:dyDescent="0.2">
      <c r="A536">
        <v>63201</v>
      </c>
      <c r="B536" t="s">
        <v>37</v>
      </c>
      <c r="C536" t="s">
        <v>38</v>
      </c>
      <c r="D536" t="s">
        <v>295</v>
      </c>
      <c r="E536" t="s">
        <v>304</v>
      </c>
      <c r="G536" s="4">
        <v>43948.163344907407</v>
      </c>
      <c r="H536" s="4">
        <v>43948.163356481481</v>
      </c>
      <c r="I536" t="s">
        <v>50</v>
      </c>
      <c r="J536" s="5">
        <v>.9999999999999999999999999999999999999996</v>
      </c>
      <c r="K536" t="s">
        <v>38</v>
      </c>
      <c r="M536">
        <v>63202</v>
      </c>
      <c r="N536" t="s">
        <v>304</v>
      </c>
      <c r="O536" t="s">
        <v>305</v>
      </c>
      <c r="P536" t="s">
        <v>38</v>
      </c>
      <c r="Q536" t="s">
        <v>50</v>
      </c>
      <c r="R536">
        <v>.9999999999999999999999999999999999999996</v>
      </c>
      <c r="S536" t="s">
        <v>45</v>
      </c>
      <c r="T536" t="str" s="2">
        <f>=HYPERLINK("http://demo.enginatics.com:80/ecc/user/applications/log/63201.log","http://demo.enginatics.com:80/ecc/user/applications/log/63201.log")</f>
        <v>"http://demo.enginatics.com:80/ecc/user/applications/log/63201.log")</v>
      </c>
      <c r="U536">
        <v>63203</v>
      </c>
      <c r="V536" t="s">
        <v>38</v>
      </c>
      <c r="W536" t="s">
        <v>50</v>
      </c>
      <c r="X536">
        <v>.9999999999999999999999999999999999999996</v>
      </c>
      <c r="Y536">
        <v>0</v>
      </c>
      <c r="Z536" t="s">
        <v>46</v>
      </c>
      <c r="AA536">
        <v>63204</v>
      </c>
      <c r="AB536" t="s">
        <v>306</v>
      </c>
      <c r="AC536" t="s">
        <v>68</v>
      </c>
      <c r="AD536" t="s">
        <v>38</v>
      </c>
      <c r="AE536" t="s">
        <v>49</v>
      </c>
      <c r="AF536" t="s">
        <v>50</v>
      </c>
      <c r="AG536">
        <v>0</v>
      </c>
      <c r="AH536">
        <v>0</v>
      </c>
      <c r="AI536" t="s">
        <v>51</v>
      </c>
      <c r="AJ536" t="s">
        <v>51</v>
      </c>
      <c r="AK536" t="s">
        <v>51</v>
      </c>
    </row>
    <row r="537" spans="1:37" x14ac:dyDescent="0.2">
      <c r="A537">
        <v>63194</v>
      </c>
      <c r="B537" t="s">
        <v>37</v>
      </c>
      <c r="C537" t="s">
        <v>38</v>
      </c>
      <c r="D537" t="s">
        <v>307</v>
      </c>
      <c r="E537" t="s">
        <v>40</v>
      </c>
      <c r="G537" s="4">
        <v>43948.163217592593</v>
      </c>
      <c r="H537" s="4">
        <v>43948.163518518519</v>
      </c>
      <c r="I537" t="s">
        <v>902</v>
      </c>
      <c r="J537" s="5">
        <v>26.00000000000000000000000000000000000001</v>
      </c>
      <c r="K537" t="s">
        <v>38</v>
      </c>
      <c r="M537">
        <v>63198</v>
      </c>
      <c r="N537" t="s">
        <v>309</v>
      </c>
      <c r="O537" t="s">
        <v>310</v>
      </c>
      <c r="P537" t="s">
        <v>38</v>
      </c>
      <c r="Q537" t="s">
        <v>902</v>
      </c>
      <c r="R537">
        <v>26.00000000000000000000000000000000000001</v>
      </c>
      <c r="S537" t="s">
        <v>45</v>
      </c>
      <c r="T537" t="str" s="2">
        <f>=HYPERLINK("http://demo.enginatics.com:80/ecc/user/applications/log/63194.log","http://demo.enginatics.com:80/ecc/user/applications/log/63194.log")</f>
        <v>"http://demo.enginatics.com:80/ecc/user/applications/log/63194.log")</v>
      </c>
      <c r="U537">
        <v>63199</v>
      </c>
      <c r="V537" t="s">
        <v>38</v>
      </c>
      <c r="W537" t="s">
        <v>902</v>
      </c>
      <c r="X537">
        <v>26.00000000000000000000000000000000000001</v>
      </c>
      <c r="Y537">
        <v>0</v>
      </c>
      <c r="Z537" t="s">
        <v>46</v>
      </c>
      <c r="AA537">
        <v>63210</v>
      </c>
      <c r="AB537" t="s">
        <v>903</v>
      </c>
      <c r="AC537" t="s">
        <v>56</v>
      </c>
      <c r="AD537" t="s">
        <v>38</v>
      </c>
      <c r="AE537" t="s">
        <v>49</v>
      </c>
      <c r="AF537" t="s">
        <v>50</v>
      </c>
      <c r="AG537">
        <v>0</v>
      </c>
      <c r="AH537">
        <v>0</v>
      </c>
      <c r="AI537" t="s">
        <v>51</v>
      </c>
      <c r="AJ537" t="s">
        <v>51</v>
      </c>
      <c r="AK537" t="s">
        <v>51</v>
      </c>
    </row>
    <row r="538" spans="1:37" x14ac:dyDescent="0.2">
      <c r="A538">
        <v>63194</v>
      </c>
      <c r="B538" t="s">
        <v>37</v>
      </c>
      <c r="C538" t="s">
        <v>38</v>
      </c>
      <c r="D538" t="s">
        <v>307</v>
      </c>
      <c r="E538" t="s">
        <v>40</v>
      </c>
      <c r="G538" s="4">
        <v>43948.163217592593</v>
      </c>
      <c r="H538" s="4">
        <v>43948.163518518519</v>
      </c>
      <c r="I538" t="s">
        <v>902</v>
      </c>
      <c r="J538" s="5">
        <v>26.00000000000000000000000000000000000001</v>
      </c>
      <c r="K538" t="s">
        <v>38</v>
      </c>
      <c r="M538">
        <v>63198</v>
      </c>
      <c r="N538" t="s">
        <v>309</v>
      </c>
      <c r="O538" t="s">
        <v>310</v>
      </c>
      <c r="P538" t="s">
        <v>38</v>
      </c>
      <c r="Q538" t="s">
        <v>902</v>
      </c>
      <c r="R538">
        <v>26.00000000000000000000000000000000000001</v>
      </c>
      <c r="S538" t="s">
        <v>45</v>
      </c>
      <c r="T538" t="str" s="2">
        <f>=HYPERLINK("http://demo.enginatics.com:80/ecc/user/applications/log/63194.log","http://demo.enginatics.com:80/ecc/user/applications/log/63194.log")</f>
        <v>"http://demo.enginatics.com:80/ecc/user/applications/log/63194.log")</v>
      </c>
      <c r="U538">
        <v>63199</v>
      </c>
      <c r="V538" t="s">
        <v>38</v>
      </c>
      <c r="W538" t="s">
        <v>902</v>
      </c>
      <c r="X538">
        <v>26.00000000000000000000000000000000000001</v>
      </c>
      <c r="Y538">
        <v>0</v>
      </c>
      <c r="Z538" t="s">
        <v>46</v>
      </c>
      <c r="AA538">
        <v>63205</v>
      </c>
      <c r="AB538" t="s">
        <v>904</v>
      </c>
      <c r="AC538" t="s">
        <v>97</v>
      </c>
      <c r="AD538" t="s">
        <v>38</v>
      </c>
      <c r="AE538" t="s">
        <v>49</v>
      </c>
      <c r="AF538" t="s">
        <v>313</v>
      </c>
      <c r="AG538">
        <v>13</v>
      </c>
      <c r="AH538">
        <v>12</v>
      </c>
      <c r="AI538" t="s">
        <v>51</v>
      </c>
      <c r="AJ538" t="s">
        <v>51</v>
      </c>
      <c r="AK538" t="s">
        <v>51</v>
      </c>
    </row>
    <row r="539" spans="1:37" x14ac:dyDescent="0.2">
      <c r="A539">
        <v>63194</v>
      </c>
      <c r="B539" t="s">
        <v>37</v>
      </c>
      <c r="C539" t="s">
        <v>38</v>
      </c>
      <c r="D539" t="s">
        <v>307</v>
      </c>
      <c r="E539" t="s">
        <v>40</v>
      </c>
      <c r="G539" s="4">
        <v>43948.163217592593</v>
      </c>
      <c r="H539" s="4">
        <v>43948.163518518519</v>
      </c>
      <c r="I539" t="s">
        <v>902</v>
      </c>
      <c r="J539" s="5">
        <v>26.00000000000000000000000000000000000001</v>
      </c>
      <c r="K539" t="s">
        <v>38</v>
      </c>
      <c r="M539">
        <v>63198</v>
      </c>
      <c r="N539" t="s">
        <v>309</v>
      </c>
      <c r="O539" t="s">
        <v>310</v>
      </c>
      <c r="P539" t="s">
        <v>38</v>
      </c>
      <c r="Q539" t="s">
        <v>902</v>
      </c>
      <c r="R539">
        <v>26.00000000000000000000000000000000000001</v>
      </c>
      <c r="S539" t="s">
        <v>45</v>
      </c>
      <c r="T539" t="str" s="2">
        <f>=HYPERLINK("http://demo.enginatics.com:80/ecc/user/applications/log/63194.log","http://demo.enginatics.com:80/ecc/user/applications/log/63194.log")</f>
        <v>"http://demo.enginatics.com:80/ecc/user/applications/log/63194.log")</v>
      </c>
      <c r="U539">
        <v>63199</v>
      </c>
      <c r="V539" t="s">
        <v>38</v>
      </c>
      <c r="W539" t="s">
        <v>902</v>
      </c>
      <c r="X539">
        <v>26.00000000000000000000000000000000000001</v>
      </c>
      <c r="Y539">
        <v>0</v>
      </c>
      <c r="Z539" t="s">
        <v>46</v>
      </c>
      <c r="AA539">
        <v>63200</v>
      </c>
      <c r="AB539" t="s">
        <v>905</v>
      </c>
      <c r="AC539" t="s">
        <v>97</v>
      </c>
      <c r="AD539" t="s">
        <v>38</v>
      </c>
      <c r="AE539" t="s">
        <v>49</v>
      </c>
      <c r="AF539" t="s">
        <v>313</v>
      </c>
      <c r="AG539">
        <v>13</v>
      </c>
      <c r="AH539">
        <v>12</v>
      </c>
      <c r="AI539" t="s">
        <v>51</v>
      </c>
      <c r="AJ539" t="s">
        <v>51</v>
      </c>
      <c r="AK539" t="s">
        <v>51</v>
      </c>
    </row>
    <row r="540" spans="1:37" x14ac:dyDescent="0.2">
      <c r="A540">
        <v>63194</v>
      </c>
      <c r="B540" t="s">
        <v>37</v>
      </c>
      <c r="C540" t="s">
        <v>38</v>
      </c>
      <c r="D540" t="s">
        <v>307</v>
      </c>
      <c r="E540" t="s">
        <v>40</v>
      </c>
      <c r="G540" s="4">
        <v>43948.163217592593</v>
      </c>
      <c r="H540" s="4">
        <v>43948.163518518519</v>
      </c>
      <c r="I540" t="s">
        <v>902</v>
      </c>
      <c r="J540" s="5">
        <v>26.00000000000000000000000000000000000001</v>
      </c>
      <c r="K540" t="s">
        <v>38</v>
      </c>
      <c r="M540">
        <v>63195</v>
      </c>
      <c r="N540" t="s">
        <v>316</v>
      </c>
      <c r="O540" t="s">
        <v>317</v>
      </c>
      <c r="P540" t="s">
        <v>38</v>
      </c>
      <c r="Q540" t="s">
        <v>50</v>
      </c>
      <c r="R540">
        <v>0</v>
      </c>
      <c r="S540" t="s">
        <v>45</v>
      </c>
      <c r="T540" t="str" s="2">
        <f>=HYPERLINK("http://demo.enginatics.com:80/ecc/user/applications/log/63194.log","http://demo.enginatics.com:80/ecc/user/applications/log/63194.log")</f>
        <v>"http://demo.enginatics.com:80/ecc/user/applications/log/63194.log")</v>
      </c>
      <c r="U540">
        <v>63196</v>
      </c>
      <c r="V540" t="s">
        <v>38</v>
      </c>
      <c r="W540" t="s">
        <v>50</v>
      </c>
      <c r="X540">
        <v>0</v>
      </c>
      <c r="Y540">
        <v>0</v>
      </c>
      <c r="Z540" t="s">
        <v>46</v>
      </c>
      <c r="AA540">
        <v>63197</v>
      </c>
      <c r="AB540" t="s">
        <v>906</v>
      </c>
      <c r="AC540" t="s">
        <v>97</v>
      </c>
      <c r="AD540" t="s">
        <v>38</v>
      </c>
      <c r="AE540" t="s">
        <v>49</v>
      </c>
      <c r="AF540" t="s">
        <v>50</v>
      </c>
      <c r="AG540">
        <v>0</v>
      </c>
      <c r="AH540">
        <v>0</v>
      </c>
      <c r="AI540" t="s">
        <v>51</v>
      </c>
      <c r="AJ540" t="s">
        <v>51</v>
      </c>
      <c r="AK540" t="s">
        <v>51</v>
      </c>
    </row>
    <row r="541" spans="1:37" x14ac:dyDescent="0.2">
      <c r="A541">
        <v>63184</v>
      </c>
      <c r="B541" t="s">
        <v>37</v>
      </c>
      <c r="C541" t="s">
        <v>38</v>
      </c>
      <c r="D541" t="s">
        <v>253</v>
      </c>
      <c r="E541" t="s">
        <v>319</v>
      </c>
      <c r="G541" s="4">
        <v>43948.162905092593</v>
      </c>
      <c r="H541" s="4">
        <v>43948.162928240741</v>
      </c>
      <c r="I541" t="s">
        <v>88</v>
      </c>
      <c r="J541" s="5">
        <v>2</v>
      </c>
      <c r="K541" t="s">
        <v>38</v>
      </c>
      <c r="M541">
        <v>63185</v>
      </c>
      <c r="N541" t="s">
        <v>319</v>
      </c>
      <c r="O541" t="s">
        <v>320</v>
      </c>
      <c r="P541" t="s">
        <v>38</v>
      </c>
      <c r="Q541" t="s">
        <v>88</v>
      </c>
      <c r="R541">
        <v>2</v>
      </c>
      <c r="S541" t="s">
        <v>45</v>
      </c>
      <c r="T541" t="str" s="2">
        <f>=HYPERLINK("http://demo.enginatics.com:80/ecc/user/applications/log/63184.log","http://demo.enginatics.com:80/ecc/user/applications/log/63184.log")</f>
        <v>"http://demo.enginatics.com:80/ecc/user/applications/log/63184.log")</v>
      </c>
      <c r="U541">
        <v>63186</v>
      </c>
      <c r="V541" t="s">
        <v>38</v>
      </c>
      <c r="W541" t="s">
        <v>88</v>
      </c>
      <c r="X541">
        <v>2</v>
      </c>
      <c r="Y541">
        <v>1</v>
      </c>
      <c r="Z541" t="s">
        <v>46</v>
      </c>
      <c r="AA541">
        <v>63188</v>
      </c>
      <c r="AB541" t="s">
        <v>321</v>
      </c>
      <c r="AC541" t="s">
        <v>68</v>
      </c>
      <c r="AD541" t="s">
        <v>38</v>
      </c>
      <c r="AE541" t="s">
        <v>49</v>
      </c>
      <c r="AF541" t="s">
        <v>50</v>
      </c>
      <c r="AG541">
        <v>0</v>
      </c>
      <c r="AH541">
        <v>0</v>
      </c>
      <c r="AI541" t="s">
        <v>51</v>
      </c>
      <c r="AJ541" t="s">
        <v>51</v>
      </c>
      <c r="AK541" t="s">
        <v>51</v>
      </c>
    </row>
    <row r="542" spans="1:37" x14ac:dyDescent="0.2">
      <c r="A542">
        <v>63184</v>
      </c>
      <c r="B542" t="s">
        <v>37</v>
      </c>
      <c r="C542" t="s">
        <v>38</v>
      </c>
      <c r="D542" t="s">
        <v>253</v>
      </c>
      <c r="E542" t="s">
        <v>319</v>
      </c>
      <c r="G542" s="4">
        <v>43948.162905092593</v>
      </c>
      <c r="H542" s="4">
        <v>43948.162928240741</v>
      </c>
      <c r="I542" t="s">
        <v>88</v>
      </c>
      <c r="J542" s="5">
        <v>2</v>
      </c>
      <c r="K542" t="s">
        <v>38</v>
      </c>
      <c r="M542">
        <v>63185</v>
      </c>
      <c r="N542" t="s">
        <v>319</v>
      </c>
      <c r="O542" t="s">
        <v>320</v>
      </c>
      <c r="P542" t="s">
        <v>38</v>
      </c>
      <c r="Q542" t="s">
        <v>88</v>
      </c>
      <c r="R542">
        <v>2</v>
      </c>
      <c r="S542" t="s">
        <v>45</v>
      </c>
      <c r="T542" t="str" s="2">
        <f>=HYPERLINK("http://demo.enginatics.com:80/ecc/user/applications/log/63184.log","http://demo.enginatics.com:80/ecc/user/applications/log/63184.log")</f>
        <v>"http://demo.enginatics.com:80/ecc/user/applications/log/63184.log")</v>
      </c>
      <c r="U542">
        <v>63186</v>
      </c>
      <c r="V542" t="s">
        <v>38</v>
      </c>
      <c r="W542" t="s">
        <v>88</v>
      </c>
      <c r="X542">
        <v>2</v>
      </c>
      <c r="Y542">
        <v>1</v>
      </c>
      <c r="Z542" t="s">
        <v>46</v>
      </c>
      <c r="AA542">
        <v>63187</v>
      </c>
      <c r="AB542" t="s">
        <v>322</v>
      </c>
      <c r="AC542" t="s">
        <v>56</v>
      </c>
      <c r="AD542" t="s">
        <v>38</v>
      </c>
      <c r="AE542" t="s">
        <v>49</v>
      </c>
      <c r="AF542" t="s">
        <v>50</v>
      </c>
      <c r="AG542">
        <v>0</v>
      </c>
      <c r="AH542">
        <v>0</v>
      </c>
      <c r="AI542" t="s">
        <v>51</v>
      </c>
      <c r="AJ542" t="s">
        <v>51</v>
      </c>
      <c r="AK542" t="s">
        <v>51</v>
      </c>
    </row>
    <row r="543" spans="1:37" x14ac:dyDescent="0.2">
      <c r="A543">
        <v>63178</v>
      </c>
      <c r="B543" t="s">
        <v>37</v>
      </c>
      <c r="C543" t="s">
        <v>38</v>
      </c>
      <c r="D543" t="s">
        <v>253</v>
      </c>
      <c r="E543" t="s">
        <v>358</v>
      </c>
      <c r="G543" s="4">
        <v>43948.162789351852</v>
      </c>
      <c r="H543" s="4">
        <v>43948.162789351852</v>
      </c>
      <c r="I543" t="s">
        <v>50</v>
      </c>
      <c r="J543" s="5">
        <v>0</v>
      </c>
      <c r="K543" t="s">
        <v>38</v>
      </c>
      <c r="M543">
        <v>63179</v>
      </c>
      <c r="N543" t="s">
        <v>358</v>
      </c>
      <c r="O543" t="s">
        <v>359</v>
      </c>
      <c r="P543" t="s">
        <v>38</v>
      </c>
      <c r="Q543" t="s">
        <v>50</v>
      </c>
      <c r="R543">
        <v>0</v>
      </c>
      <c r="S543" t="s">
        <v>45</v>
      </c>
      <c r="T543" t="str" s="2">
        <f>=HYPERLINK("http://demo.enginatics.com:80/ecc/user/applications/log/63178.log","http://demo.enginatics.com:80/ecc/user/applications/log/63178.log")</f>
        <v>"http://demo.enginatics.com:80/ecc/user/applications/log/63178.log")</v>
      </c>
      <c r="U543">
        <v>63180</v>
      </c>
      <c r="V543" t="s">
        <v>38</v>
      </c>
      <c r="W543" t="s">
        <v>50</v>
      </c>
      <c r="X543">
        <v>0</v>
      </c>
      <c r="Y543">
        <v>0</v>
      </c>
      <c r="Z543" t="s">
        <v>46</v>
      </c>
      <c r="AA543">
        <v>63181</v>
      </c>
      <c r="AB543" t="s">
        <v>360</v>
      </c>
      <c r="AC543" t="s">
        <v>68</v>
      </c>
      <c r="AD543" t="s">
        <v>38</v>
      </c>
      <c r="AE543" t="s">
        <v>49</v>
      </c>
      <c r="AF543" t="s">
        <v>50</v>
      </c>
      <c r="AG543">
        <v>0</v>
      </c>
      <c r="AH543">
        <v>0</v>
      </c>
      <c r="AI543" t="s">
        <v>51</v>
      </c>
      <c r="AJ543" t="s">
        <v>51</v>
      </c>
      <c r="AK543" t="s">
        <v>51</v>
      </c>
    </row>
    <row r="544" spans="1:37" x14ac:dyDescent="0.2">
      <c r="A544">
        <v>63154</v>
      </c>
      <c r="B544" t="s">
        <v>37</v>
      </c>
      <c r="C544" t="s">
        <v>38</v>
      </c>
      <c r="D544" t="s">
        <v>323</v>
      </c>
      <c r="E544" t="s">
        <v>40</v>
      </c>
      <c r="G544" s="4">
        <v>43948.162488425926</v>
      </c>
      <c r="H544" s="4">
        <v>43948.163090277778</v>
      </c>
      <c r="I544" t="s">
        <v>907</v>
      </c>
      <c r="J544" s="5">
        <v>52.00000000000000000000000000000000000001</v>
      </c>
      <c r="K544" t="s">
        <v>38</v>
      </c>
      <c r="M544">
        <v>63191</v>
      </c>
      <c r="N544" t="s">
        <v>325</v>
      </c>
      <c r="O544" t="s">
        <v>326</v>
      </c>
      <c r="P544" t="s">
        <v>38</v>
      </c>
      <c r="Q544" t="s">
        <v>78</v>
      </c>
      <c r="R544">
        <v>5</v>
      </c>
      <c r="S544" t="s">
        <v>45</v>
      </c>
      <c r="T544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44">
        <v>63192</v>
      </c>
      <c r="V544" t="s">
        <v>38</v>
      </c>
      <c r="W544" t="s">
        <v>78</v>
      </c>
      <c r="X544">
        <v>5</v>
      </c>
      <c r="Y544">
        <v>0</v>
      </c>
      <c r="Z544" t="s">
        <v>46</v>
      </c>
      <c r="AA544">
        <v>63193</v>
      </c>
      <c r="AB544" t="s">
        <v>908</v>
      </c>
      <c r="AC544" t="s">
        <v>97</v>
      </c>
      <c r="AD544" t="s">
        <v>38</v>
      </c>
      <c r="AE544" t="s">
        <v>909</v>
      </c>
      <c r="AF544" t="s">
        <v>78</v>
      </c>
      <c r="AG544">
        <v>5</v>
      </c>
      <c r="AH544">
        <v>0</v>
      </c>
      <c r="AI544" t="s">
        <v>910</v>
      </c>
      <c r="AJ544" t="s">
        <v>51</v>
      </c>
      <c r="AK544" t="s">
        <v>910</v>
      </c>
    </row>
    <row r="545" spans="1:37" x14ac:dyDescent="0.2">
      <c r="A545">
        <v>63154</v>
      </c>
      <c r="B545" t="s">
        <v>37</v>
      </c>
      <c r="C545" t="s">
        <v>38</v>
      </c>
      <c r="D545" t="s">
        <v>323</v>
      </c>
      <c r="E545" t="s">
        <v>40</v>
      </c>
      <c r="G545" s="4">
        <v>43948.162488425926</v>
      </c>
      <c r="H545" s="4">
        <v>43948.163090277778</v>
      </c>
      <c r="I545" t="s">
        <v>907</v>
      </c>
      <c r="J545" s="5">
        <v>52.00000000000000000000000000000000000001</v>
      </c>
      <c r="K545" t="s">
        <v>38</v>
      </c>
      <c r="M545">
        <v>63175</v>
      </c>
      <c r="N545" t="s">
        <v>328</v>
      </c>
      <c r="O545" t="s">
        <v>329</v>
      </c>
      <c r="P545" t="s">
        <v>38</v>
      </c>
      <c r="Q545" t="s">
        <v>911</v>
      </c>
      <c r="R545">
        <v>22.00000000000000000000000000000000000003</v>
      </c>
      <c r="S545" t="s">
        <v>45</v>
      </c>
      <c r="T545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45">
        <v>63176</v>
      </c>
      <c r="V545" t="s">
        <v>38</v>
      </c>
      <c r="W545" t="s">
        <v>510</v>
      </c>
      <c r="X545">
        <v>21.00000000000000000000000000000000000004</v>
      </c>
      <c r="Y545">
        <v>0</v>
      </c>
      <c r="Z545" t="s">
        <v>46</v>
      </c>
      <c r="AA545">
        <v>63190</v>
      </c>
      <c r="AB545" t="s">
        <v>912</v>
      </c>
      <c r="AC545" t="s">
        <v>97</v>
      </c>
      <c r="AD545" t="s">
        <v>38</v>
      </c>
      <c r="AE545" t="s">
        <v>49</v>
      </c>
      <c r="AF545" t="s">
        <v>50</v>
      </c>
      <c r="AG545">
        <v>0</v>
      </c>
      <c r="AH545">
        <v>0</v>
      </c>
      <c r="AI545" t="s">
        <v>51</v>
      </c>
      <c r="AJ545" t="s">
        <v>51</v>
      </c>
      <c r="AK545" t="s">
        <v>51</v>
      </c>
    </row>
    <row r="546" spans="1:37" x14ac:dyDescent="0.2">
      <c r="A546">
        <v>63154</v>
      </c>
      <c r="B546" t="s">
        <v>37</v>
      </c>
      <c r="C546" t="s">
        <v>38</v>
      </c>
      <c r="D546" t="s">
        <v>323</v>
      </c>
      <c r="E546" t="s">
        <v>40</v>
      </c>
      <c r="G546" s="4">
        <v>43948.162488425926</v>
      </c>
      <c r="H546" s="4">
        <v>43948.163090277778</v>
      </c>
      <c r="I546" t="s">
        <v>907</v>
      </c>
      <c r="J546" s="5">
        <v>52.00000000000000000000000000000000000001</v>
      </c>
      <c r="K546" t="s">
        <v>38</v>
      </c>
      <c r="M546">
        <v>63175</v>
      </c>
      <c r="N546" t="s">
        <v>328</v>
      </c>
      <c r="O546" t="s">
        <v>329</v>
      </c>
      <c r="P546" t="s">
        <v>38</v>
      </c>
      <c r="Q546" t="s">
        <v>911</v>
      </c>
      <c r="R546">
        <v>22.00000000000000000000000000000000000003</v>
      </c>
      <c r="S546" t="s">
        <v>45</v>
      </c>
      <c r="T546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46">
        <v>63176</v>
      </c>
      <c r="V546" t="s">
        <v>38</v>
      </c>
      <c r="W546" t="s">
        <v>510</v>
      </c>
      <c r="X546">
        <v>21.00000000000000000000000000000000000004</v>
      </c>
      <c r="Y546">
        <v>0</v>
      </c>
      <c r="Z546" t="s">
        <v>46</v>
      </c>
      <c r="AA546">
        <v>63189</v>
      </c>
      <c r="AB546" t="s">
        <v>913</v>
      </c>
      <c r="AC546" t="s">
        <v>97</v>
      </c>
      <c r="AD546" t="s">
        <v>38</v>
      </c>
      <c r="AE546" t="s">
        <v>348</v>
      </c>
      <c r="AF546" t="s">
        <v>78</v>
      </c>
      <c r="AG546">
        <v>5</v>
      </c>
      <c r="AH546">
        <v>0</v>
      </c>
      <c r="AI546" t="s">
        <v>349</v>
      </c>
      <c r="AJ546" t="s">
        <v>51</v>
      </c>
      <c r="AK546" t="s">
        <v>349</v>
      </c>
    </row>
    <row r="547" spans="1:37" x14ac:dyDescent="0.2">
      <c r="A547">
        <v>63154</v>
      </c>
      <c r="B547" t="s">
        <v>37</v>
      </c>
      <c r="C547" t="s">
        <v>38</v>
      </c>
      <c r="D547" t="s">
        <v>323</v>
      </c>
      <c r="E547" t="s">
        <v>40</v>
      </c>
      <c r="G547" s="4">
        <v>43948.162488425926</v>
      </c>
      <c r="H547" s="4">
        <v>43948.163090277778</v>
      </c>
      <c r="I547" t="s">
        <v>907</v>
      </c>
      <c r="J547" s="5">
        <v>52.00000000000000000000000000000000000001</v>
      </c>
      <c r="K547" t="s">
        <v>38</v>
      </c>
      <c r="M547">
        <v>63175</v>
      </c>
      <c r="N547" t="s">
        <v>328</v>
      </c>
      <c r="O547" t="s">
        <v>329</v>
      </c>
      <c r="P547" t="s">
        <v>38</v>
      </c>
      <c r="Q547" t="s">
        <v>911</v>
      </c>
      <c r="R547">
        <v>22.00000000000000000000000000000000000003</v>
      </c>
      <c r="S547" t="s">
        <v>45</v>
      </c>
      <c r="T547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47">
        <v>63176</v>
      </c>
      <c r="V547" t="s">
        <v>38</v>
      </c>
      <c r="W547" t="s">
        <v>510</v>
      </c>
      <c r="X547">
        <v>21.00000000000000000000000000000000000004</v>
      </c>
      <c r="Y547">
        <v>0</v>
      </c>
      <c r="Z547" t="s">
        <v>46</v>
      </c>
      <c r="AA547">
        <v>63183</v>
      </c>
      <c r="AB547" t="s">
        <v>914</v>
      </c>
      <c r="AC547" t="s">
        <v>97</v>
      </c>
      <c r="AD547" t="s">
        <v>38</v>
      </c>
      <c r="AE547" t="s">
        <v>348</v>
      </c>
      <c r="AF547" t="s">
        <v>78</v>
      </c>
      <c r="AG547">
        <v>5</v>
      </c>
      <c r="AH547">
        <v>0</v>
      </c>
      <c r="AI547" t="s">
        <v>349</v>
      </c>
      <c r="AJ547" t="s">
        <v>51</v>
      </c>
      <c r="AK547" t="s">
        <v>349</v>
      </c>
    </row>
    <row r="548" spans="1:37" x14ac:dyDescent="0.2">
      <c r="A548">
        <v>63154</v>
      </c>
      <c r="B548" t="s">
        <v>37</v>
      </c>
      <c r="C548" t="s">
        <v>38</v>
      </c>
      <c r="D548" t="s">
        <v>323</v>
      </c>
      <c r="E548" t="s">
        <v>40</v>
      </c>
      <c r="G548" s="4">
        <v>43948.162488425926</v>
      </c>
      <c r="H548" s="4">
        <v>43948.163090277778</v>
      </c>
      <c r="I548" t="s">
        <v>907</v>
      </c>
      <c r="J548" s="5">
        <v>52.00000000000000000000000000000000000001</v>
      </c>
      <c r="K548" t="s">
        <v>38</v>
      </c>
      <c r="M548">
        <v>63175</v>
      </c>
      <c r="N548" t="s">
        <v>328</v>
      </c>
      <c r="O548" t="s">
        <v>329</v>
      </c>
      <c r="P548" t="s">
        <v>38</v>
      </c>
      <c r="Q548" t="s">
        <v>911</v>
      </c>
      <c r="R548">
        <v>22.00000000000000000000000000000000000003</v>
      </c>
      <c r="S548" t="s">
        <v>45</v>
      </c>
      <c r="T548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48">
        <v>63176</v>
      </c>
      <c r="V548" t="s">
        <v>38</v>
      </c>
      <c r="W548" t="s">
        <v>510</v>
      </c>
      <c r="X548">
        <v>21.00000000000000000000000000000000000004</v>
      </c>
      <c r="Y548">
        <v>0</v>
      </c>
      <c r="Z548" t="s">
        <v>46</v>
      </c>
      <c r="AA548">
        <v>63182</v>
      </c>
      <c r="AB548" t="s">
        <v>915</v>
      </c>
      <c r="AC548" t="s">
        <v>97</v>
      </c>
      <c r="AD548" t="s">
        <v>38</v>
      </c>
      <c r="AE548" t="s">
        <v>348</v>
      </c>
      <c r="AF548" t="s">
        <v>78</v>
      </c>
      <c r="AG548">
        <v>5</v>
      </c>
      <c r="AH548">
        <v>0</v>
      </c>
      <c r="AI548" t="s">
        <v>349</v>
      </c>
      <c r="AJ548" t="s">
        <v>51</v>
      </c>
      <c r="AK548" t="s">
        <v>349</v>
      </c>
    </row>
    <row r="549" spans="1:37" x14ac:dyDescent="0.2">
      <c r="A549">
        <v>63154</v>
      </c>
      <c r="B549" t="s">
        <v>37</v>
      </c>
      <c r="C549" t="s">
        <v>38</v>
      </c>
      <c r="D549" t="s">
        <v>323</v>
      </c>
      <c r="E549" t="s">
        <v>40</v>
      </c>
      <c r="G549" s="4">
        <v>43948.162488425926</v>
      </c>
      <c r="H549" s="4">
        <v>43948.163090277778</v>
      </c>
      <c r="I549" t="s">
        <v>907</v>
      </c>
      <c r="J549" s="5">
        <v>52.00000000000000000000000000000000000001</v>
      </c>
      <c r="K549" t="s">
        <v>38</v>
      </c>
      <c r="M549">
        <v>63175</v>
      </c>
      <c r="N549" t="s">
        <v>328</v>
      </c>
      <c r="O549" t="s">
        <v>329</v>
      </c>
      <c r="P549" t="s">
        <v>38</v>
      </c>
      <c r="Q549" t="s">
        <v>911</v>
      </c>
      <c r="R549">
        <v>22.00000000000000000000000000000000000003</v>
      </c>
      <c r="S549" t="s">
        <v>45</v>
      </c>
      <c r="T549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49">
        <v>63176</v>
      </c>
      <c r="V549" t="s">
        <v>38</v>
      </c>
      <c r="W549" t="s">
        <v>510</v>
      </c>
      <c r="X549">
        <v>21.00000000000000000000000000000000000004</v>
      </c>
      <c r="Y549">
        <v>0</v>
      </c>
      <c r="Z549" t="s">
        <v>46</v>
      </c>
      <c r="AA549">
        <v>63177</v>
      </c>
      <c r="AB549" t="s">
        <v>916</v>
      </c>
      <c r="AC549" t="s">
        <v>97</v>
      </c>
      <c r="AD549" t="s">
        <v>38</v>
      </c>
      <c r="AE549" t="s">
        <v>348</v>
      </c>
      <c r="AF549" t="s">
        <v>78</v>
      </c>
      <c r="AG549">
        <v>5</v>
      </c>
      <c r="AH549">
        <v>0</v>
      </c>
      <c r="AI549" t="s">
        <v>349</v>
      </c>
      <c r="AJ549" t="s">
        <v>51</v>
      </c>
      <c r="AK549" t="s">
        <v>349</v>
      </c>
    </row>
    <row r="550" spans="1:37" x14ac:dyDescent="0.2">
      <c r="A550">
        <v>63154</v>
      </c>
      <c r="B550" t="s">
        <v>37</v>
      </c>
      <c r="C550" t="s">
        <v>38</v>
      </c>
      <c r="D550" t="s">
        <v>323</v>
      </c>
      <c r="E550" t="s">
        <v>40</v>
      </c>
      <c r="G550" s="4">
        <v>43948.162488425926</v>
      </c>
      <c r="H550" s="4">
        <v>43948.163090277778</v>
      </c>
      <c r="I550" t="s">
        <v>907</v>
      </c>
      <c r="J550" s="5">
        <v>52.00000000000000000000000000000000000001</v>
      </c>
      <c r="K550" t="s">
        <v>38</v>
      </c>
      <c r="M550">
        <v>63167</v>
      </c>
      <c r="N550" t="s">
        <v>335</v>
      </c>
      <c r="O550" t="s">
        <v>336</v>
      </c>
      <c r="P550" t="s">
        <v>38</v>
      </c>
      <c r="Q550" t="s">
        <v>315</v>
      </c>
      <c r="R550">
        <v>14</v>
      </c>
      <c r="S550" t="s">
        <v>45</v>
      </c>
      <c r="T550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0">
        <v>63168</v>
      </c>
      <c r="V550" t="s">
        <v>38</v>
      </c>
      <c r="W550" t="s">
        <v>236</v>
      </c>
      <c r="X550">
        <v>12.00000000000000000000000000000000000001</v>
      </c>
      <c r="Y550">
        <v>0</v>
      </c>
      <c r="Z550" t="s">
        <v>46</v>
      </c>
      <c r="AA550">
        <v>63174</v>
      </c>
      <c r="AB550" t="s">
        <v>917</v>
      </c>
      <c r="AC550" t="s">
        <v>97</v>
      </c>
      <c r="AD550" t="s">
        <v>38</v>
      </c>
      <c r="AE550" t="s">
        <v>49</v>
      </c>
      <c r="AF550" t="s">
        <v>50</v>
      </c>
      <c r="AG550">
        <v>0</v>
      </c>
      <c r="AH550">
        <v>0</v>
      </c>
      <c r="AI550" t="s">
        <v>51</v>
      </c>
      <c r="AJ550" t="s">
        <v>51</v>
      </c>
      <c r="AK550" t="s">
        <v>51</v>
      </c>
    </row>
    <row r="551" spans="1:37" x14ac:dyDescent="0.2">
      <c r="A551">
        <v>63154</v>
      </c>
      <c r="B551" t="s">
        <v>37</v>
      </c>
      <c r="C551" t="s">
        <v>38</v>
      </c>
      <c r="D551" t="s">
        <v>323</v>
      </c>
      <c r="E551" t="s">
        <v>40</v>
      </c>
      <c r="G551" s="4">
        <v>43948.162488425926</v>
      </c>
      <c r="H551" s="4">
        <v>43948.163090277778</v>
      </c>
      <c r="I551" t="s">
        <v>907</v>
      </c>
      <c r="J551" s="5">
        <v>52.00000000000000000000000000000000000001</v>
      </c>
      <c r="K551" t="s">
        <v>38</v>
      </c>
      <c r="M551">
        <v>63167</v>
      </c>
      <c r="N551" t="s">
        <v>335</v>
      </c>
      <c r="O551" t="s">
        <v>336</v>
      </c>
      <c r="P551" t="s">
        <v>38</v>
      </c>
      <c r="Q551" t="s">
        <v>315</v>
      </c>
      <c r="R551">
        <v>14</v>
      </c>
      <c r="S551" t="s">
        <v>45</v>
      </c>
      <c r="T551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1">
        <v>63168</v>
      </c>
      <c r="V551" t="s">
        <v>38</v>
      </c>
      <c r="W551" t="s">
        <v>236</v>
      </c>
      <c r="X551">
        <v>12.00000000000000000000000000000000000001</v>
      </c>
      <c r="Y551">
        <v>0</v>
      </c>
      <c r="Z551" t="s">
        <v>46</v>
      </c>
      <c r="AA551">
        <v>63173</v>
      </c>
      <c r="AB551" t="s">
        <v>918</v>
      </c>
      <c r="AC551" t="s">
        <v>97</v>
      </c>
      <c r="AD551" t="s">
        <v>38</v>
      </c>
      <c r="AE551" t="s">
        <v>49</v>
      </c>
      <c r="AF551" t="s">
        <v>50</v>
      </c>
      <c r="AG551">
        <v>0</v>
      </c>
      <c r="AH551">
        <v>0</v>
      </c>
      <c r="AI551" t="s">
        <v>51</v>
      </c>
      <c r="AJ551" t="s">
        <v>51</v>
      </c>
      <c r="AK551" t="s">
        <v>51</v>
      </c>
    </row>
    <row r="552" spans="1:37" x14ac:dyDescent="0.2">
      <c r="A552">
        <v>63154</v>
      </c>
      <c r="B552" t="s">
        <v>37</v>
      </c>
      <c r="C552" t="s">
        <v>38</v>
      </c>
      <c r="D552" t="s">
        <v>323</v>
      </c>
      <c r="E552" t="s">
        <v>40</v>
      </c>
      <c r="G552" s="4">
        <v>43948.162488425926</v>
      </c>
      <c r="H552" s="4">
        <v>43948.163090277778</v>
      </c>
      <c r="I552" t="s">
        <v>907</v>
      </c>
      <c r="J552" s="5">
        <v>52.00000000000000000000000000000000000001</v>
      </c>
      <c r="K552" t="s">
        <v>38</v>
      </c>
      <c r="M552">
        <v>63167</v>
      </c>
      <c r="N552" t="s">
        <v>335</v>
      </c>
      <c r="O552" t="s">
        <v>336</v>
      </c>
      <c r="P552" t="s">
        <v>38</v>
      </c>
      <c r="Q552" t="s">
        <v>315</v>
      </c>
      <c r="R552">
        <v>14</v>
      </c>
      <c r="S552" t="s">
        <v>45</v>
      </c>
      <c r="T552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2">
        <v>63168</v>
      </c>
      <c r="V552" t="s">
        <v>38</v>
      </c>
      <c r="W552" t="s">
        <v>236</v>
      </c>
      <c r="X552">
        <v>12.00000000000000000000000000000000000001</v>
      </c>
      <c r="Y552">
        <v>0</v>
      </c>
      <c r="Z552" t="s">
        <v>46</v>
      </c>
      <c r="AA552">
        <v>63172</v>
      </c>
      <c r="AB552" t="s">
        <v>919</v>
      </c>
      <c r="AC552" t="s">
        <v>97</v>
      </c>
      <c r="AD552" t="s">
        <v>38</v>
      </c>
      <c r="AE552" t="s">
        <v>49</v>
      </c>
      <c r="AF552" t="s">
        <v>50</v>
      </c>
      <c r="AG552">
        <v>.9999999999999999999999999999999999999996</v>
      </c>
      <c r="AH552">
        <v>0</v>
      </c>
      <c r="AI552" t="s">
        <v>51</v>
      </c>
      <c r="AJ552" t="s">
        <v>51</v>
      </c>
      <c r="AK552" t="s">
        <v>51</v>
      </c>
    </row>
    <row r="553" spans="1:37" x14ac:dyDescent="0.2">
      <c r="A553">
        <v>63154</v>
      </c>
      <c r="B553" t="s">
        <v>37</v>
      </c>
      <c r="C553" t="s">
        <v>38</v>
      </c>
      <c r="D553" t="s">
        <v>323</v>
      </c>
      <c r="E553" t="s">
        <v>40</v>
      </c>
      <c r="G553" s="4">
        <v>43948.162488425926</v>
      </c>
      <c r="H553" s="4">
        <v>43948.163090277778</v>
      </c>
      <c r="I553" t="s">
        <v>907</v>
      </c>
      <c r="J553" s="5">
        <v>52.00000000000000000000000000000000000001</v>
      </c>
      <c r="K553" t="s">
        <v>38</v>
      </c>
      <c r="M553">
        <v>63167</v>
      </c>
      <c r="N553" t="s">
        <v>335</v>
      </c>
      <c r="O553" t="s">
        <v>336</v>
      </c>
      <c r="P553" t="s">
        <v>38</v>
      </c>
      <c r="Q553" t="s">
        <v>315</v>
      </c>
      <c r="R553">
        <v>14</v>
      </c>
      <c r="S553" t="s">
        <v>45</v>
      </c>
      <c r="T553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3">
        <v>63168</v>
      </c>
      <c r="V553" t="s">
        <v>38</v>
      </c>
      <c r="W553" t="s">
        <v>236</v>
      </c>
      <c r="X553">
        <v>12.00000000000000000000000000000000000001</v>
      </c>
      <c r="Y553">
        <v>0</v>
      </c>
      <c r="Z553" t="s">
        <v>46</v>
      </c>
      <c r="AA553">
        <v>63171</v>
      </c>
      <c r="AB553" t="s">
        <v>920</v>
      </c>
      <c r="AC553" t="s">
        <v>97</v>
      </c>
      <c r="AD553" t="s">
        <v>38</v>
      </c>
      <c r="AE553" t="s">
        <v>348</v>
      </c>
      <c r="AF553" t="s">
        <v>85</v>
      </c>
      <c r="AG553">
        <v>3</v>
      </c>
      <c r="AH553">
        <v>1</v>
      </c>
      <c r="AI553" t="s">
        <v>349</v>
      </c>
      <c r="AJ553" t="s">
        <v>51</v>
      </c>
      <c r="AK553" t="s">
        <v>349</v>
      </c>
    </row>
    <row r="554" spans="1:37" x14ac:dyDescent="0.2">
      <c r="A554">
        <v>63154</v>
      </c>
      <c r="B554" t="s">
        <v>37</v>
      </c>
      <c r="C554" t="s">
        <v>38</v>
      </c>
      <c r="D554" t="s">
        <v>323</v>
      </c>
      <c r="E554" t="s">
        <v>40</v>
      </c>
      <c r="G554" s="4">
        <v>43948.162488425926</v>
      </c>
      <c r="H554" s="4">
        <v>43948.163090277778</v>
      </c>
      <c r="I554" t="s">
        <v>907</v>
      </c>
      <c r="J554" s="5">
        <v>52.00000000000000000000000000000000000001</v>
      </c>
      <c r="K554" t="s">
        <v>38</v>
      </c>
      <c r="M554">
        <v>63167</v>
      </c>
      <c r="N554" t="s">
        <v>335</v>
      </c>
      <c r="O554" t="s">
        <v>336</v>
      </c>
      <c r="P554" t="s">
        <v>38</v>
      </c>
      <c r="Q554" t="s">
        <v>315</v>
      </c>
      <c r="R554">
        <v>14</v>
      </c>
      <c r="S554" t="s">
        <v>45</v>
      </c>
      <c r="T554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4">
        <v>63168</v>
      </c>
      <c r="V554" t="s">
        <v>38</v>
      </c>
      <c r="W554" t="s">
        <v>236</v>
      </c>
      <c r="X554">
        <v>12.00000000000000000000000000000000000001</v>
      </c>
      <c r="Y554">
        <v>0</v>
      </c>
      <c r="Z554" t="s">
        <v>46</v>
      </c>
      <c r="AA554">
        <v>63170</v>
      </c>
      <c r="AB554" t="s">
        <v>921</v>
      </c>
      <c r="AC554" t="s">
        <v>97</v>
      </c>
      <c r="AD554" t="s">
        <v>38</v>
      </c>
      <c r="AE554" t="s">
        <v>49</v>
      </c>
      <c r="AF554" t="s">
        <v>75</v>
      </c>
      <c r="AG554">
        <v>6</v>
      </c>
      <c r="AH554">
        <v>6</v>
      </c>
      <c r="AI554" t="s">
        <v>51</v>
      </c>
      <c r="AJ554" t="s">
        <v>51</v>
      </c>
      <c r="AK554" t="s">
        <v>51</v>
      </c>
    </row>
    <row r="555" spans="1:37" x14ac:dyDescent="0.2">
      <c r="A555">
        <v>63154</v>
      </c>
      <c r="B555" t="s">
        <v>37</v>
      </c>
      <c r="C555" t="s">
        <v>38</v>
      </c>
      <c r="D555" t="s">
        <v>323</v>
      </c>
      <c r="E555" t="s">
        <v>40</v>
      </c>
      <c r="G555" s="4">
        <v>43948.162488425926</v>
      </c>
      <c r="H555" s="4">
        <v>43948.163090277778</v>
      </c>
      <c r="I555" t="s">
        <v>907</v>
      </c>
      <c r="J555" s="5">
        <v>52.00000000000000000000000000000000000001</v>
      </c>
      <c r="K555" t="s">
        <v>38</v>
      </c>
      <c r="M555">
        <v>63167</v>
      </c>
      <c r="N555" t="s">
        <v>335</v>
      </c>
      <c r="O555" t="s">
        <v>336</v>
      </c>
      <c r="P555" t="s">
        <v>38</v>
      </c>
      <c r="Q555" t="s">
        <v>315</v>
      </c>
      <c r="R555">
        <v>14</v>
      </c>
      <c r="S555" t="s">
        <v>45</v>
      </c>
      <c r="T555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5">
        <v>63168</v>
      </c>
      <c r="V555" t="s">
        <v>38</v>
      </c>
      <c r="W555" t="s">
        <v>236</v>
      </c>
      <c r="X555">
        <v>12.00000000000000000000000000000000000001</v>
      </c>
      <c r="Y555">
        <v>0</v>
      </c>
      <c r="Z555" t="s">
        <v>46</v>
      </c>
      <c r="AA555">
        <v>63169</v>
      </c>
      <c r="AB555" t="s">
        <v>922</v>
      </c>
      <c r="AC555" t="s">
        <v>97</v>
      </c>
      <c r="AD555" t="s">
        <v>38</v>
      </c>
      <c r="AE555" t="s">
        <v>49</v>
      </c>
      <c r="AF555" t="s">
        <v>50</v>
      </c>
      <c r="AG555">
        <v>.9999999999999999999999999999999999999996</v>
      </c>
      <c r="AH555">
        <v>0</v>
      </c>
      <c r="AI555" t="s">
        <v>51</v>
      </c>
      <c r="AJ555" t="s">
        <v>51</v>
      </c>
      <c r="AK555" t="s">
        <v>51</v>
      </c>
    </row>
    <row r="556" spans="1:37" x14ac:dyDescent="0.2">
      <c r="A556">
        <v>63154</v>
      </c>
      <c r="B556" t="s">
        <v>37</v>
      </c>
      <c r="C556" t="s">
        <v>38</v>
      </c>
      <c r="D556" t="s">
        <v>323</v>
      </c>
      <c r="E556" t="s">
        <v>40</v>
      </c>
      <c r="G556" s="4">
        <v>43948.162488425926</v>
      </c>
      <c r="H556" s="4">
        <v>43948.163090277778</v>
      </c>
      <c r="I556" t="s">
        <v>907</v>
      </c>
      <c r="J556" s="5">
        <v>52.00000000000000000000000000000000000001</v>
      </c>
      <c r="K556" t="s">
        <v>38</v>
      </c>
      <c r="M556">
        <v>63163</v>
      </c>
      <c r="N556" t="s">
        <v>344</v>
      </c>
      <c r="O556" t="s">
        <v>345</v>
      </c>
      <c r="P556" t="s">
        <v>38</v>
      </c>
      <c r="Q556" t="s">
        <v>50</v>
      </c>
      <c r="R556">
        <v>.9999999999999999999999999999999999999996</v>
      </c>
      <c r="S556" t="s">
        <v>45</v>
      </c>
      <c r="T556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6">
        <v>63164</v>
      </c>
      <c r="V556" t="s">
        <v>38</v>
      </c>
      <c r="W556" t="s">
        <v>50</v>
      </c>
      <c r="X556">
        <v>.9999999999999999999999999999999999999996</v>
      </c>
      <c r="Y556">
        <v>0</v>
      </c>
      <c r="Z556" t="s">
        <v>46</v>
      </c>
      <c r="AA556">
        <v>63166</v>
      </c>
      <c r="AB556" t="s">
        <v>923</v>
      </c>
      <c r="AC556" t="s">
        <v>56</v>
      </c>
      <c r="AD556" t="s">
        <v>38</v>
      </c>
      <c r="AE556" t="s">
        <v>49</v>
      </c>
      <c r="AF556" t="s">
        <v>50</v>
      </c>
      <c r="AG556">
        <v>0</v>
      </c>
      <c r="AH556">
        <v>0</v>
      </c>
      <c r="AI556" t="s">
        <v>51</v>
      </c>
      <c r="AJ556" t="s">
        <v>51</v>
      </c>
      <c r="AK556" t="s">
        <v>51</v>
      </c>
    </row>
    <row r="557" spans="1:37" x14ac:dyDescent="0.2">
      <c r="A557">
        <v>63154</v>
      </c>
      <c r="B557" t="s">
        <v>37</v>
      </c>
      <c r="C557" t="s">
        <v>38</v>
      </c>
      <c r="D557" t="s">
        <v>323</v>
      </c>
      <c r="E557" t="s">
        <v>40</v>
      </c>
      <c r="G557" s="4">
        <v>43948.162488425926</v>
      </c>
      <c r="H557" s="4">
        <v>43948.163090277778</v>
      </c>
      <c r="I557" t="s">
        <v>907</v>
      </c>
      <c r="J557" s="5">
        <v>52.00000000000000000000000000000000000001</v>
      </c>
      <c r="K557" t="s">
        <v>38</v>
      </c>
      <c r="M557">
        <v>63163</v>
      </c>
      <c r="N557" t="s">
        <v>344</v>
      </c>
      <c r="O557" t="s">
        <v>345</v>
      </c>
      <c r="P557" t="s">
        <v>38</v>
      </c>
      <c r="Q557" t="s">
        <v>50</v>
      </c>
      <c r="R557">
        <v>.9999999999999999999999999999999999999996</v>
      </c>
      <c r="S557" t="s">
        <v>45</v>
      </c>
      <c r="T557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7">
        <v>63164</v>
      </c>
      <c r="V557" t="s">
        <v>38</v>
      </c>
      <c r="W557" t="s">
        <v>50</v>
      </c>
      <c r="X557">
        <v>.9999999999999999999999999999999999999996</v>
      </c>
      <c r="Y557">
        <v>0</v>
      </c>
      <c r="Z557" t="s">
        <v>46</v>
      </c>
      <c r="AA557">
        <v>63165</v>
      </c>
      <c r="AB557" t="s">
        <v>924</v>
      </c>
      <c r="AC557" t="s">
        <v>97</v>
      </c>
      <c r="AD557" t="s">
        <v>38</v>
      </c>
      <c r="AE557" t="s">
        <v>49</v>
      </c>
      <c r="AF557" t="s">
        <v>50</v>
      </c>
      <c r="AG557">
        <v>.9999999999999999999999999999999999999996</v>
      </c>
      <c r="AH557">
        <v>1</v>
      </c>
      <c r="AI557" t="s">
        <v>51</v>
      </c>
      <c r="AJ557" t="s">
        <v>51</v>
      </c>
      <c r="AK557" t="s">
        <v>51</v>
      </c>
    </row>
    <row r="558" spans="1:37" x14ac:dyDescent="0.2">
      <c r="A558">
        <v>63154</v>
      </c>
      <c r="B558" t="s">
        <v>37</v>
      </c>
      <c r="C558" t="s">
        <v>38</v>
      </c>
      <c r="D558" t="s">
        <v>323</v>
      </c>
      <c r="E558" t="s">
        <v>40</v>
      </c>
      <c r="G558" s="4">
        <v>43948.162488425926</v>
      </c>
      <c r="H558" s="4">
        <v>43948.163090277778</v>
      </c>
      <c r="I558" t="s">
        <v>907</v>
      </c>
      <c r="J558" s="5">
        <v>52.00000000000000000000000000000000000001</v>
      </c>
      <c r="K558" t="s">
        <v>38</v>
      </c>
      <c r="M558">
        <v>63160</v>
      </c>
      <c r="N558" t="s">
        <v>350</v>
      </c>
      <c r="O558" t="s">
        <v>351</v>
      </c>
      <c r="P558" t="s">
        <v>38</v>
      </c>
      <c r="Q558" t="s">
        <v>50</v>
      </c>
      <c r="R558">
        <v>0</v>
      </c>
      <c r="S558" t="s">
        <v>45</v>
      </c>
      <c r="T558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8">
        <v>63161</v>
      </c>
      <c r="V558" t="s">
        <v>38</v>
      </c>
      <c r="W558" t="s">
        <v>50</v>
      </c>
      <c r="X558">
        <v>0</v>
      </c>
      <c r="Y558">
        <v>0</v>
      </c>
      <c r="Z558" t="s">
        <v>46</v>
      </c>
      <c r="AA558">
        <v>63162</v>
      </c>
      <c r="AB558" t="s">
        <v>925</v>
      </c>
      <c r="AC558" t="s">
        <v>97</v>
      </c>
      <c r="AD558" t="s">
        <v>38</v>
      </c>
      <c r="AE558" t="s">
        <v>49</v>
      </c>
      <c r="AF558" t="s">
        <v>50</v>
      </c>
      <c r="AG558">
        <v>0</v>
      </c>
      <c r="AH558">
        <v>0</v>
      </c>
      <c r="AI558" t="s">
        <v>51</v>
      </c>
      <c r="AJ558" t="s">
        <v>51</v>
      </c>
      <c r="AK558" t="s">
        <v>51</v>
      </c>
    </row>
    <row r="559" spans="1:37" x14ac:dyDescent="0.2">
      <c r="A559">
        <v>63154</v>
      </c>
      <c r="B559" t="s">
        <v>37</v>
      </c>
      <c r="C559" t="s">
        <v>38</v>
      </c>
      <c r="D559" t="s">
        <v>323</v>
      </c>
      <c r="E559" t="s">
        <v>40</v>
      </c>
      <c r="G559" s="4">
        <v>43948.162488425926</v>
      </c>
      <c r="H559" s="4">
        <v>43948.163090277778</v>
      </c>
      <c r="I559" t="s">
        <v>907</v>
      </c>
      <c r="J559" s="5">
        <v>52.00000000000000000000000000000000000001</v>
      </c>
      <c r="K559" t="s">
        <v>38</v>
      </c>
      <c r="M559">
        <v>63155</v>
      </c>
      <c r="N559" t="s">
        <v>353</v>
      </c>
      <c r="O559" t="s">
        <v>354</v>
      </c>
      <c r="P559" t="s">
        <v>38</v>
      </c>
      <c r="Q559" t="s">
        <v>652</v>
      </c>
      <c r="R559">
        <v>8</v>
      </c>
      <c r="S559" t="s">
        <v>45</v>
      </c>
      <c r="T559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59">
        <v>63156</v>
      </c>
      <c r="V559" t="s">
        <v>38</v>
      </c>
      <c r="W559" t="s">
        <v>652</v>
      </c>
      <c r="X559">
        <v>8</v>
      </c>
      <c r="Y559">
        <v>0</v>
      </c>
      <c r="Z559" t="s">
        <v>46</v>
      </c>
      <c r="AA559">
        <v>63159</v>
      </c>
      <c r="AB559" t="s">
        <v>926</v>
      </c>
      <c r="AC559" t="s">
        <v>97</v>
      </c>
      <c r="AD559" t="s">
        <v>38</v>
      </c>
      <c r="AE559" t="s">
        <v>49</v>
      </c>
      <c r="AF559" t="s">
        <v>50</v>
      </c>
      <c r="AG559">
        <v>0</v>
      </c>
      <c r="AH559">
        <v>0</v>
      </c>
      <c r="AI559" t="s">
        <v>51</v>
      </c>
      <c r="AJ559" t="s">
        <v>51</v>
      </c>
      <c r="AK559" t="s">
        <v>51</v>
      </c>
    </row>
    <row r="560" spans="1:37" x14ac:dyDescent="0.2">
      <c r="A560">
        <v>63154</v>
      </c>
      <c r="B560" t="s">
        <v>37</v>
      </c>
      <c r="C560" t="s">
        <v>38</v>
      </c>
      <c r="D560" t="s">
        <v>323</v>
      </c>
      <c r="E560" t="s">
        <v>40</v>
      </c>
      <c r="G560" s="4">
        <v>43948.162488425926</v>
      </c>
      <c r="H560" s="4">
        <v>43948.163090277778</v>
      </c>
      <c r="I560" t="s">
        <v>907</v>
      </c>
      <c r="J560" s="5">
        <v>52.00000000000000000000000000000000000001</v>
      </c>
      <c r="K560" t="s">
        <v>38</v>
      </c>
      <c r="M560">
        <v>63155</v>
      </c>
      <c r="N560" t="s">
        <v>353</v>
      </c>
      <c r="O560" t="s">
        <v>354</v>
      </c>
      <c r="P560" t="s">
        <v>38</v>
      </c>
      <c r="Q560" t="s">
        <v>652</v>
      </c>
      <c r="R560">
        <v>8</v>
      </c>
      <c r="S560" t="s">
        <v>45</v>
      </c>
      <c r="T560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60">
        <v>63156</v>
      </c>
      <c r="V560" t="s">
        <v>38</v>
      </c>
      <c r="W560" t="s">
        <v>652</v>
      </c>
      <c r="X560">
        <v>8</v>
      </c>
      <c r="Y560">
        <v>0</v>
      </c>
      <c r="Z560" t="s">
        <v>46</v>
      </c>
      <c r="AA560">
        <v>63158</v>
      </c>
      <c r="AB560" t="s">
        <v>927</v>
      </c>
      <c r="AC560" t="s">
        <v>97</v>
      </c>
      <c r="AD560" t="s">
        <v>38</v>
      </c>
      <c r="AE560" t="s">
        <v>49</v>
      </c>
      <c r="AF560" t="s">
        <v>85</v>
      </c>
      <c r="AG560">
        <v>3</v>
      </c>
      <c r="AH560">
        <v>0</v>
      </c>
      <c r="AI560" t="s">
        <v>51</v>
      </c>
      <c r="AJ560" t="s">
        <v>51</v>
      </c>
      <c r="AK560" t="s">
        <v>51</v>
      </c>
    </row>
    <row r="561" spans="1:37" x14ac:dyDescent="0.2">
      <c r="A561">
        <v>63154</v>
      </c>
      <c r="B561" t="s">
        <v>37</v>
      </c>
      <c r="C561" t="s">
        <v>38</v>
      </c>
      <c r="D561" t="s">
        <v>323</v>
      </c>
      <c r="E561" t="s">
        <v>40</v>
      </c>
      <c r="G561" s="4">
        <v>43948.162488425926</v>
      </c>
      <c r="H561" s="4">
        <v>43948.163090277778</v>
      </c>
      <c r="I561" t="s">
        <v>907</v>
      </c>
      <c r="J561" s="5">
        <v>52.00000000000000000000000000000000000001</v>
      </c>
      <c r="K561" t="s">
        <v>38</v>
      </c>
      <c r="M561">
        <v>63155</v>
      </c>
      <c r="N561" t="s">
        <v>353</v>
      </c>
      <c r="O561" t="s">
        <v>354</v>
      </c>
      <c r="P561" t="s">
        <v>38</v>
      </c>
      <c r="Q561" t="s">
        <v>652</v>
      </c>
      <c r="R561">
        <v>8</v>
      </c>
      <c r="S561" t="s">
        <v>45</v>
      </c>
      <c r="T561" t="str" s="2">
        <f>=HYPERLINK("http://demo.enginatics.com:80/ecc/user/applications/log/63154.log","http://demo.enginatics.com:80/ecc/user/applications/log/63154.log")</f>
        <v>"http://demo.enginatics.com:80/ecc/user/applications/log/63154.log")</v>
      </c>
      <c r="U561">
        <v>63156</v>
      </c>
      <c r="V561" t="s">
        <v>38</v>
      </c>
      <c r="W561" t="s">
        <v>652</v>
      </c>
      <c r="X561">
        <v>8</v>
      </c>
      <c r="Y561">
        <v>0</v>
      </c>
      <c r="Z561" t="s">
        <v>46</v>
      </c>
      <c r="AA561">
        <v>63157</v>
      </c>
      <c r="AB561" t="s">
        <v>928</v>
      </c>
      <c r="AC561" t="s">
        <v>97</v>
      </c>
      <c r="AD561" t="s">
        <v>38</v>
      </c>
      <c r="AE561" t="s">
        <v>878</v>
      </c>
      <c r="AF561" t="s">
        <v>78</v>
      </c>
      <c r="AG561">
        <v>5</v>
      </c>
      <c r="AH561">
        <v>0</v>
      </c>
      <c r="AI561" t="s">
        <v>879</v>
      </c>
      <c r="AJ561" t="s">
        <v>51</v>
      </c>
      <c r="AK561" t="s">
        <v>879</v>
      </c>
    </row>
    <row r="562" spans="1:37" x14ac:dyDescent="0.2">
      <c r="A562">
        <v>63099</v>
      </c>
      <c r="B562" t="s">
        <v>37</v>
      </c>
      <c r="C562" t="s">
        <v>196</v>
      </c>
      <c r="D562" t="s">
        <v>361</v>
      </c>
      <c r="E562" t="s">
        <v>40</v>
      </c>
      <c r="G562" s="4">
        <v>43948.16224537037</v>
      </c>
      <c r="H562" s="4">
        <v>43948.162349537037</v>
      </c>
      <c r="I562" t="s">
        <v>238</v>
      </c>
      <c r="J562" s="5">
        <v>9.00000000000000000000000000000000000003</v>
      </c>
      <c r="K562" t="s">
        <v>196</v>
      </c>
      <c r="M562">
        <v>63152</v>
      </c>
      <c r="N562" t="s">
        <v>362</v>
      </c>
      <c r="O562" t="s">
        <v>363</v>
      </c>
      <c r="P562" t="s">
        <v>196</v>
      </c>
      <c r="Q562" t="s">
        <v>50</v>
      </c>
      <c r="R562">
        <v>0</v>
      </c>
      <c r="S562" t="s">
        <v>364</v>
      </c>
      <c r="T562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2">
        <v>63153</v>
      </c>
      <c r="V562" t="s">
        <v>196</v>
      </c>
      <c r="W562" t="s">
        <v>50</v>
      </c>
      <c r="X562">
        <v>0</v>
      </c>
      <c r="Y562">
        <v>0</v>
      </c>
      <c r="Z562" t="s">
        <v>929</v>
      </c>
    </row>
    <row r="563" spans="1:37" x14ac:dyDescent="0.2">
      <c r="A563">
        <v>63099</v>
      </c>
      <c r="B563" t="s">
        <v>37</v>
      </c>
      <c r="C563" t="s">
        <v>196</v>
      </c>
      <c r="D563" t="s">
        <v>361</v>
      </c>
      <c r="E563" t="s">
        <v>40</v>
      </c>
      <c r="G563" s="4">
        <v>43948.16224537037</v>
      </c>
      <c r="H563" s="4">
        <v>43948.162349537037</v>
      </c>
      <c r="I563" t="s">
        <v>238</v>
      </c>
      <c r="J563" s="5">
        <v>9.00000000000000000000000000000000000003</v>
      </c>
      <c r="K563" t="s">
        <v>196</v>
      </c>
      <c r="M563">
        <v>63149</v>
      </c>
      <c r="N563" t="s">
        <v>366</v>
      </c>
      <c r="O563" t="s">
        <v>367</v>
      </c>
      <c r="P563" t="s">
        <v>38</v>
      </c>
      <c r="Q563" t="s">
        <v>50</v>
      </c>
      <c r="R563">
        <v>0</v>
      </c>
      <c r="S563" t="s">
        <v>45</v>
      </c>
      <c r="T563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3">
        <v>63150</v>
      </c>
      <c r="V563" t="s">
        <v>38</v>
      </c>
      <c r="W563" t="s">
        <v>50</v>
      </c>
      <c r="X563">
        <v>0</v>
      </c>
      <c r="Y563">
        <v>0</v>
      </c>
      <c r="Z563" t="s">
        <v>46</v>
      </c>
      <c r="AA563">
        <v>63151</v>
      </c>
      <c r="AB563" t="s">
        <v>930</v>
      </c>
      <c r="AC563" t="s">
        <v>97</v>
      </c>
      <c r="AD563" t="s">
        <v>38</v>
      </c>
      <c r="AE563" t="s">
        <v>49</v>
      </c>
      <c r="AF563" t="s">
        <v>50</v>
      </c>
      <c r="AG563">
        <v>0</v>
      </c>
      <c r="AH563">
        <v>0</v>
      </c>
      <c r="AI563" t="s">
        <v>51</v>
      </c>
      <c r="AJ563" t="s">
        <v>51</v>
      </c>
      <c r="AK563" t="s">
        <v>51</v>
      </c>
    </row>
    <row r="564" spans="1:37" x14ac:dyDescent="0.2">
      <c r="A564">
        <v>63099</v>
      </c>
      <c r="B564" t="s">
        <v>37</v>
      </c>
      <c r="C564" t="s">
        <v>196</v>
      </c>
      <c r="D564" t="s">
        <v>361</v>
      </c>
      <c r="E564" t="s">
        <v>40</v>
      </c>
      <c r="G564" s="4">
        <v>43948.16224537037</v>
      </c>
      <c r="H564" s="4">
        <v>43948.162349537037</v>
      </c>
      <c r="I564" t="s">
        <v>238</v>
      </c>
      <c r="J564" s="5">
        <v>9.00000000000000000000000000000000000003</v>
      </c>
      <c r="K564" t="s">
        <v>196</v>
      </c>
      <c r="M564">
        <v>63147</v>
      </c>
      <c r="N564" t="s">
        <v>369</v>
      </c>
      <c r="O564" t="s">
        <v>345</v>
      </c>
      <c r="P564" t="s">
        <v>196</v>
      </c>
      <c r="Q564" t="s">
        <v>50</v>
      </c>
      <c r="R564">
        <v>0</v>
      </c>
      <c r="S564" t="s">
        <v>370</v>
      </c>
      <c r="T564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4">
        <v>63148</v>
      </c>
      <c r="V564" t="s">
        <v>196</v>
      </c>
      <c r="W564" t="s">
        <v>50</v>
      </c>
      <c r="X564">
        <v>0</v>
      </c>
      <c r="Y564">
        <v>0</v>
      </c>
      <c r="Z564" t="s">
        <v>931</v>
      </c>
    </row>
    <row r="565" spans="1:37" x14ac:dyDescent="0.2">
      <c r="A565">
        <v>63099</v>
      </c>
      <c r="B565" t="s">
        <v>37</v>
      </c>
      <c r="C565" t="s">
        <v>196</v>
      </c>
      <c r="D565" t="s">
        <v>361</v>
      </c>
      <c r="E565" t="s">
        <v>40</v>
      </c>
      <c r="G565" s="4">
        <v>43948.16224537037</v>
      </c>
      <c r="H565" s="4">
        <v>43948.162349537037</v>
      </c>
      <c r="I565" t="s">
        <v>238</v>
      </c>
      <c r="J565" s="5">
        <v>9.00000000000000000000000000000000000003</v>
      </c>
      <c r="K565" t="s">
        <v>196</v>
      </c>
      <c r="M565">
        <v>63137</v>
      </c>
      <c r="N565" t="s">
        <v>372</v>
      </c>
      <c r="O565" t="s">
        <v>373</v>
      </c>
      <c r="P565" t="s">
        <v>38</v>
      </c>
      <c r="Q565" t="s">
        <v>88</v>
      </c>
      <c r="R565">
        <v>2</v>
      </c>
      <c r="S565" t="s">
        <v>45</v>
      </c>
      <c r="T565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5">
        <v>63138</v>
      </c>
      <c r="V565" t="s">
        <v>38</v>
      </c>
      <c r="W565" t="s">
        <v>88</v>
      </c>
      <c r="X565">
        <v>2</v>
      </c>
      <c r="Y565">
        <v>0</v>
      </c>
      <c r="Z565" t="s">
        <v>46</v>
      </c>
      <c r="AA565">
        <v>63146</v>
      </c>
      <c r="AB565" t="s">
        <v>932</v>
      </c>
      <c r="AC565" t="s">
        <v>103</v>
      </c>
      <c r="AD565" t="s">
        <v>38</v>
      </c>
      <c r="AE565" t="s">
        <v>49</v>
      </c>
      <c r="AF565" t="s">
        <v>50</v>
      </c>
      <c r="AG565">
        <v>0</v>
      </c>
      <c r="AH565">
        <v>0</v>
      </c>
      <c r="AI565" t="s">
        <v>51</v>
      </c>
      <c r="AJ565" t="s">
        <v>51</v>
      </c>
      <c r="AK565" t="s">
        <v>51</v>
      </c>
    </row>
    <row r="566" spans="1:37" x14ac:dyDescent="0.2">
      <c r="A566">
        <v>63099</v>
      </c>
      <c r="B566" t="s">
        <v>37</v>
      </c>
      <c r="C566" t="s">
        <v>196</v>
      </c>
      <c r="D566" t="s">
        <v>361</v>
      </c>
      <c r="E566" t="s">
        <v>40</v>
      </c>
      <c r="G566" s="4">
        <v>43948.16224537037</v>
      </c>
      <c r="H566" s="4">
        <v>43948.162349537037</v>
      </c>
      <c r="I566" t="s">
        <v>238</v>
      </c>
      <c r="J566" s="5">
        <v>9.00000000000000000000000000000000000003</v>
      </c>
      <c r="K566" t="s">
        <v>196</v>
      </c>
      <c r="M566">
        <v>63137</v>
      </c>
      <c r="N566" t="s">
        <v>372</v>
      </c>
      <c r="O566" t="s">
        <v>373</v>
      </c>
      <c r="P566" t="s">
        <v>38</v>
      </c>
      <c r="Q566" t="s">
        <v>88</v>
      </c>
      <c r="R566">
        <v>2</v>
      </c>
      <c r="S566" t="s">
        <v>45</v>
      </c>
      <c r="T566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6">
        <v>63138</v>
      </c>
      <c r="V566" t="s">
        <v>38</v>
      </c>
      <c r="W566" t="s">
        <v>88</v>
      </c>
      <c r="X566">
        <v>2</v>
      </c>
      <c r="Y566">
        <v>0</v>
      </c>
      <c r="Z566" t="s">
        <v>46</v>
      </c>
      <c r="AA566">
        <v>63145</v>
      </c>
      <c r="AB566" t="s">
        <v>933</v>
      </c>
      <c r="AC566" t="s">
        <v>103</v>
      </c>
      <c r="AD566" t="s">
        <v>38</v>
      </c>
      <c r="AE566" t="s">
        <v>49</v>
      </c>
      <c r="AF566" t="s">
        <v>50</v>
      </c>
      <c r="AG566">
        <v>0</v>
      </c>
      <c r="AH566">
        <v>0</v>
      </c>
      <c r="AI566" t="s">
        <v>51</v>
      </c>
      <c r="AJ566" t="s">
        <v>51</v>
      </c>
      <c r="AK566" t="s">
        <v>51</v>
      </c>
    </row>
    <row r="567" spans="1:37" x14ac:dyDescent="0.2">
      <c r="A567">
        <v>63099</v>
      </c>
      <c r="B567" t="s">
        <v>37</v>
      </c>
      <c r="C567" t="s">
        <v>196</v>
      </c>
      <c r="D567" t="s">
        <v>361</v>
      </c>
      <c r="E567" t="s">
        <v>40</v>
      </c>
      <c r="G567" s="4">
        <v>43948.16224537037</v>
      </c>
      <c r="H567" s="4">
        <v>43948.162349537037</v>
      </c>
      <c r="I567" t="s">
        <v>238</v>
      </c>
      <c r="J567" s="5">
        <v>9.00000000000000000000000000000000000003</v>
      </c>
      <c r="K567" t="s">
        <v>196</v>
      </c>
      <c r="M567">
        <v>63137</v>
      </c>
      <c r="N567" t="s">
        <v>372</v>
      </c>
      <c r="O567" t="s">
        <v>373</v>
      </c>
      <c r="P567" t="s">
        <v>38</v>
      </c>
      <c r="Q567" t="s">
        <v>88</v>
      </c>
      <c r="R567">
        <v>2</v>
      </c>
      <c r="S567" t="s">
        <v>45</v>
      </c>
      <c r="T567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7">
        <v>63138</v>
      </c>
      <c r="V567" t="s">
        <v>38</v>
      </c>
      <c r="W567" t="s">
        <v>88</v>
      </c>
      <c r="X567">
        <v>2</v>
      </c>
      <c r="Y567">
        <v>0</v>
      </c>
      <c r="Z567" t="s">
        <v>46</v>
      </c>
      <c r="AA567">
        <v>63143</v>
      </c>
      <c r="AB567" t="s">
        <v>934</v>
      </c>
      <c r="AC567" t="s">
        <v>103</v>
      </c>
      <c r="AD567" t="s">
        <v>38</v>
      </c>
      <c r="AE567" t="s">
        <v>49</v>
      </c>
      <c r="AF567" t="s">
        <v>50</v>
      </c>
      <c r="AG567">
        <v>0</v>
      </c>
      <c r="AH567">
        <v>0</v>
      </c>
      <c r="AI567" t="s">
        <v>51</v>
      </c>
      <c r="AJ567" t="s">
        <v>51</v>
      </c>
      <c r="AK567" t="s">
        <v>51</v>
      </c>
    </row>
    <row r="568" spans="1:37" x14ac:dyDescent="0.2">
      <c r="A568">
        <v>63099</v>
      </c>
      <c r="B568" t="s">
        <v>37</v>
      </c>
      <c r="C568" t="s">
        <v>196</v>
      </c>
      <c r="D568" t="s">
        <v>361</v>
      </c>
      <c r="E568" t="s">
        <v>40</v>
      </c>
      <c r="G568" s="4">
        <v>43948.16224537037</v>
      </c>
      <c r="H568" s="4">
        <v>43948.162349537037</v>
      </c>
      <c r="I568" t="s">
        <v>238</v>
      </c>
      <c r="J568" s="5">
        <v>9.00000000000000000000000000000000000003</v>
      </c>
      <c r="K568" t="s">
        <v>196</v>
      </c>
      <c r="M568">
        <v>63137</v>
      </c>
      <c r="N568" t="s">
        <v>372</v>
      </c>
      <c r="O568" t="s">
        <v>373</v>
      </c>
      <c r="P568" t="s">
        <v>38</v>
      </c>
      <c r="Q568" t="s">
        <v>88</v>
      </c>
      <c r="R568">
        <v>2</v>
      </c>
      <c r="S568" t="s">
        <v>45</v>
      </c>
      <c r="T568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8">
        <v>63138</v>
      </c>
      <c r="V568" t="s">
        <v>38</v>
      </c>
      <c r="W568" t="s">
        <v>88</v>
      </c>
      <c r="X568">
        <v>2</v>
      </c>
      <c r="Y568">
        <v>0</v>
      </c>
      <c r="Z568" t="s">
        <v>46</v>
      </c>
      <c r="AA568">
        <v>63141</v>
      </c>
      <c r="AB568" t="s">
        <v>935</v>
      </c>
      <c r="AC568" t="s">
        <v>103</v>
      </c>
      <c r="AD568" t="s">
        <v>38</v>
      </c>
      <c r="AE568" t="s">
        <v>49</v>
      </c>
      <c r="AF568" t="s">
        <v>88</v>
      </c>
      <c r="AG568">
        <v>2</v>
      </c>
      <c r="AH568">
        <v>0</v>
      </c>
      <c r="AI568" t="s">
        <v>51</v>
      </c>
      <c r="AJ568" t="s">
        <v>51</v>
      </c>
      <c r="AK568" t="s">
        <v>51</v>
      </c>
    </row>
    <row r="569" spans="1:37" x14ac:dyDescent="0.2">
      <c r="A569">
        <v>63099</v>
      </c>
      <c r="B569" t="s">
        <v>37</v>
      </c>
      <c r="C569" t="s">
        <v>196</v>
      </c>
      <c r="D569" t="s">
        <v>361</v>
      </c>
      <c r="E569" t="s">
        <v>40</v>
      </c>
      <c r="G569" s="4">
        <v>43948.16224537037</v>
      </c>
      <c r="H569" s="4">
        <v>43948.162349537037</v>
      </c>
      <c r="I569" t="s">
        <v>238</v>
      </c>
      <c r="J569" s="5">
        <v>9.00000000000000000000000000000000000003</v>
      </c>
      <c r="K569" t="s">
        <v>196</v>
      </c>
      <c r="M569">
        <v>63137</v>
      </c>
      <c r="N569" t="s">
        <v>372</v>
      </c>
      <c r="O569" t="s">
        <v>373</v>
      </c>
      <c r="P569" t="s">
        <v>38</v>
      </c>
      <c r="Q569" t="s">
        <v>88</v>
      </c>
      <c r="R569">
        <v>2</v>
      </c>
      <c r="S569" t="s">
        <v>45</v>
      </c>
      <c r="T569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69">
        <v>63138</v>
      </c>
      <c r="V569" t="s">
        <v>38</v>
      </c>
      <c r="W569" t="s">
        <v>88</v>
      </c>
      <c r="X569">
        <v>2</v>
      </c>
      <c r="Y569">
        <v>0</v>
      </c>
      <c r="Z569" t="s">
        <v>46</v>
      </c>
      <c r="AA569">
        <v>63140</v>
      </c>
      <c r="AB569" t="s">
        <v>936</v>
      </c>
      <c r="AC569" t="s">
        <v>103</v>
      </c>
      <c r="AD569" t="s">
        <v>38</v>
      </c>
      <c r="AE569" t="s">
        <v>49</v>
      </c>
      <c r="AF569" t="s">
        <v>50</v>
      </c>
      <c r="AG569">
        <v>0</v>
      </c>
      <c r="AH569">
        <v>0</v>
      </c>
      <c r="AI569" t="s">
        <v>51</v>
      </c>
      <c r="AJ569" t="s">
        <v>51</v>
      </c>
      <c r="AK569" t="s">
        <v>51</v>
      </c>
    </row>
    <row r="570" spans="1:37" x14ac:dyDescent="0.2">
      <c r="A570">
        <v>63099</v>
      </c>
      <c r="B570" t="s">
        <v>37</v>
      </c>
      <c r="C570" t="s">
        <v>196</v>
      </c>
      <c r="D570" t="s">
        <v>361</v>
      </c>
      <c r="E570" t="s">
        <v>40</v>
      </c>
      <c r="G570" s="4">
        <v>43948.16224537037</v>
      </c>
      <c r="H570" s="4">
        <v>43948.162349537037</v>
      </c>
      <c r="I570" t="s">
        <v>238</v>
      </c>
      <c r="J570" s="5">
        <v>9.00000000000000000000000000000000000003</v>
      </c>
      <c r="K570" t="s">
        <v>196</v>
      </c>
      <c r="M570">
        <v>63137</v>
      </c>
      <c r="N570" t="s">
        <v>372</v>
      </c>
      <c r="O570" t="s">
        <v>373</v>
      </c>
      <c r="P570" t="s">
        <v>38</v>
      </c>
      <c r="Q570" t="s">
        <v>88</v>
      </c>
      <c r="R570">
        <v>2</v>
      </c>
      <c r="S570" t="s">
        <v>45</v>
      </c>
      <c r="T570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0">
        <v>63138</v>
      </c>
      <c r="V570" t="s">
        <v>38</v>
      </c>
      <c r="W570" t="s">
        <v>88</v>
      </c>
      <c r="X570">
        <v>2</v>
      </c>
      <c r="Y570">
        <v>0</v>
      </c>
      <c r="Z570" t="s">
        <v>46</v>
      </c>
      <c r="AA570">
        <v>63139</v>
      </c>
      <c r="AB570" t="s">
        <v>937</v>
      </c>
      <c r="AC570" t="s">
        <v>103</v>
      </c>
      <c r="AD570" t="s">
        <v>38</v>
      </c>
      <c r="AE570" t="s">
        <v>49</v>
      </c>
      <c r="AF570" t="s">
        <v>50</v>
      </c>
      <c r="AG570">
        <v>0</v>
      </c>
      <c r="AH570">
        <v>0</v>
      </c>
      <c r="AI570" t="s">
        <v>51</v>
      </c>
      <c r="AJ570" t="s">
        <v>51</v>
      </c>
      <c r="AK570" t="s">
        <v>51</v>
      </c>
    </row>
    <row r="571" spans="1:37" x14ac:dyDescent="0.2">
      <c r="A571">
        <v>63099</v>
      </c>
      <c r="B571" t="s">
        <v>37</v>
      </c>
      <c r="C571" t="s">
        <v>196</v>
      </c>
      <c r="D571" t="s">
        <v>361</v>
      </c>
      <c r="E571" t="s">
        <v>40</v>
      </c>
      <c r="G571" s="4">
        <v>43948.16224537037</v>
      </c>
      <c r="H571" s="4">
        <v>43948.162349537037</v>
      </c>
      <c r="I571" t="s">
        <v>238</v>
      </c>
      <c r="J571" s="5">
        <v>9.00000000000000000000000000000000000003</v>
      </c>
      <c r="K571" t="s">
        <v>196</v>
      </c>
      <c r="M571">
        <v>63129</v>
      </c>
      <c r="N571" t="s">
        <v>380</v>
      </c>
      <c r="O571" t="s">
        <v>381</v>
      </c>
      <c r="P571" t="s">
        <v>38</v>
      </c>
      <c r="Q571" t="s">
        <v>50</v>
      </c>
      <c r="R571">
        <v>.9999999999999999999999999999999999999996</v>
      </c>
      <c r="S571" t="s">
        <v>45</v>
      </c>
      <c r="T571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1">
        <v>63130</v>
      </c>
      <c r="V571" t="s">
        <v>38</v>
      </c>
      <c r="W571" t="s">
        <v>50</v>
      </c>
      <c r="X571">
        <v>.9999999999999999999999999999999999999996</v>
      </c>
      <c r="Y571">
        <v>0</v>
      </c>
      <c r="Z571" t="s">
        <v>46</v>
      </c>
      <c r="AA571">
        <v>63136</v>
      </c>
      <c r="AB571" t="s">
        <v>938</v>
      </c>
      <c r="AC571" t="s">
        <v>103</v>
      </c>
      <c r="AD571" t="s">
        <v>38</v>
      </c>
      <c r="AE571" t="s">
        <v>49</v>
      </c>
      <c r="AF571" t="s">
        <v>50</v>
      </c>
      <c r="AG571">
        <v>0</v>
      </c>
      <c r="AH571">
        <v>0</v>
      </c>
      <c r="AI571" t="s">
        <v>51</v>
      </c>
      <c r="AJ571" t="s">
        <v>51</v>
      </c>
      <c r="AK571" t="s">
        <v>51</v>
      </c>
    </row>
    <row r="572" spans="1:37" x14ac:dyDescent="0.2">
      <c r="A572">
        <v>63099</v>
      </c>
      <c r="B572" t="s">
        <v>37</v>
      </c>
      <c r="C572" t="s">
        <v>196</v>
      </c>
      <c r="D572" t="s">
        <v>361</v>
      </c>
      <c r="E572" t="s">
        <v>40</v>
      </c>
      <c r="G572" s="4">
        <v>43948.16224537037</v>
      </c>
      <c r="H572" s="4">
        <v>43948.162349537037</v>
      </c>
      <c r="I572" t="s">
        <v>238</v>
      </c>
      <c r="J572" s="5">
        <v>9.00000000000000000000000000000000000003</v>
      </c>
      <c r="K572" t="s">
        <v>196</v>
      </c>
      <c r="M572">
        <v>63129</v>
      </c>
      <c r="N572" t="s">
        <v>380</v>
      </c>
      <c r="O572" t="s">
        <v>381</v>
      </c>
      <c r="P572" t="s">
        <v>38</v>
      </c>
      <c r="Q572" t="s">
        <v>50</v>
      </c>
      <c r="R572">
        <v>.9999999999999999999999999999999999999996</v>
      </c>
      <c r="S572" t="s">
        <v>45</v>
      </c>
      <c r="T572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2">
        <v>63130</v>
      </c>
      <c r="V572" t="s">
        <v>38</v>
      </c>
      <c r="W572" t="s">
        <v>50</v>
      </c>
      <c r="X572">
        <v>.9999999999999999999999999999999999999996</v>
      </c>
      <c r="Y572">
        <v>0</v>
      </c>
      <c r="Z572" t="s">
        <v>46</v>
      </c>
      <c r="AA572">
        <v>63135</v>
      </c>
      <c r="AB572" t="s">
        <v>939</v>
      </c>
      <c r="AC572" t="s">
        <v>103</v>
      </c>
      <c r="AD572" t="s">
        <v>38</v>
      </c>
      <c r="AE572" t="s">
        <v>49</v>
      </c>
      <c r="AF572" t="s">
        <v>50</v>
      </c>
      <c r="AG572">
        <v>0</v>
      </c>
      <c r="AH572">
        <v>0</v>
      </c>
      <c r="AI572" t="s">
        <v>51</v>
      </c>
      <c r="AJ572" t="s">
        <v>51</v>
      </c>
      <c r="AK572" t="s">
        <v>51</v>
      </c>
    </row>
    <row r="573" spans="1:37" x14ac:dyDescent="0.2">
      <c r="A573">
        <v>63099</v>
      </c>
      <c r="B573" t="s">
        <v>37</v>
      </c>
      <c r="C573" t="s">
        <v>196</v>
      </c>
      <c r="D573" t="s">
        <v>361</v>
      </c>
      <c r="E573" t="s">
        <v>40</v>
      </c>
      <c r="G573" s="4">
        <v>43948.16224537037</v>
      </c>
      <c r="H573" s="4">
        <v>43948.162349537037</v>
      </c>
      <c r="I573" t="s">
        <v>238</v>
      </c>
      <c r="J573" s="5">
        <v>9.00000000000000000000000000000000000003</v>
      </c>
      <c r="K573" t="s">
        <v>196</v>
      </c>
      <c r="M573">
        <v>63129</v>
      </c>
      <c r="N573" t="s">
        <v>380</v>
      </c>
      <c r="O573" t="s">
        <v>381</v>
      </c>
      <c r="P573" t="s">
        <v>38</v>
      </c>
      <c r="Q573" t="s">
        <v>50</v>
      </c>
      <c r="R573">
        <v>.9999999999999999999999999999999999999996</v>
      </c>
      <c r="S573" t="s">
        <v>45</v>
      </c>
      <c r="T573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3">
        <v>63130</v>
      </c>
      <c r="V573" t="s">
        <v>38</v>
      </c>
      <c r="W573" t="s">
        <v>50</v>
      </c>
      <c r="X573">
        <v>.9999999999999999999999999999999999999996</v>
      </c>
      <c r="Y573">
        <v>0</v>
      </c>
      <c r="Z573" t="s">
        <v>46</v>
      </c>
      <c r="AA573">
        <v>63134</v>
      </c>
      <c r="AB573" t="s">
        <v>940</v>
      </c>
      <c r="AC573" t="s">
        <v>103</v>
      </c>
      <c r="AD573" t="s">
        <v>38</v>
      </c>
      <c r="AE573" t="s">
        <v>49</v>
      </c>
      <c r="AF573" t="s">
        <v>50</v>
      </c>
      <c r="AG573">
        <v>0</v>
      </c>
      <c r="AH573">
        <v>0</v>
      </c>
      <c r="AI573" t="s">
        <v>51</v>
      </c>
      <c r="AJ573" t="s">
        <v>51</v>
      </c>
      <c r="AK573" t="s">
        <v>51</v>
      </c>
    </row>
    <row r="574" spans="1:37" x14ac:dyDescent="0.2">
      <c r="A574">
        <v>63099</v>
      </c>
      <c r="B574" t="s">
        <v>37</v>
      </c>
      <c r="C574" t="s">
        <v>196</v>
      </c>
      <c r="D574" t="s">
        <v>361</v>
      </c>
      <c r="E574" t="s">
        <v>40</v>
      </c>
      <c r="G574" s="4">
        <v>43948.16224537037</v>
      </c>
      <c r="H574" s="4">
        <v>43948.162349537037</v>
      </c>
      <c r="I574" t="s">
        <v>238</v>
      </c>
      <c r="J574" s="5">
        <v>9.00000000000000000000000000000000000003</v>
      </c>
      <c r="K574" t="s">
        <v>196</v>
      </c>
      <c r="M574">
        <v>63129</v>
      </c>
      <c r="N574" t="s">
        <v>380</v>
      </c>
      <c r="O574" t="s">
        <v>381</v>
      </c>
      <c r="P574" t="s">
        <v>38</v>
      </c>
      <c r="Q574" t="s">
        <v>50</v>
      </c>
      <c r="R574">
        <v>.9999999999999999999999999999999999999996</v>
      </c>
      <c r="S574" t="s">
        <v>45</v>
      </c>
      <c r="T574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4">
        <v>63130</v>
      </c>
      <c r="V574" t="s">
        <v>38</v>
      </c>
      <c r="W574" t="s">
        <v>50</v>
      </c>
      <c r="X574">
        <v>.9999999999999999999999999999999999999996</v>
      </c>
      <c r="Y574">
        <v>0</v>
      </c>
      <c r="Z574" t="s">
        <v>46</v>
      </c>
      <c r="AA574">
        <v>63133</v>
      </c>
      <c r="AB574" t="s">
        <v>941</v>
      </c>
      <c r="AC574" t="s">
        <v>103</v>
      </c>
      <c r="AD574" t="s">
        <v>38</v>
      </c>
      <c r="AE574" t="s">
        <v>49</v>
      </c>
      <c r="AF574" t="s">
        <v>50</v>
      </c>
      <c r="AG574">
        <v>0</v>
      </c>
      <c r="AH574">
        <v>0</v>
      </c>
      <c r="AI574" t="s">
        <v>51</v>
      </c>
      <c r="AJ574" t="s">
        <v>51</v>
      </c>
      <c r="AK574" t="s">
        <v>51</v>
      </c>
    </row>
    <row r="575" spans="1:37" x14ac:dyDescent="0.2">
      <c r="A575">
        <v>63099</v>
      </c>
      <c r="B575" t="s">
        <v>37</v>
      </c>
      <c r="C575" t="s">
        <v>196</v>
      </c>
      <c r="D575" t="s">
        <v>361</v>
      </c>
      <c r="E575" t="s">
        <v>40</v>
      </c>
      <c r="G575" s="4">
        <v>43948.16224537037</v>
      </c>
      <c r="H575" s="4">
        <v>43948.162349537037</v>
      </c>
      <c r="I575" t="s">
        <v>238</v>
      </c>
      <c r="J575" s="5">
        <v>9.00000000000000000000000000000000000003</v>
      </c>
      <c r="K575" t="s">
        <v>196</v>
      </c>
      <c r="M575">
        <v>63129</v>
      </c>
      <c r="N575" t="s">
        <v>380</v>
      </c>
      <c r="O575" t="s">
        <v>381</v>
      </c>
      <c r="P575" t="s">
        <v>38</v>
      </c>
      <c r="Q575" t="s">
        <v>50</v>
      </c>
      <c r="R575">
        <v>.9999999999999999999999999999999999999996</v>
      </c>
      <c r="S575" t="s">
        <v>45</v>
      </c>
      <c r="T575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5">
        <v>63130</v>
      </c>
      <c r="V575" t="s">
        <v>38</v>
      </c>
      <c r="W575" t="s">
        <v>50</v>
      </c>
      <c r="X575">
        <v>.9999999999999999999999999999999999999996</v>
      </c>
      <c r="Y575">
        <v>0</v>
      </c>
      <c r="Z575" t="s">
        <v>46</v>
      </c>
      <c r="AA575">
        <v>63132</v>
      </c>
      <c r="AB575" t="s">
        <v>942</v>
      </c>
      <c r="AC575" t="s">
        <v>103</v>
      </c>
      <c r="AD575" t="s">
        <v>38</v>
      </c>
      <c r="AE575" t="s">
        <v>49</v>
      </c>
      <c r="AF575" t="s">
        <v>50</v>
      </c>
      <c r="AG575">
        <v>0</v>
      </c>
      <c r="AH575">
        <v>0</v>
      </c>
      <c r="AI575" t="s">
        <v>51</v>
      </c>
      <c r="AJ575" t="s">
        <v>51</v>
      </c>
      <c r="AK575" t="s">
        <v>51</v>
      </c>
    </row>
    <row r="576" spans="1:37" x14ac:dyDescent="0.2">
      <c r="A576">
        <v>63099</v>
      </c>
      <c r="B576" t="s">
        <v>37</v>
      </c>
      <c r="C576" t="s">
        <v>196</v>
      </c>
      <c r="D576" t="s">
        <v>361</v>
      </c>
      <c r="E576" t="s">
        <v>40</v>
      </c>
      <c r="G576" s="4">
        <v>43948.16224537037</v>
      </c>
      <c r="H576" s="4">
        <v>43948.162349537037</v>
      </c>
      <c r="I576" t="s">
        <v>238</v>
      </c>
      <c r="J576" s="5">
        <v>9.00000000000000000000000000000000000003</v>
      </c>
      <c r="K576" t="s">
        <v>196</v>
      </c>
      <c r="M576">
        <v>63129</v>
      </c>
      <c r="N576" t="s">
        <v>380</v>
      </c>
      <c r="O576" t="s">
        <v>381</v>
      </c>
      <c r="P576" t="s">
        <v>38</v>
      </c>
      <c r="Q576" t="s">
        <v>50</v>
      </c>
      <c r="R576">
        <v>.9999999999999999999999999999999999999996</v>
      </c>
      <c r="S576" t="s">
        <v>45</v>
      </c>
      <c r="T576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6">
        <v>63130</v>
      </c>
      <c r="V576" t="s">
        <v>38</v>
      </c>
      <c r="W576" t="s">
        <v>50</v>
      </c>
      <c r="X576">
        <v>.9999999999999999999999999999999999999996</v>
      </c>
      <c r="Y576">
        <v>0</v>
      </c>
      <c r="Z576" t="s">
        <v>46</v>
      </c>
      <c r="AA576">
        <v>63131</v>
      </c>
      <c r="AB576" t="s">
        <v>943</v>
      </c>
      <c r="AC576" t="s">
        <v>103</v>
      </c>
      <c r="AD576" t="s">
        <v>38</v>
      </c>
      <c r="AE576" t="s">
        <v>49</v>
      </c>
      <c r="AF576" t="s">
        <v>50</v>
      </c>
      <c r="AG576">
        <v>0</v>
      </c>
      <c r="AH576">
        <v>0</v>
      </c>
      <c r="AI576" t="s">
        <v>51</v>
      </c>
      <c r="AJ576" t="s">
        <v>51</v>
      </c>
      <c r="AK576" t="s">
        <v>51</v>
      </c>
    </row>
    <row r="577" spans="1:37" x14ac:dyDescent="0.2">
      <c r="A577">
        <v>63099</v>
      </c>
      <c r="B577" t="s">
        <v>37</v>
      </c>
      <c r="C577" t="s">
        <v>196</v>
      </c>
      <c r="D577" t="s">
        <v>361</v>
      </c>
      <c r="E577" t="s">
        <v>40</v>
      </c>
      <c r="G577" s="4">
        <v>43948.16224537037</v>
      </c>
      <c r="H577" s="4">
        <v>43948.162349537037</v>
      </c>
      <c r="I577" t="s">
        <v>238</v>
      </c>
      <c r="J577" s="5">
        <v>9.00000000000000000000000000000000000003</v>
      </c>
      <c r="K577" t="s">
        <v>196</v>
      </c>
      <c r="M577">
        <v>63126</v>
      </c>
      <c r="N577" t="s">
        <v>388</v>
      </c>
      <c r="O577" t="s">
        <v>389</v>
      </c>
      <c r="P577" t="s">
        <v>38</v>
      </c>
      <c r="Q577" t="s">
        <v>50</v>
      </c>
      <c r="R577">
        <v>0</v>
      </c>
      <c r="S577" t="s">
        <v>45</v>
      </c>
      <c r="T577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7">
        <v>63127</v>
      </c>
      <c r="V577" t="s">
        <v>38</v>
      </c>
      <c r="W577" t="s">
        <v>50</v>
      </c>
      <c r="X577">
        <v>0</v>
      </c>
      <c r="Y577">
        <v>0</v>
      </c>
      <c r="Z577" t="s">
        <v>46</v>
      </c>
      <c r="AA577">
        <v>63128</v>
      </c>
      <c r="AB577" t="s">
        <v>944</v>
      </c>
      <c r="AC577" t="s">
        <v>97</v>
      </c>
      <c r="AD577" t="s">
        <v>38</v>
      </c>
      <c r="AE577" t="s">
        <v>49</v>
      </c>
      <c r="AF577" t="s">
        <v>50</v>
      </c>
      <c r="AG577">
        <v>0</v>
      </c>
      <c r="AH577">
        <v>0</v>
      </c>
      <c r="AI577" t="s">
        <v>51</v>
      </c>
      <c r="AJ577" t="s">
        <v>51</v>
      </c>
      <c r="AK577" t="s">
        <v>51</v>
      </c>
    </row>
    <row r="578" spans="1:37" x14ac:dyDescent="0.2">
      <c r="A578">
        <v>63099</v>
      </c>
      <c r="B578" t="s">
        <v>37</v>
      </c>
      <c r="C578" t="s">
        <v>196</v>
      </c>
      <c r="D578" t="s">
        <v>361</v>
      </c>
      <c r="E578" t="s">
        <v>40</v>
      </c>
      <c r="G578" s="4">
        <v>43948.16224537037</v>
      </c>
      <c r="H578" s="4">
        <v>43948.162349537037</v>
      </c>
      <c r="I578" t="s">
        <v>238</v>
      </c>
      <c r="J578" s="5">
        <v>9.00000000000000000000000000000000000003</v>
      </c>
      <c r="K578" t="s">
        <v>196</v>
      </c>
      <c r="M578">
        <v>63124</v>
      </c>
      <c r="N578" t="s">
        <v>391</v>
      </c>
      <c r="O578" t="s">
        <v>392</v>
      </c>
      <c r="P578" t="s">
        <v>196</v>
      </c>
      <c r="Q578" t="s">
        <v>50</v>
      </c>
      <c r="R578">
        <v>0</v>
      </c>
      <c r="S578" t="s">
        <v>393</v>
      </c>
      <c r="T578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8">
        <v>63125</v>
      </c>
      <c r="V578" t="s">
        <v>196</v>
      </c>
      <c r="W578" t="s">
        <v>50</v>
      </c>
      <c r="X578">
        <v>0</v>
      </c>
      <c r="Y578">
        <v>0</v>
      </c>
      <c r="Z578" t="s">
        <v>945</v>
      </c>
    </row>
    <row r="579" spans="1:37" x14ac:dyDescent="0.2">
      <c r="A579">
        <v>63099</v>
      </c>
      <c r="B579" t="s">
        <v>37</v>
      </c>
      <c r="C579" t="s">
        <v>196</v>
      </c>
      <c r="D579" t="s">
        <v>361</v>
      </c>
      <c r="E579" t="s">
        <v>40</v>
      </c>
      <c r="G579" s="4">
        <v>43948.16224537037</v>
      </c>
      <c r="H579" s="4">
        <v>43948.162349537037</v>
      </c>
      <c r="I579" t="s">
        <v>238</v>
      </c>
      <c r="J579" s="5">
        <v>9.00000000000000000000000000000000000003</v>
      </c>
      <c r="K579" t="s">
        <v>196</v>
      </c>
      <c r="M579">
        <v>63121</v>
      </c>
      <c r="N579" t="s">
        <v>395</v>
      </c>
      <c r="O579" t="s">
        <v>396</v>
      </c>
      <c r="P579" t="s">
        <v>38</v>
      </c>
      <c r="Q579" t="s">
        <v>50</v>
      </c>
      <c r="R579">
        <v>.9999999999999999999999999999999999999996</v>
      </c>
      <c r="S579" t="s">
        <v>45</v>
      </c>
      <c r="T579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79">
        <v>63122</v>
      </c>
      <c r="V579" t="s">
        <v>38</v>
      </c>
      <c r="W579" t="s">
        <v>50</v>
      </c>
      <c r="X579">
        <v>.9999999999999999999999999999999999999996</v>
      </c>
      <c r="Y579">
        <v>0</v>
      </c>
      <c r="Z579" t="s">
        <v>46</v>
      </c>
      <c r="AA579">
        <v>63123</v>
      </c>
      <c r="AB579" t="s">
        <v>946</v>
      </c>
      <c r="AC579" t="s">
        <v>97</v>
      </c>
      <c r="AD579" t="s">
        <v>38</v>
      </c>
      <c r="AE579" t="s">
        <v>49</v>
      </c>
      <c r="AF579" t="s">
        <v>50</v>
      </c>
      <c r="AG579">
        <v>0</v>
      </c>
      <c r="AH579">
        <v>0</v>
      </c>
      <c r="AI579" t="s">
        <v>51</v>
      </c>
      <c r="AJ579" t="s">
        <v>51</v>
      </c>
      <c r="AK579" t="s">
        <v>51</v>
      </c>
    </row>
    <row r="580" spans="1:37" x14ac:dyDescent="0.2">
      <c r="A580">
        <v>63099</v>
      </c>
      <c r="B580" t="s">
        <v>37</v>
      </c>
      <c r="C580" t="s">
        <v>196</v>
      </c>
      <c r="D580" t="s">
        <v>361</v>
      </c>
      <c r="E580" t="s">
        <v>40</v>
      </c>
      <c r="G580" s="4">
        <v>43948.16224537037</v>
      </c>
      <c r="H580" s="4">
        <v>43948.162349537037</v>
      </c>
      <c r="I580" t="s">
        <v>238</v>
      </c>
      <c r="J580" s="5">
        <v>9.00000000000000000000000000000000000003</v>
      </c>
      <c r="K580" t="s">
        <v>196</v>
      </c>
      <c r="M580">
        <v>63118</v>
      </c>
      <c r="N580" t="s">
        <v>398</v>
      </c>
      <c r="O580" t="s">
        <v>399</v>
      </c>
      <c r="P580" t="s">
        <v>38</v>
      </c>
      <c r="Q580" t="s">
        <v>50</v>
      </c>
      <c r="R580">
        <v>0</v>
      </c>
      <c r="S580" t="s">
        <v>45</v>
      </c>
      <c r="T580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0">
        <v>63119</v>
      </c>
      <c r="V580" t="s">
        <v>38</v>
      </c>
      <c r="W580" t="s">
        <v>50</v>
      </c>
      <c r="X580">
        <v>0</v>
      </c>
      <c r="Y580">
        <v>0</v>
      </c>
      <c r="Z580" t="s">
        <v>46</v>
      </c>
      <c r="AA580">
        <v>63120</v>
      </c>
      <c r="AB580" t="s">
        <v>947</v>
      </c>
      <c r="AC580" t="s">
        <v>97</v>
      </c>
      <c r="AD580" t="s">
        <v>38</v>
      </c>
      <c r="AE580" t="s">
        <v>49</v>
      </c>
      <c r="AF580" t="s">
        <v>50</v>
      </c>
      <c r="AG580">
        <v>0</v>
      </c>
      <c r="AH580">
        <v>0</v>
      </c>
      <c r="AI580" t="s">
        <v>51</v>
      </c>
      <c r="AJ580" t="s">
        <v>51</v>
      </c>
      <c r="AK580" t="s">
        <v>51</v>
      </c>
    </row>
    <row r="581" spans="1:37" x14ac:dyDescent="0.2">
      <c r="A581">
        <v>63099</v>
      </c>
      <c r="B581" t="s">
        <v>37</v>
      </c>
      <c r="C581" t="s">
        <v>196</v>
      </c>
      <c r="D581" t="s">
        <v>361</v>
      </c>
      <c r="E581" t="s">
        <v>40</v>
      </c>
      <c r="G581" s="4">
        <v>43948.16224537037</v>
      </c>
      <c r="H581" s="4">
        <v>43948.162349537037</v>
      </c>
      <c r="I581" t="s">
        <v>238</v>
      </c>
      <c r="J581" s="5">
        <v>9.00000000000000000000000000000000000003</v>
      </c>
      <c r="K581" t="s">
        <v>196</v>
      </c>
      <c r="M581">
        <v>63111</v>
      </c>
      <c r="N581" t="s">
        <v>401</v>
      </c>
      <c r="O581" t="s">
        <v>402</v>
      </c>
      <c r="P581" t="s">
        <v>38</v>
      </c>
      <c r="Q581" t="s">
        <v>88</v>
      </c>
      <c r="R581">
        <v>2</v>
      </c>
      <c r="S581" t="s">
        <v>45</v>
      </c>
      <c r="T581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1">
        <v>63112</v>
      </c>
      <c r="V581" t="s">
        <v>38</v>
      </c>
      <c r="W581" t="s">
        <v>88</v>
      </c>
      <c r="X581">
        <v>2</v>
      </c>
      <c r="Y581">
        <v>0</v>
      </c>
      <c r="Z581" t="s">
        <v>46</v>
      </c>
      <c r="AA581">
        <v>63117</v>
      </c>
      <c r="AB581" t="s">
        <v>948</v>
      </c>
      <c r="AC581" t="s">
        <v>103</v>
      </c>
      <c r="AD581" t="s">
        <v>38</v>
      </c>
      <c r="AE581" t="s">
        <v>49</v>
      </c>
      <c r="AF581" t="s">
        <v>50</v>
      </c>
      <c r="AG581">
        <v>0</v>
      </c>
      <c r="AH581">
        <v>0</v>
      </c>
      <c r="AI581" t="s">
        <v>51</v>
      </c>
      <c r="AJ581" t="s">
        <v>51</v>
      </c>
      <c r="AK581" t="s">
        <v>51</v>
      </c>
    </row>
    <row r="582" spans="1:37" x14ac:dyDescent="0.2">
      <c r="A582">
        <v>63099</v>
      </c>
      <c r="B582" t="s">
        <v>37</v>
      </c>
      <c r="C582" t="s">
        <v>196</v>
      </c>
      <c r="D582" t="s">
        <v>361</v>
      </c>
      <c r="E582" t="s">
        <v>40</v>
      </c>
      <c r="G582" s="4">
        <v>43948.16224537037</v>
      </c>
      <c r="H582" s="4">
        <v>43948.162349537037</v>
      </c>
      <c r="I582" t="s">
        <v>238</v>
      </c>
      <c r="J582" s="5">
        <v>9.00000000000000000000000000000000000003</v>
      </c>
      <c r="K582" t="s">
        <v>196</v>
      </c>
      <c r="M582">
        <v>63111</v>
      </c>
      <c r="N582" t="s">
        <v>401</v>
      </c>
      <c r="O582" t="s">
        <v>402</v>
      </c>
      <c r="P582" t="s">
        <v>38</v>
      </c>
      <c r="Q582" t="s">
        <v>88</v>
      </c>
      <c r="R582">
        <v>2</v>
      </c>
      <c r="S582" t="s">
        <v>45</v>
      </c>
      <c r="T582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2">
        <v>63112</v>
      </c>
      <c r="V582" t="s">
        <v>38</v>
      </c>
      <c r="W582" t="s">
        <v>88</v>
      </c>
      <c r="X582">
        <v>2</v>
      </c>
      <c r="Y582">
        <v>0</v>
      </c>
      <c r="Z582" t="s">
        <v>46</v>
      </c>
      <c r="AA582">
        <v>63116</v>
      </c>
      <c r="AB582" t="s">
        <v>949</v>
      </c>
      <c r="AC582" t="s">
        <v>103</v>
      </c>
      <c r="AD582" t="s">
        <v>38</v>
      </c>
      <c r="AE582" t="s">
        <v>49</v>
      </c>
      <c r="AF582" t="s">
        <v>50</v>
      </c>
      <c r="AG582">
        <v>0</v>
      </c>
      <c r="AH582">
        <v>0</v>
      </c>
      <c r="AI582" t="s">
        <v>51</v>
      </c>
      <c r="AJ582" t="s">
        <v>51</v>
      </c>
      <c r="AK582" t="s">
        <v>51</v>
      </c>
    </row>
    <row r="583" spans="1:37" x14ac:dyDescent="0.2">
      <c r="A583">
        <v>63099</v>
      </c>
      <c r="B583" t="s">
        <v>37</v>
      </c>
      <c r="C583" t="s">
        <v>196</v>
      </c>
      <c r="D583" t="s">
        <v>361</v>
      </c>
      <c r="E583" t="s">
        <v>40</v>
      </c>
      <c r="G583" s="4">
        <v>43948.16224537037</v>
      </c>
      <c r="H583" s="4">
        <v>43948.162349537037</v>
      </c>
      <c r="I583" t="s">
        <v>238</v>
      </c>
      <c r="J583" s="5">
        <v>9.00000000000000000000000000000000000003</v>
      </c>
      <c r="K583" t="s">
        <v>196</v>
      </c>
      <c r="M583">
        <v>63111</v>
      </c>
      <c r="N583" t="s">
        <v>401</v>
      </c>
      <c r="O583" t="s">
        <v>402</v>
      </c>
      <c r="P583" t="s">
        <v>38</v>
      </c>
      <c r="Q583" t="s">
        <v>88</v>
      </c>
      <c r="R583">
        <v>2</v>
      </c>
      <c r="S583" t="s">
        <v>45</v>
      </c>
      <c r="T583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3">
        <v>63112</v>
      </c>
      <c r="V583" t="s">
        <v>38</v>
      </c>
      <c r="W583" t="s">
        <v>88</v>
      </c>
      <c r="X583">
        <v>2</v>
      </c>
      <c r="Y583">
        <v>0</v>
      </c>
      <c r="Z583" t="s">
        <v>46</v>
      </c>
      <c r="AA583">
        <v>63115</v>
      </c>
      <c r="AB583" t="s">
        <v>950</v>
      </c>
      <c r="AC583" t="s">
        <v>103</v>
      </c>
      <c r="AD583" t="s">
        <v>38</v>
      </c>
      <c r="AE583" t="s">
        <v>49</v>
      </c>
      <c r="AF583" t="s">
        <v>50</v>
      </c>
      <c r="AG583">
        <v>0</v>
      </c>
      <c r="AH583">
        <v>0</v>
      </c>
      <c r="AI583" t="s">
        <v>51</v>
      </c>
      <c r="AJ583" t="s">
        <v>51</v>
      </c>
      <c r="AK583" t="s">
        <v>51</v>
      </c>
    </row>
    <row r="584" spans="1:37" x14ac:dyDescent="0.2">
      <c r="A584">
        <v>63099</v>
      </c>
      <c r="B584" t="s">
        <v>37</v>
      </c>
      <c r="C584" t="s">
        <v>196</v>
      </c>
      <c r="D584" t="s">
        <v>361</v>
      </c>
      <c r="E584" t="s">
        <v>40</v>
      </c>
      <c r="G584" s="4">
        <v>43948.16224537037</v>
      </c>
      <c r="H584" s="4">
        <v>43948.162349537037</v>
      </c>
      <c r="I584" t="s">
        <v>238</v>
      </c>
      <c r="J584" s="5">
        <v>9.00000000000000000000000000000000000003</v>
      </c>
      <c r="K584" t="s">
        <v>196</v>
      </c>
      <c r="M584">
        <v>63111</v>
      </c>
      <c r="N584" t="s">
        <v>401</v>
      </c>
      <c r="O584" t="s">
        <v>402</v>
      </c>
      <c r="P584" t="s">
        <v>38</v>
      </c>
      <c r="Q584" t="s">
        <v>88</v>
      </c>
      <c r="R584">
        <v>2</v>
      </c>
      <c r="S584" t="s">
        <v>45</v>
      </c>
      <c r="T584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4">
        <v>63112</v>
      </c>
      <c r="V584" t="s">
        <v>38</v>
      </c>
      <c r="W584" t="s">
        <v>88</v>
      </c>
      <c r="X584">
        <v>2</v>
      </c>
      <c r="Y584">
        <v>0</v>
      </c>
      <c r="Z584" t="s">
        <v>46</v>
      </c>
      <c r="AA584">
        <v>63114</v>
      </c>
      <c r="AB584" t="s">
        <v>951</v>
      </c>
      <c r="AC584" t="s">
        <v>103</v>
      </c>
      <c r="AD584" t="s">
        <v>38</v>
      </c>
      <c r="AE584" t="s">
        <v>49</v>
      </c>
      <c r="AF584" t="s">
        <v>50</v>
      </c>
      <c r="AG584">
        <v>0</v>
      </c>
      <c r="AH584">
        <v>0</v>
      </c>
      <c r="AI584" t="s">
        <v>51</v>
      </c>
      <c r="AJ584" t="s">
        <v>51</v>
      </c>
      <c r="AK584" t="s">
        <v>51</v>
      </c>
    </row>
    <row r="585" spans="1:37" x14ac:dyDescent="0.2">
      <c r="A585">
        <v>63099</v>
      </c>
      <c r="B585" t="s">
        <v>37</v>
      </c>
      <c r="C585" t="s">
        <v>196</v>
      </c>
      <c r="D585" t="s">
        <v>361</v>
      </c>
      <c r="E585" t="s">
        <v>40</v>
      </c>
      <c r="G585" s="4">
        <v>43948.16224537037</v>
      </c>
      <c r="H585" s="4">
        <v>43948.162349537037</v>
      </c>
      <c r="I585" t="s">
        <v>238</v>
      </c>
      <c r="J585" s="5">
        <v>9.00000000000000000000000000000000000003</v>
      </c>
      <c r="K585" t="s">
        <v>196</v>
      </c>
      <c r="M585">
        <v>63111</v>
      </c>
      <c r="N585" t="s">
        <v>401</v>
      </c>
      <c r="O585" t="s">
        <v>402</v>
      </c>
      <c r="P585" t="s">
        <v>38</v>
      </c>
      <c r="Q585" t="s">
        <v>88</v>
      </c>
      <c r="R585">
        <v>2</v>
      </c>
      <c r="S585" t="s">
        <v>45</v>
      </c>
      <c r="T585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5">
        <v>63112</v>
      </c>
      <c r="V585" t="s">
        <v>38</v>
      </c>
      <c r="W585" t="s">
        <v>88</v>
      </c>
      <c r="X585">
        <v>2</v>
      </c>
      <c r="Y585">
        <v>0</v>
      </c>
      <c r="Z585" t="s">
        <v>46</v>
      </c>
      <c r="AA585">
        <v>63113</v>
      </c>
      <c r="AB585" t="s">
        <v>952</v>
      </c>
      <c r="AC585" t="s">
        <v>103</v>
      </c>
      <c r="AD585" t="s">
        <v>38</v>
      </c>
      <c r="AE585" t="s">
        <v>49</v>
      </c>
      <c r="AF585" t="s">
        <v>50</v>
      </c>
      <c r="AG585">
        <v>0</v>
      </c>
      <c r="AH585">
        <v>0</v>
      </c>
      <c r="AI585" t="s">
        <v>51</v>
      </c>
      <c r="AJ585" t="s">
        <v>51</v>
      </c>
      <c r="AK585" t="s">
        <v>51</v>
      </c>
    </row>
    <row r="586" spans="1:37" x14ac:dyDescent="0.2">
      <c r="A586">
        <v>63099</v>
      </c>
      <c r="B586" t="s">
        <v>37</v>
      </c>
      <c r="C586" t="s">
        <v>196</v>
      </c>
      <c r="D586" t="s">
        <v>361</v>
      </c>
      <c r="E586" t="s">
        <v>40</v>
      </c>
      <c r="G586" s="4">
        <v>43948.16224537037</v>
      </c>
      <c r="H586" s="4">
        <v>43948.162349537037</v>
      </c>
      <c r="I586" t="s">
        <v>238</v>
      </c>
      <c r="J586" s="5">
        <v>9.00000000000000000000000000000000000003</v>
      </c>
      <c r="K586" t="s">
        <v>196</v>
      </c>
      <c r="M586">
        <v>63109</v>
      </c>
      <c r="N586" t="s">
        <v>408</v>
      </c>
      <c r="O586" t="s">
        <v>409</v>
      </c>
      <c r="P586" t="s">
        <v>196</v>
      </c>
      <c r="Q586" t="s">
        <v>50</v>
      </c>
      <c r="R586">
        <v>0</v>
      </c>
      <c r="S586" t="s">
        <v>410</v>
      </c>
      <c r="T586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6">
        <v>63110</v>
      </c>
      <c r="V586" t="s">
        <v>196</v>
      </c>
      <c r="W586" t="s">
        <v>50</v>
      </c>
      <c r="X586">
        <v>0</v>
      </c>
      <c r="Y586">
        <v>0</v>
      </c>
      <c r="Z586" t="s">
        <v>953</v>
      </c>
    </row>
    <row r="587" spans="1:37" x14ac:dyDescent="0.2">
      <c r="A587">
        <v>63099</v>
      </c>
      <c r="B587" t="s">
        <v>37</v>
      </c>
      <c r="C587" t="s">
        <v>196</v>
      </c>
      <c r="D587" t="s">
        <v>361</v>
      </c>
      <c r="E587" t="s">
        <v>40</v>
      </c>
      <c r="G587" s="4">
        <v>43948.16224537037</v>
      </c>
      <c r="H587" s="4">
        <v>43948.162349537037</v>
      </c>
      <c r="I587" t="s">
        <v>238</v>
      </c>
      <c r="J587" s="5">
        <v>9.00000000000000000000000000000000000003</v>
      </c>
      <c r="K587" t="s">
        <v>196</v>
      </c>
      <c r="M587">
        <v>63106</v>
      </c>
      <c r="N587" t="s">
        <v>412</v>
      </c>
      <c r="O587" t="s">
        <v>413</v>
      </c>
      <c r="P587" t="s">
        <v>38</v>
      </c>
      <c r="Q587" t="s">
        <v>88</v>
      </c>
      <c r="R587">
        <v>2</v>
      </c>
      <c r="S587" t="s">
        <v>45</v>
      </c>
      <c r="T587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7">
        <v>63107</v>
      </c>
      <c r="V587" t="s">
        <v>38</v>
      </c>
      <c r="W587" t="s">
        <v>88</v>
      </c>
      <c r="X587">
        <v>2</v>
      </c>
      <c r="Y587">
        <v>0</v>
      </c>
      <c r="Z587" t="s">
        <v>46</v>
      </c>
      <c r="AA587">
        <v>63108</v>
      </c>
      <c r="AB587" t="s">
        <v>954</v>
      </c>
      <c r="AC587" t="s">
        <v>97</v>
      </c>
      <c r="AD587" t="s">
        <v>38</v>
      </c>
      <c r="AE587" t="s">
        <v>49</v>
      </c>
      <c r="AF587" t="s">
        <v>50</v>
      </c>
      <c r="AG587">
        <v>0</v>
      </c>
      <c r="AH587">
        <v>0</v>
      </c>
      <c r="AI587" t="s">
        <v>51</v>
      </c>
      <c r="AJ587" t="s">
        <v>51</v>
      </c>
      <c r="AK587" t="s">
        <v>51</v>
      </c>
    </row>
    <row r="588" spans="1:37" x14ac:dyDescent="0.2">
      <c r="A588">
        <v>63099</v>
      </c>
      <c r="B588" t="s">
        <v>37</v>
      </c>
      <c r="C588" t="s">
        <v>196</v>
      </c>
      <c r="D588" t="s">
        <v>361</v>
      </c>
      <c r="E588" t="s">
        <v>40</v>
      </c>
      <c r="G588" s="4">
        <v>43948.16224537037</v>
      </c>
      <c r="H588" s="4">
        <v>43948.162349537037</v>
      </c>
      <c r="I588" t="s">
        <v>238</v>
      </c>
      <c r="J588" s="5">
        <v>9.00000000000000000000000000000000000003</v>
      </c>
      <c r="K588" t="s">
        <v>196</v>
      </c>
      <c r="M588">
        <v>63102</v>
      </c>
      <c r="N588" t="s">
        <v>415</v>
      </c>
      <c r="O588" t="s">
        <v>416</v>
      </c>
      <c r="P588" t="s">
        <v>38</v>
      </c>
      <c r="Q588" t="s">
        <v>50</v>
      </c>
      <c r="R588">
        <v>.9999999999999999999999999999999999999996</v>
      </c>
      <c r="S588" t="s">
        <v>45</v>
      </c>
      <c r="T588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8">
        <v>63103</v>
      </c>
      <c r="V588" t="s">
        <v>38</v>
      </c>
      <c r="W588" t="s">
        <v>50</v>
      </c>
      <c r="X588">
        <v>0</v>
      </c>
      <c r="Y588">
        <v>0</v>
      </c>
      <c r="Z588" t="s">
        <v>46</v>
      </c>
      <c r="AA588">
        <v>63105</v>
      </c>
      <c r="AB588" t="s">
        <v>955</v>
      </c>
      <c r="AC588" t="s">
        <v>56</v>
      </c>
      <c r="AD588" t="s">
        <v>38</v>
      </c>
      <c r="AE588" t="s">
        <v>49</v>
      </c>
      <c r="AF588" t="s">
        <v>50</v>
      </c>
      <c r="AG588">
        <v>0</v>
      </c>
      <c r="AH588">
        <v>0</v>
      </c>
      <c r="AI588" t="s">
        <v>51</v>
      </c>
      <c r="AJ588" t="s">
        <v>51</v>
      </c>
      <c r="AK588" t="s">
        <v>51</v>
      </c>
    </row>
    <row r="589" spans="1:37" x14ac:dyDescent="0.2">
      <c r="A589">
        <v>63099</v>
      </c>
      <c r="B589" t="s">
        <v>37</v>
      </c>
      <c r="C589" t="s">
        <v>196</v>
      </c>
      <c r="D589" t="s">
        <v>361</v>
      </c>
      <c r="E589" t="s">
        <v>40</v>
      </c>
      <c r="G589" s="4">
        <v>43948.16224537037</v>
      </c>
      <c r="H589" s="4">
        <v>43948.162349537037</v>
      </c>
      <c r="I589" t="s">
        <v>238</v>
      </c>
      <c r="J589" s="5">
        <v>9.00000000000000000000000000000000000003</v>
      </c>
      <c r="K589" t="s">
        <v>196</v>
      </c>
      <c r="M589">
        <v>63102</v>
      </c>
      <c r="N589" t="s">
        <v>415</v>
      </c>
      <c r="O589" t="s">
        <v>416</v>
      </c>
      <c r="P589" t="s">
        <v>38</v>
      </c>
      <c r="Q589" t="s">
        <v>50</v>
      </c>
      <c r="R589">
        <v>.9999999999999999999999999999999999999996</v>
      </c>
      <c r="S589" t="s">
        <v>45</v>
      </c>
      <c r="T589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89">
        <v>63103</v>
      </c>
      <c r="V589" t="s">
        <v>38</v>
      </c>
      <c r="W589" t="s">
        <v>50</v>
      </c>
      <c r="X589">
        <v>0</v>
      </c>
      <c r="Y589">
        <v>0</v>
      </c>
      <c r="Z589" t="s">
        <v>46</v>
      </c>
      <c r="AA589">
        <v>63104</v>
      </c>
      <c r="AB589" t="s">
        <v>956</v>
      </c>
      <c r="AC589" t="s">
        <v>97</v>
      </c>
      <c r="AD589" t="s">
        <v>38</v>
      </c>
      <c r="AE589" t="s">
        <v>49</v>
      </c>
      <c r="AF589" t="s">
        <v>50</v>
      </c>
      <c r="AG589">
        <v>0</v>
      </c>
      <c r="AH589">
        <v>0</v>
      </c>
      <c r="AI589" t="s">
        <v>51</v>
      </c>
      <c r="AJ589" t="s">
        <v>51</v>
      </c>
      <c r="AK589" t="s">
        <v>51</v>
      </c>
    </row>
    <row r="590" spans="1:37" x14ac:dyDescent="0.2">
      <c r="A590">
        <v>63099</v>
      </c>
      <c r="B590" t="s">
        <v>37</v>
      </c>
      <c r="C590" t="s">
        <v>196</v>
      </c>
      <c r="D590" t="s">
        <v>361</v>
      </c>
      <c r="E590" t="s">
        <v>40</v>
      </c>
      <c r="G590" s="4">
        <v>43948.16224537037</v>
      </c>
      <c r="H590" s="4">
        <v>43948.162349537037</v>
      </c>
      <c r="I590" t="s">
        <v>238</v>
      </c>
      <c r="J590" s="5">
        <v>9.00000000000000000000000000000000000003</v>
      </c>
      <c r="K590" t="s">
        <v>196</v>
      </c>
      <c r="M590">
        <v>63100</v>
      </c>
      <c r="N590" t="s">
        <v>419</v>
      </c>
      <c r="O590" t="s">
        <v>420</v>
      </c>
      <c r="P590" t="s">
        <v>196</v>
      </c>
      <c r="Q590" t="s">
        <v>50</v>
      </c>
      <c r="R590">
        <v>0</v>
      </c>
      <c r="S590" t="s">
        <v>421</v>
      </c>
      <c r="T590" t="str" s="2">
        <f>=HYPERLINK("http://demo.enginatics.com:80/ecc/user/applications/log/63099.log","http://demo.enginatics.com:80/ecc/user/applications/log/63099.log")</f>
        <v>"http://demo.enginatics.com:80/ecc/user/applications/log/63099.log")</v>
      </c>
      <c r="U590">
        <v>63101</v>
      </c>
      <c r="V590" t="s">
        <v>196</v>
      </c>
      <c r="W590" t="s">
        <v>50</v>
      </c>
      <c r="X590">
        <v>0</v>
      </c>
      <c r="Y590">
        <v>0</v>
      </c>
      <c r="Z590" t="s">
        <v>957</v>
      </c>
    </row>
    <row r="591" spans="1:37" x14ac:dyDescent="0.2">
      <c r="A591">
        <v>63078</v>
      </c>
      <c r="B591" t="s">
        <v>37</v>
      </c>
      <c r="C591" t="s">
        <v>38</v>
      </c>
      <c r="D591" t="s">
        <v>295</v>
      </c>
      <c r="E591" t="s">
        <v>40</v>
      </c>
      <c r="G591" s="4">
        <v>43948.1621875</v>
      </c>
      <c r="H591" s="4">
        <v>43948.162349537037</v>
      </c>
      <c r="I591" t="s">
        <v>315</v>
      </c>
      <c r="J591" s="5">
        <v>14</v>
      </c>
      <c r="K591" t="s">
        <v>38</v>
      </c>
      <c r="M591">
        <v>63097</v>
      </c>
      <c r="N591" t="s">
        <v>299</v>
      </c>
      <c r="O591" t="s">
        <v>301</v>
      </c>
      <c r="P591" t="s">
        <v>38</v>
      </c>
      <c r="Q591" t="s">
        <v>236</v>
      </c>
      <c r="R591">
        <v>12.00000000000000000000000000000000000001</v>
      </c>
      <c r="S591" t="s">
        <v>45</v>
      </c>
      <c r="T591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1">
        <v>63098</v>
      </c>
      <c r="V591" t="s">
        <v>38</v>
      </c>
      <c r="W591" t="s">
        <v>236</v>
      </c>
      <c r="X591">
        <v>12.00000000000000000000000000000000000001</v>
      </c>
      <c r="Y591">
        <v>11</v>
      </c>
      <c r="Z591" t="s">
        <v>46</v>
      </c>
      <c r="AA591">
        <v>63144</v>
      </c>
      <c r="AB591" t="s">
        <v>302</v>
      </c>
      <c r="AC591" t="s">
        <v>68</v>
      </c>
      <c r="AD591" t="s">
        <v>38</v>
      </c>
      <c r="AE591" t="s">
        <v>49</v>
      </c>
      <c r="AF591" t="s">
        <v>50</v>
      </c>
      <c r="AG591">
        <v>0</v>
      </c>
      <c r="AH591">
        <v>0</v>
      </c>
      <c r="AI591" t="s">
        <v>51</v>
      </c>
      <c r="AJ591" t="s">
        <v>51</v>
      </c>
      <c r="AK591" t="s">
        <v>51</v>
      </c>
    </row>
    <row r="592" spans="1:37" x14ac:dyDescent="0.2">
      <c r="A592">
        <v>63078</v>
      </c>
      <c r="B592" t="s">
        <v>37</v>
      </c>
      <c r="C592" t="s">
        <v>38</v>
      </c>
      <c r="D592" t="s">
        <v>295</v>
      </c>
      <c r="E592" t="s">
        <v>40</v>
      </c>
      <c r="G592" s="4">
        <v>43948.1621875</v>
      </c>
      <c r="H592" s="4">
        <v>43948.162349537037</v>
      </c>
      <c r="I592" t="s">
        <v>315</v>
      </c>
      <c r="J592" s="5">
        <v>14</v>
      </c>
      <c r="K592" t="s">
        <v>38</v>
      </c>
      <c r="M592">
        <v>63097</v>
      </c>
      <c r="N592" t="s">
        <v>299</v>
      </c>
      <c r="O592" t="s">
        <v>301</v>
      </c>
      <c r="P592" t="s">
        <v>38</v>
      </c>
      <c r="Q592" t="s">
        <v>236</v>
      </c>
      <c r="R592">
        <v>12.00000000000000000000000000000000000001</v>
      </c>
      <c r="S592" t="s">
        <v>45</v>
      </c>
      <c r="T592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2">
        <v>63098</v>
      </c>
      <c r="V592" t="s">
        <v>38</v>
      </c>
      <c r="W592" t="s">
        <v>236</v>
      </c>
      <c r="X592">
        <v>12.00000000000000000000000000000000000001</v>
      </c>
      <c r="Y592">
        <v>11</v>
      </c>
      <c r="Z592" t="s">
        <v>46</v>
      </c>
      <c r="AA592">
        <v>63142</v>
      </c>
      <c r="AB592" t="s">
        <v>303</v>
      </c>
      <c r="AC592" t="s">
        <v>56</v>
      </c>
      <c r="AD592" t="s">
        <v>38</v>
      </c>
      <c r="AE592" t="s">
        <v>49</v>
      </c>
      <c r="AF592" t="s">
        <v>50</v>
      </c>
      <c r="AG592">
        <v>0</v>
      </c>
      <c r="AH592">
        <v>0</v>
      </c>
      <c r="AI592" t="s">
        <v>51</v>
      </c>
      <c r="AJ592" t="s">
        <v>51</v>
      </c>
      <c r="AK592" t="s">
        <v>51</v>
      </c>
    </row>
    <row r="593" spans="1:37" x14ac:dyDescent="0.2">
      <c r="A593">
        <v>63078</v>
      </c>
      <c r="B593" t="s">
        <v>37</v>
      </c>
      <c r="C593" t="s">
        <v>38</v>
      </c>
      <c r="D593" t="s">
        <v>295</v>
      </c>
      <c r="E593" t="s">
        <v>40</v>
      </c>
      <c r="G593" s="4">
        <v>43948.1621875</v>
      </c>
      <c r="H593" s="4">
        <v>43948.162349537037</v>
      </c>
      <c r="I593" t="s">
        <v>315</v>
      </c>
      <c r="J593" s="5">
        <v>14</v>
      </c>
      <c r="K593" t="s">
        <v>38</v>
      </c>
      <c r="M593">
        <v>63094</v>
      </c>
      <c r="N593" t="s">
        <v>423</v>
      </c>
      <c r="O593" t="s">
        <v>424</v>
      </c>
      <c r="P593" t="s">
        <v>38</v>
      </c>
      <c r="Q593" t="s">
        <v>50</v>
      </c>
      <c r="R593">
        <v>0</v>
      </c>
      <c r="S593" t="s">
        <v>45</v>
      </c>
      <c r="T593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3">
        <v>63095</v>
      </c>
      <c r="V593" t="s">
        <v>38</v>
      </c>
      <c r="W593" t="s">
        <v>50</v>
      </c>
      <c r="X593">
        <v>0</v>
      </c>
      <c r="Y593">
        <v>0</v>
      </c>
      <c r="Z593" t="s">
        <v>46</v>
      </c>
      <c r="AA593">
        <v>63096</v>
      </c>
      <c r="AB593" t="s">
        <v>425</v>
      </c>
      <c r="AC593" t="s">
        <v>68</v>
      </c>
      <c r="AD593" t="s">
        <v>38</v>
      </c>
      <c r="AE593" t="s">
        <v>49</v>
      </c>
      <c r="AF593" t="s">
        <v>50</v>
      </c>
      <c r="AG593">
        <v>0</v>
      </c>
      <c r="AH593">
        <v>0</v>
      </c>
      <c r="AI593" t="s">
        <v>51</v>
      </c>
      <c r="AJ593" t="s">
        <v>51</v>
      </c>
      <c r="AK593" t="s">
        <v>51</v>
      </c>
    </row>
    <row r="594" spans="1:37" x14ac:dyDescent="0.2">
      <c r="A594">
        <v>63078</v>
      </c>
      <c r="B594" t="s">
        <v>37</v>
      </c>
      <c r="C594" t="s">
        <v>38</v>
      </c>
      <c r="D594" t="s">
        <v>295</v>
      </c>
      <c r="E594" t="s">
        <v>40</v>
      </c>
      <c r="G594" s="4">
        <v>43948.1621875</v>
      </c>
      <c r="H594" s="4">
        <v>43948.162349537037</v>
      </c>
      <c r="I594" t="s">
        <v>315</v>
      </c>
      <c r="J594" s="5">
        <v>14</v>
      </c>
      <c r="K594" t="s">
        <v>38</v>
      </c>
      <c r="M594">
        <v>63091</v>
      </c>
      <c r="N594" t="s">
        <v>426</v>
      </c>
      <c r="O594" t="s">
        <v>427</v>
      </c>
      <c r="P594" t="s">
        <v>38</v>
      </c>
      <c r="Q594" t="s">
        <v>50</v>
      </c>
      <c r="R594">
        <v>0</v>
      </c>
      <c r="S594" t="s">
        <v>45</v>
      </c>
      <c r="T594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4">
        <v>63092</v>
      </c>
      <c r="V594" t="s">
        <v>38</v>
      </c>
      <c r="W594" t="s">
        <v>50</v>
      </c>
      <c r="X594">
        <v>0</v>
      </c>
      <c r="Y594">
        <v>0</v>
      </c>
      <c r="Z594" t="s">
        <v>46</v>
      </c>
      <c r="AA594">
        <v>63093</v>
      </c>
      <c r="AB594" t="s">
        <v>428</v>
      </c>
      <c r="AC594" t="s">
        <v>68</v>
      </c>
      <c r="AD594" t="s">
        <v>38</v>
      </c>
      <c r="AE594" t="s">
        <v>49</v>
      </c>
      <c r="AF594" t="s">
        <v>50</v>
      </c>
      <c r="AG594">
        <v>0</v>
      </c>
      <c r="AH594">
        <v>0</v>
      </c>
      <c r="AI594" t="s">
        <v>51</v>
      </c>
      <c r="AJ594" t="s">
        <v>51</v>
      </c>
      <c r="AK594" t="s">
        <v>51</v>
      </c>
    </row>
    <row r="595" spans="1:37" x14ac:dyDescent="0.2">
      <c r="A595">
        <v>63078</v>
      </c>
      <c r="B595" t="s">
        <v>37</v>
      </c>
      <c r="C595" t="s">
        <v>38</v>
      </c>
      <c r="D595" t="s">
        <v>295</v>
      </c>
      <c r="E595" t="s">
        <v>40</v>
      </c>
      <c r="G595" s="4">
        <v>43948.1621875</v>
      </c>
      <c r="H595" s="4">
        <v>43948.162349537037</v>
      </c>
      <c r="I595" t="s">
        <v>315</v>
      </c>
      <c r="J595" s="5">
        <v>14</v>
      </c>
      <c r="K595" t="s">
        <v>38</v>
      </c>
      <c r="M595">
        <v>63088</v>
      </c>
      <c r="N595" t="s">
        <v>429</v>
      </c>
      <c r="O595" t="s">
        <v>430</v>
      </c>
      <c r="P595" t="s">
        <v>38</v>
      </c>
      <c r="Q595" t="s">
        <v>50</v>
      </c>
      <c r="R595">
        <v>0</v>
      </c>
      <c r="S595" t="s">
        <v>45</v>
      </c>
      <c r="T595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5">
        <v>63089</v>
      </c>
      <c r="V595" t="s">
        <v>38</v>
      </c>
      <c r="W595" t="s">
        <v>50</v>
      </c>
      <c r="X595">
        <v>0</v>
      </c>
      <c r="Y595">
        <v>0</v>
      </c>
      <c r="Z595" t="s">
        <v>46</v>
      </c>
      <c r="AA595">
        <v>63090</v>
      </c>
      <c r="AB595" t="s">
        <v>431</v>
      </c>
      <c r="AC595" t="s">
        <v>68</v>
      </c>
      <c r="AD595" t="s">
        <v>38</v>
      </c>
      <c r="AE595" t="s">
        <v>49</v>
      </c>
      <c r="AF595" t="s">
        <v>50</v>
      </c>
      <c r="AG595">
        <v>0</v>
      </c>
      <c r="AH595">
        <v>0</v>
      </c>
      <c r="AI595" t="s">
        <v>51</v>
      </c>
      <c r="AJ595" t="s">
        <v>51</v>
      </c>
      <c r="AK595" t="s">
        <v>51</v>
      </c>
    </row>
    <row r="596" spans="1:37" x14ac:dyDescent="0.2">
      <c r="A596">
        <v>63078</v>
      </c>
      <c r="B596" t="s">
        <v>37</v>
      </c>
      <c r="C596" t="s">
        <v>38</v>
      </c>
      <c r="D596" t="s">
        <v>295</v>
      </c>
      <c r="E596" t="s">
        <v>40</v>
      </c>
      <c r="G596" s="4">
        <v>43948.1621875</v>
      </c>
      <c r="H596" s="4">
        <v>43948.162349537037</v>
      </c>
      <c r="I596" t="s">
        <v>315</v>
      </c>
      <c r="J596" s="5">
        <v>14</v>
      </c>
      <c r="K596" t="s">
        <v>38</v>
      </c>
      <c r="M596">
        <v>63085</v>
      </c>
      <c r="N596" t="s">
        <v>304</v>
      </c>
      <c r="O596" t="s">
        <v>305</v>
      </c>
      <c r="P596" t="s">
        <v>38</v>
      </c>
      <c r="Q596" t="s">
        <v>50</v>
      </c>
      <c r="R596">
        <v>.9999999999999999999999999999999999999996</v>
      </c>
      <c r="S596" t="s">
        <v>45</v>
      </c>
      <c r="T596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6">
        <v>63086</v>
      </c>
      <c r="V596" t="s">
        <v>38</v>
      </c>
      <c r="W596" t="s">
        <v>50</v>
      </c>
      <c r="X596">
        <v>.9999999999999999999999999999999999999996</v>
      </c>
      <c r="Y596">
        <v>1</v>
      </c>
      <c r="Z596" t="s">
        <v>46</v>
      </c>
      <c r="AA596">
        <v>63087</v>
      </c>
      <c r="AB596" t="s">
        <v>306</v>
      </c>
      <c r="AC596" t="s">
        <v>68</v>
      </c>
      <c r="AD596" t="s">
        <v>38</v>
      </c>
      <c r="AE596" t="s">
        <v>49</v>
      </c>
      <c r="AF596" t="s">
        <v>50</v>
      </c>
      <c r="AG596">
        <v>0</v>
      </c>
      <c r="AH596">
        <v>0</v>
      </c>
      <c r="AI596" t="s">
        <v>51</v>
      </c>
      <c r="AJ596" t="s">
        <v>51</v>
      </c>
      <c r="AK596" t="s">
        <v>51</v>
      </c>
    </row>
    <row r="597" spans="1:37" x14ac:dyDescent="0.2">
      <c r="A597">
        <v>63078</v>
      </c>
      <c r="B597" t="s">
        <v>37</v>
      </c>
      <c r="C597" t="s">
        <v>38</v>
      </c>
      <c r="D597" t="s">
        <v>295</v>
      </c>
      <c r="E597" t="s">
        <v>40</v>
      </c>
      <c r="G597" s="4">
        <v>43948.1621875</v>
      </c>
      <c r="H597" s="4">
        <v>43948.162349537037</v>
      </c>
      <c r="I597" t="s">
        <v>315</v>
      </c>
      <c r="J597" s="5">
        <v>14</v>
      </c>
      <c r="K597" t="s">
        <v>38</v>
      </c>
      <c r="M597">
        <v>63082</v>
      </c>
      <c r="N597" t="s">
        <v>296</v>
      </c>
      <c r="O597" t="s">
        <v>297</v>
      </c>
      <c r="P597" t="s">
        <v>38</v>
      </c>
      <c r="Q597" t="s">
        <v>50</v>
      </c>
      <c r="R597">
        <v>.9999999999999999999999999999999999999996</v>
      </c>
      <c r="S597" t="s">
        <v>45</v>
      </c>
      <c r="T597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7">
        <v>63083</v>
      </c>
      <c r="V597" t="s">
        <v>38</v>
      </c>
      <c r="W597" t="s">
        <v>50</v>
      </c>
      <c r="X597">
        <v>.9999999999999999999999999999999999999996</v>
      </c>
      <c r="Y597">
        <v>0</v>
      </c>
      <c r="Z597" t="s">
        <v>46</v>
      </c>
      <c r="AA597">
        <v>63084</v>
      </c>
      <c r="AB597" t="s">
        <v>958</v>
      </c>
      <c r="AC597" t="s">
        <v>68</v>
      </c>
      <c r="AD597" t="s">
        <v>38</v>
      </c>
      <c r="AE597" t="s">
        <v>49</v>
      </c>
      <c r="AF597" t="s">
        <v>50</v>
      </c>
      <c r="AG597">
        <v>.9999999999999999999999999999999999999996</v>
      </c>
      <c r="AH597">
        <v>0</v>
      </c>
      <c r="AI597" t="s">
        <v>51</v>
      </c>
      <c r="AJ597" t="s">
        <v>51</v>
      </c>
      <c r="AK597" t="s">
        <v>51</v>
      </c>
    </row>
    <row r="598" spans="1:37" x14ac:dyDescent="0.2">
      <c r="A598">
        <v>63078</v>
      </c>
      <c r="B598" t="s">
        <v>37</v>
      </c>
      <c r="C598" t="s">
        <v>38</v>
      </c>
      <c r="D598" t="s">
        <v>295</v>
      </c>
      <c r="E598" t="s">
        <v>40</v>
      </c>
      <c r="G598" s="4">
        <v>43948.1621875</v>
      </c>
      <c r="H598" s="4">
        <v>43948.162349537037</v>
      </c>
      <c r="I598" t="s">
        <v>315</v>
      </c>
      <c r="J598" s="5">
        <v>14</v>
      </c>
      <c r="K598" t="s">
        <v>38</v>
      </c>
      <c r="M598">
        <v>63079</v>
      </c>
      <c r="N598" t="s">
        <v>432</v>
      </c>
      <c r="O598" t="s">
        <v>433</v>
      </c>
      <c r="P598" t="s">
        <v>38</v>
      </c>
      <c r="Q598" t="s">
        <v>50</v>
      </c>
      <c r="R598">
        <v>0</v>
      </c>
      <c r="S598" t="s">
        <v>45</v>
      </c>
      <c r="T598" t="str" s="2">
        <f>=HYPERLINK("http://demo.enginatics.com:80/ecc/user/applications/log/63078.log","http://demo.enginatics.com:80/ecc/user/applications/log/63078.log")</f>
        <v>"http://demo.enginatics.com:80/ecc/user/applications/log/63078.log")</v>
      </c>
      <c r="U598">
        <v>63080</v>
      </c>
      <c r="V598" t="s">
        <v>38</v>
      </c>
      <c r="W598" t="s">
        <v>50</v>
      </c>
      <c r="X598">
        <v>0</v>
      </c>
      <c r="Y598">
        <v>0</v>
      </c>
      <c r="Z598" t="s">
        <v>46</v>
      </c>
      <c r="AA598">
        <v>63081</v>
      </c>
      <c r="AB598" t="s">
        <v>434</v>
      </c>
      <c r="AC598" t="s">
        <v>68</v>
      </c>
      <c r="AD598" t="s">
        <v>38</v>
      </c>
      <c r="AE598" t="s">
        <v>49</v>
      </c>
      <c r="AF598" t="s">
        <v>50</v>
      </c>
      <c r="AG598">
        <v>0</v>
      </c>
      <c r="AH598">
        <v>0</v>
      </c>
      <c r="AI598" t="s">
        <v>51</v>
      </c>
      <c r="AJ598" t="s">
        <v>51</v>
      </c>
      <c r="AK598" t="s">
        <v>51</v>
      </c>
    </row>
    <row r="599" spans="1:37" x14ac:dyDescent="0.2">
      <c r="A599">
        <v>63071</v>
      </c>
      <c r="B599" t="s">
        <v>37</v>
      </c>
      <c r="C599" t="s">
        <v>38</v>
      </c>
      <c r="D599" t="s">
        <v>295</v>
      </c>
      <c r="E599" t="s">
        <v>426</v>
      </c>
      <c r="G599" s="4">
        <v>43948.16212962963</v>
      </c>
      <c r="H599" s="4">
        <v>43948.162141203704</v>
      </c>
      <c r="I599" t="s">
        <v>50</v>
      </c>
      <c r="J599" s="5">
        <v>.9999999999999999999999999999999999999996</v>
      </c>
      <c r="K599" t="s">
        <v>38</v>
      </c>
      <c r="M599">
        <v>63074</v>
      </c>
      <c r="N599" t="s">
        <v>426</v>
      </c>
      <c r="O599" t="s">
        <v>427</v>
      </c>
      <c r="P599" t="s">
        <v>38</v>
      </c>
      <c r="Q599" t="s">
        <v>50</v>
      </c>
      <c r="R599">
        <v>.9999999999999999999999999999999999999996</v>
      </c>
      <c r="S599" t="s">
        <v>45</v>
      </c>
      <c r="T599" t="str" s="2">
        <f>=HYPERLINK("http://demo.enginatics.com:80/ecc/user/applications/log/63071.log","http://demo.enginatics.com:80/ecc/user/applications/log/63071.log")</f>
        <v>"http://demo.enginatics.com:80/ecc/user/applications/log/63071.log")</v>
      </c>
      <c r="U599">
        <v>63075</v>
      </c>
      <c r="V599" t="s">
        <v>38</v>
      </c>
      <c r="W599" t="s">
        <v>50</v>
      </c>
      <c r="X599">
        <v>.9999999999999999999999999999999999999996</v>
      </c>
      <c r="Y599">
        <v>0</v>
      </c>
      <c r="Z599" t="s">
        <v>46</v>
      </c>
      <c r="AA599">
        <v>63077</v>
      </c>
      <c r="AB599" t="s">
        <v>428</v>
      </c>
      <c r="AC599" t="s">
        <v>68</v>
      </c>
      <c r="AD599" t="s">
        <v>38</v>
      </c>
      <c r="AE599" t="s">
        <v>49</v>
      </c>
      <c r="AF599" t="s">
        <v>50</v>
      </c>
      <c r="AG599">
        <v>.9999999999999999999999999999999999999996</v>
      </c>
      <c r="AH599">
        <v>0</v>
      </c>
      <c r="AI599" t="s">
        <v>51</v>
      </c>
      <c r="AJ599" t="s">
        <v>51</v>
      </c>
      <c r="AK599" t="s">
        <v>51</v>
      </c>
    </row>
    <row r="600" spans="1:37" x14ac:dyDescent="0.2">
      <c r="A600">
        <v>63070</v>
      </c>
      <c r="B600" t="s">
        <v>37</v>
      </c>
      <c r="C600" t="s">
        <v>38</v>
      </c>
      <c r="D600" t="s">
        <v>295</v>
      </c>
      <c r="E600" t="s">
        <v>423</v>
      </c>
      <c r="G600" s="4">
        <v>43948.16212962963</v>
      </c>
      <c r="H600" s="4">
        <v>43948.16212962963</v>
      </c>
      <c r="I600" t="s">
        <v>50</v>
      </c>
      <c r="J600" s="5">
        <v>0</v>
      </c>
      <c r="K600" t="s">
        <v>38</v>
      </c>
      <c r="M600">
        <v>63072</v>
      </c>
      <c r="N600" t="s">
        <v>423</v>
      </c>
      <c r="O600" t="s">
        <v>424</v>
      </c>
      <c r="P600" t="s">
        <v>38</v>
      </c>
      <c r="Q600" t="s">
        <v>50</v>
      </c>
      <c r="R600">
        <v>0</v>
      </c>
      <c r="S600" t="s">
        <v>45</v>
      </c>
      <c r="T600" t="str" s="2">
        <f>=HYPERLINK("http://demo.enginatics.com:80/ecc/user/applications/log/63070.log","http://demo.enginatics.com:80/ecc/user/applications/log/63070.log")</f>
        <v>"http://demo.enginatics.com:80/ecc/user/applications/log/63070.log")</v>
      </c>
      <c r="U600">
        <v>63073</v>
      </c>
      <c r="V600" t="s">
        <v>38</v>
      </c>
      <c r="W600" t="s">
        <v>50</v>
      </c>
      <c r="X600">
        <v>0</v>
      </c>
      <c r="Y600">
        <v>0</v>
      </c>
      <c r="Z600" t="s">
        <v>46</v>
      </c>
      <c r="AA600">
        <v>63076</v>
      </c>
      <c r="AB600" t="s">
        <v>959</v>
      </c>
      <c r="AC600" t="s">
        <v>68</v>
      </c>
      <c r="AD600" t="s">
        <v>38</v>
      </c>
      <c r="AE600" t="s">
        <v>49</v>
      </c>
      <c r="AF600" t="s">
        <v>50</v>
      </c>
      <c r="AG600">
        <v>0</v>
      </c>
      <c r="AH600">
        <v>0</v>
      </c>
      <c r="AI600" t="s">
        <v>51</v>
      </c>
      <c r="AJ600" t="s">
        <v>51</v>
      </c>
      <c r="AK600" t="s">
        <v>51</v>
      </c>
    </row>
    <row r="601" spans="1:37" x14ac:dyDescent="0.2">
      <c r="A601">
        <v>63066</v>
      </c>
      <c r="B601" t="s">
        <v>37</v>
      </c>
      <c r="C601" t="s">
        <v>38</v>
      </c>
      <c r="D601" t="s">
        <v>295</v>
      </c>
      <c r="E601" t="s">
        <v>429</v>
      </c>
      <c r="G601" s="4">
        <v>43948.162071759259</v>
      </c>
      <c r="H601" s="4">
        <v>43948.16212962963</v>
      </c>
      <c r="I601" t="s">
        <v>78</v>
      </c>
      <c r="J601" s="5">
        <v>5</v>
      </c>
      <c r="K601" t="s">
        <v>38</v>
      </c>
      <c r="M601">
        <v>63067</v>
      </c>
      <c r="N601" t="s">
        <v>429</v>
      </c>
      <c r="O601" t="s">
        <v>430</v>
      </c>
      <c r="P601" t="s">
        <v>38</v>
      </c>
      <c r="Q601" t="s">
        <v>78</v>
      </c>
      <c r="R601">
        <v>5</v>
      </c>
      <c r="S601" t="s">
        <v>45</v>
      </c>
      <c r="T601" t="str" s="2">
        <f>=HYPERLINK("http://demo.enginatics.com:80/ecc/user/applications/log/63066.log","http://demo.enginatics.com:80/ecc/user/applications/log/63066.log")</f>
        <v>"http://demo.enginatics.com:80/ecc/user/applications/log/63066.log")</v>
      </c>
      <c r="U601">
        <v>63068</v>
      </c>
      <c r="V601" t="s">
        <v>38</v>
      </c>
      <c r="W601" t="s">
        <v>44</v>
      </c>
      <c r="X601">
        <v>4</v>
      </c>
      <c r="Y601">
        <v>0</v>
      </c>
      <c r="Z601" t="s">
        <v>46</v>
      </c>
      <c r="AA601">
        <v>63069</v>
      </c>
      <c r="AB601" t="s">
        <v>431</v>
      </c>
      <c r="AC601" t="s">
        <v>68</v>
      </c>
      <c r="AD601" t="s">
        <v>38</v>
      </c>
      <c r="AE601" t="s">
        <v>49</v>
      </c>
      <c r="AF601" t="s">
        <v>44</v>
      </c>
      <c r="AG601">
        <v>4</v>
      </c>
      <c r="AH601">
        <v>0</v>
      </c>
      <c r="AI601" t="s">
        <v>51</v>
      </c>
      <c r="AJ601" t="s">
        <v>51</v>
      </c>
      <c r="AK601" t="s">
        <v>51</v>
      </c>
    </row>
    <row r="602" spans="1:37" x14ac:dyDescent="0.2">
      <c r="A602">
        <v>63062</v>
      </c>
      <c r="B602" t="s">
        <v>37</v>
      </c>
      <c r="C602" t="s">
        <v>38</v>
      </c>
      <c r="D602" t="s">
        <v>295</v>
      </c>
      <c r="E602" t="s">
        <v>432</v>
      </c>
      <c r="G602" s="4">
        <v>43948.161516203704</v>
      </c>
      <c r="H602" s="4">
        <v>43948.161550925926</v>
      </c>
      <c r="I602" t="s">
        <v>85</v>
      </c>
      <c r="J602" s="5">
        <v>3</v>
      </c>
      <c r="K602" t="s">
        <v>38</v>
      </c>
      <c r="M602">
        <v>63063</v>
      </c>
      <c r="N602" t="s">
        <v>432</v>
      </c>
      <c r="O602" t="s">
        <v>433</v>
      </c>
      <c r="P602" t="s">
        <v>38</v>
      </c>
      <c r="Q602" t="s">
        <v>85</v>
      </c>
      <c r="R602">
        <v>3</v>
      </c>
      <c r="S602" t="s">
        <v>45</v>
      </c>
      <c r="T602" t="str" s="2">
        <f>=HYPERLINK("http://demo.enginatics.com:80/ecc/user/applications/log/63062.log","http://demo.enginatics.com:80/ecc/user/applications/log/63062.log")</f>
        <v>"http://demo.enginatics.com:80/ecc/user/applications/log/63062.log")</v>
      </c>
      <c r="U602">
        <v>63064</v>
      </c>
      <c r="V602" t="s">
        <v>38</v>
      </c>
      <c r="W602" t="s">
        <v>85</v>
      </c>
      <c r="X602">
        <v>3</v>
      </c>
      <c r="Y602">
        <v>0</v>
      </c>
      <c r="Z602" t="s">
        <v>46</v>
      </c>
      <c r="AA602">
        <v>63065</v>
      </c>
      <c r="AB602" t="s">
        <v>434</v>
      </c>
      <c r="AC602" t="s">
        <v>68</v>
      </c>
      <c r="AD602" t="s">
        <v>38</v>
      </c>
      <c r="AE602" t="s">
        <v>49</v>
      </c>
      <c r="AF602" t="s">
        <v>50</v>
      </c>
      <c r="AG602">
        <v>.9999999999999999999999999999999999999996</v>
      </c>
      <c r="AH602">
        <v>1</v>
      </c>
      <c r="AI602" t="s">
        <v>51</v>
      </c>
      <c r="AJ602" t="s">
        <v>51</v>
      </c>
      <c r="AK602" t="s">
        <v>51</v>
      </c>
    </row>
    <row r="603" spans="1:37" x14ac:dyDescent="0.2">
      <c r="A603">
        <v>63060</v>
      </c>
      <c r="B603" t="s">
        <v>37</v>
      </c>
      <c r="C603" t="s">
        <v>38</v>
      </c>
      <c r="D603" t="s">
        <v>83</v>
      </c>
      <c r="E603" t="s">
        <v>435</v>
      </c>
      <c r="G603" s="4">
        <v>43948.160671296296</v>
      </c>
      <c r="H603" s="4">
        <v>43948.160671296296</v>
      </c>
      <c r="I603" t="s">
        <v>50</v>
      </c>
      <c r="J603" s="5">
        <v>0</v>
      </c>
      <c r="K603" t="s">
        <v>38</v>
      </c>
      <c r="M603">
        <v>63061</v>
      </c>
      <c r="N603" t="s">
        <v>435</v>
      </c>
      <c r="O603" t="s">
        <v>436</v>
      </c>
      <c r="P603" t="s">
        <v>38</v>
      </c>
      <c r="Q603" t="s">
        <v>50</v>
      </c>
      <c r="R603">
        <v>0</v>
      </c>
      <c r="S603" t="s">
        <v>437</v>
      </c>
      <c r="T603" t="str" s="2">
        <f>=HYPERLINK("http://demo.enginatics.com:80/ecc/user/applications/log/63060.log","http://demo.enginatics.com:80/ecc/user/applications/log/63060.log")</f>
        <v>"http://demo.enginatics.com:80/ecc/user/applications/log/63060.log")</v>
      </c>
    </row>
    <row r="604" spans="1:37" x14ac:dyDescent="0.2">
      <c r="A604">
        <v>63053</v>
      </c>
      <c r="B604" t="s">
        <v>37</v>
      </c>
      <c r="C604" t="s">
        <v>38</v>
      </c>
      <c r="D604" t="s">
        <v>438</v>
      </c>
      <c r="E604" t="s">
        <v>40</v>
      </c>
      <c r="G604" s="4">
        <v>43948.159074074074</v>
      </c>
      <c r="H604" s="4">
        <v>43948.159097222222</v>
      </c>
      <c r="I604" t="s">
        <v>88</v>
      </c>
      <c r="J604" s="5">
        <v>2</v>
      </c>
      <c r="K604" t="s">
        <v>38</v>
      </c>
      <c r="M604">
        <v>63059</v>
      </c>
      <c r="N604" t="s">
        <v>439</v>
      </c>
      <c r="O604" t="s">
        <v>440</v>
      </c>
      <c r="P604" t="s">
        <v>38</v>
      </c>
      <c r="Q604" t="s">
        <v>50</v>
      </c>
      <c r="R604">
        <v>0</v>
      </c>
      <c r="S604" t="s">
        <v>441</v>
      </c>
      <c r="T604" t="str" s="2">
        <f>=HYPERLINK("http://demo.enginatics.com:80/ecc/user/applications/log/63053.log","http://demo.enginatics.com:80/ecc/user/applications/log/63053.log")</f>
        <v>"http://demo.enginatics.com:80/ecc/user/applications/log/63053.log")</v>
      </c>
    </row>
    <row r="605" spans="1:37" x14ac:dyDescent="0.2">
      <c r="A605">
        <v>63053</v>
      </c>
      <c r="B605" t="s">
        <v>37</v>
      </c>
      <c r="C605" t="s">
        <v>38</v>
      </c>
      <c r="D605" t="s">
        <v>438</v>
      </c>
      <c r="E605" t="s">
        <v>40</v>
      </c>
      <c r="G605" s="4">
        <v>43948.159074074074</v>
      </c>
      <c r="H605" s="4">
        <v>43948.159097222222</v>
      </c>
      <c r="I605" t="s">
        <v>88</v>
      </c>
      <c r="J605" s="5">
        <v>2</v>
      </c>
      <c r="K605" t="s">
        <v>38</v>
      </c>
      <c r="M605">
        <v>63058</v>
      </c>
      <c r="N605" t="s">
        <v>442</v>
      </c>
      <c r="O605" t="s">
        <v>443</v>
      </c>
      <c r="P605" t="s">
        <v>38</v>
      </c>
      <c r="Q605" t="s">
        <v>50</v>
      </c>
      <c r="R605">
        <v>0</v>
      </c>
      <c r="S605" t="s">
        <v>444</v>
      </c>
      <c r="T605" t="str" s="2">
        <f>=HYPERLINK("http://demo.enginatics.com:80/ecc/user/applications/log/63053.log","http://demo.enginatics.com:80/ecc/user/applications/log/63053.log")</f>
        <v>"http://demo.enginatics.com:80/ecc/user/applications/log/63053.log")</v>
      </c>
    </row>
    <row r="606" spans="1:37" x14ac:dyDescent="0.2">
      <c r="A606">
        <v>63053</v>
      </c>
      <c r="B606" t="s">
        <v>37</v>
      </c>
      <c r="C606" t="s">
        <v>38</v>
      </c>
      <c r="D606" t="s">
        <v>438</v>
      </c>
      <c r="E606" t="s">
        <v>40</v>
      </c>
      <c r="G606" s="4">
        <v>43948.159074074074</v>
      </c>
      <c r="H606" s="4">
        <v>43948.159097222222</v>
      </c>
      <c r="I606" t="s">
        <v>88</v>
      </c>
      <c r="J606" s="5">
        <v>2</v>
      </c>
      <c r="K606" t="s">
        <v>38</v>
      </c>
      <c r="M606">
        <v>63057</v>
      </c>
      <c r="N606" t="s">
        <v>445</v>
      </c>
      <c r="O606" t="s">
        <v>446</v>
      </c>
      <c r="P606" t="s">
        <v>38</v>
      </c>
      <c r="Q606" t="s">
        <v>50</v>
      </c>
      <c r="R606">
        <v>.9999999999999999999999999999999999999996</v>
      </c>
      <c r="S606" t="s">
        <v>447</v>
      </c>
      <c r="T606" t="str" s="2">
        <f>=HYPERLINK("http://demo.enginatics.com:80/ecc/user/applications/log/63053.log","http://demo.enginatics.com:80/ecc/user/applications/log/63053.log")</f>
        <v>"http://demo.enginatics.com:80/ecc/user/applications/log/63053.log")</v>
      </c>
    </row>
    <row r="607" spans="1:37" x14ac:dyDescent="0.2">
      <c r="A607">
        <v>63053</v>
      </c>
      <c r="B607" t="s">
        <v>37</v>
      </c>
      <c r="C607" t="s">
        <v>38</v>
      </c>
      <c r="D607" t="s">
        <v>438</v>
      </c>
      <c r="E607" t="s">
        <v>40</v>
      </c>
      <c r="G607" s="4">
        <v>43948.159074074074</v>
      </c>
      <c r="H607" s="4">
        <v>43948.159097222222</v>
      </c>
      <c r="I607" t="s">
        <v>88</v>
      </c>
      <c r="J607" s="5">
        <v>2</v>
      </c>
      <c r="K607" t="s">
        <v>38</v>
      </c>
      <c r="M607">
        <v>63056</v>
      </c>
      <c r="N607" t="s">
        <v>448</v>
      </c>
      <c r="O607" t="s">
        <v>449</v>
      </c>
      <c r="P607" t="s">
        <v>38</v>
      </c>
      <c r="Q607" t="s">
        <v>50</v>
      </c>
      <c r="R607">
        <v>0</v>
      </c>
      <c r="S607" t="s">
        <v>450</v>
      </c>
      <c r="T607" t="str" s="2">
        <f>=HYPERLINK("http://demo.enginatics.com:80/ecc/user/applications/log/63053.log","http://demo.enginatics.com:80/ecc/user/applications/log/63053.log")</f>
        <v>"http://demo.enginatics.com:80/ecc/user/applications/log/63053.log")</v>
      </c>
    </row>
    <row r="608" spans="1:37" x14ac:dyDescent="0.2">
      <c r="A608">
        <v>63053</v>
      </c>
      <c r="B608" t="s">
        <v>37</v>
      </c>
      <c r="C608" t="s">
        <v>38</v>
      </c>
      <c r="D608" t="s">
        <v>438</v>
      </c>
      <c r="E608" t="s">
        <v>40</v>
      </c>
      <c r="G608" s="4">
        <v>43948.159074074074</v>
      </c>
      <c r="H608" s="4">
        <v>43948.159097222222</v>
      </c>
      <c r="I608" t="s">
        <v>88</v>
      </c>
      <c r="J608" s="5">
        <v>2</v>
      </c>
      <c r="K608" t="s">
        <v>38</v>
      </c>
      <c r="M608">
        <v>63055</v>
      </c>
      <c r="N608" t="s">
        <v>451</v>
      </c>
      <c r="O608" t="s">
        <v>452</v>
      </c>
      <c r="P608" t="s">
        <v>38</v>
      </c>
      <c r="Q608" t="s">
        <v>50</v>
      </c>
      <c r="R608">
        <v>0</v>
      </c>
      <c r="S608" t="s">
        <v>453</v>
      </c>
      <c r="T608" t="str" s="2">
        <f>=HYPERLINK("http://demo.enginatics.com:80/ecc/user/applications/log/63053.log","http://demo.enginatics.com:80/ecc/user/applications/log/63053.log")</f>
        <v>"http://demo.enginatics.com:80/ecc/user/applications/log/63053.log")</v>
      </c>
    </row>
    <row r="609" spans="1:37" x14ac:dyDescent="0.2">
      <c r="A609">
        <v>63053</v>
      </c>
      <c r="B609" t="s">
        <v>37</v>
      </c>
      <c r="C609" t="s">
        <v>38</v>
      </c>
      <c r="D609" t="s">
        <v>438</v>
      </c>
      <c r="E609" t="s">
        <v>40</v>
      </c>
      <c r="G609" s="4">
        <v>43948.159074074074</v>
      </c>
      <c r="H609" s="4">
        <v>43948.159097222222</v>
      </c>
      <c r="I609" t="s">
        <v>88</v>
      </c>
      <c r="J609" s="5">
        <v>2</v>
      </c>
      <c r="K609" t="s">
        <v>38</v>
      </c>
      <c r="M609">
        <v>63054</v>
      </c>
      <c r="N609" t="s">
        <v>454</v>
      </c>
      <c r="O609" t="s">
        <v>455</v>
      </c>
      <c r="P609" t="s">
        <v>38</v>
      </c>
      <c r="Q609" t="s">
        <v>50</v>
      </c>
      <c r="R609">
        <v>0</v>
      </c>
      <c r="S609" t="s">
        <v>456</v>
      </c>
      <c r="T609" t="str" s="2">
        <f>=HYPERLINK("http://demo.enginatics.com:80/ecc/user/applications/log/63053.log","http://demo.enginatics.com:80/ecc/user/applications/log/63053.log")</f>
        <v>"http://demo.enginatics.com:80/ecc/user/applications/log/63053.log")</v>
      </c>
    </row>
    <row r="610" spans="1:37" x14ac:dyDescent="0.2">
      <c r="A610">
        <v>63049</v>
      </c>
      <c r="B610" t="s">
        <v>37</v>
      </c>
      <c r="C610" t="s">
        <v>38</v>
      </c>
      <c r="D610" t="s">
        <v>83</v>
      </c>
      <c r="E610" t="s">
        <v>457</v>
      </c>
      <c r="G610" s="4">
        <v>43948.15900462963</v>
      </c>
      <c r="H610" s="4">
        <v>43948.159016203704</v>
      </c>
      <c r="I610" t="s">
        <v>50</v>
      </c>
      <c r="J610" s="5">
        <v>.9999999999999999999999999999999999999996</v>
      </c>
      <c r="K610" t="s">
        <v>38</v>
      </c>
      <c r="M610">
        <v>63050</v>
      </c>
      <c r="N610" t="s">
        <v>457</v>
      </c>
      <c r="O610" t="s">
        <v>458</v>
      </c>
      <c r="P610" t="s">
        <v>38</v>
      </c>
      <c r="Q610" t="s">
        <v>50</v>
      </c>
      <c r="R610">
        <v>.9999999999999999999999999999999999999996</v>
      </c>
      <c r="S610" t="s">
        <v>45</v>
      </c>
      <c r="T610" t="str" s="2">
        <f>=HYPERLINK("http://demo.enginatics.com:80/ecc/user/applications/log/63049.log","http://demo.enginatics.com:80/ecc/user/applications/log/63049.log")</f>
        <v>"http://demo.enginatics.com:80/ecc/user/applications/log/63049.log")</v>
      </c>
      <c r="U610">
        <v>63051</v>
      </c>
      <c r="V610" t="s">
        <v>38</v>
      </c>
      <c r="W610" t="s">
        <v>50</v>
      </c>
      <c r="X610">
        <v>.9999999999999999999999999999999999999996</v>
      </c>
      <c r="Y610">
        <v>0</v>
      </c>
      <c r="Z610" t="s">
        <v>46</v>
      </c>
      <c r="AA610">
        <v>63052</v>
      </c>
      <c r="AB610" t="s">
        <v>960</v>
      </c>
      <c r="AC610" t="s">
        <v>68</v>
      </c>
      <c r="AD610" t="s">
        <v>38</v>
      </c>
      <c r="AE610" t="s">
        <v>49</v>
      </c>
      <c r="AF610" t="s">
        <v>50</v>
      </c>
      <c r="AG610">
        <v>.9999999999999999999999999999999999999996</v>
      </c>
      <c r="AH610">
        <v>0</v>
      </c>
      <c r="AI610" t="s">
        <v>51</v>
      </c>
      <c r="AJ610" t="s">
        <v>51</v>
      </c>
      <c r="AK610" t="s">
        <v>51</v>
      </c>
    </row>
    <row r="611" spans="1:37" x14ac:dyDescent="0.2">
      <c r="A611">
        <v>63045</v>
      </c>
      <c r="B611" t="s">
        <v>37</v>
      </c>
      <c r="C611" t="s">
        <v>38</v>
      </c>
      <c r="D611" t="s">
        <v>460</v>
      </c>
      <c r="E611" t="s">
        <v>40</v>
      </c>
      <c r="G611" s="4">
        <v>43948.109641203704</v>
      </c>
      <c r="H611" s="4">
        <v>43948.109664351852</v>
      </c>
      <c r="I611" t="s">
        <v>88</v>
      </c>
      <c r="J611" s="5">
        <v>2</v>
      </c>
      <c r="K611" t="s">
        <v>38</v>
      </c>
      <c r="M611">
        <v>63046</v>
      </c>
      <c r="N611" t="s">
        <v>461</v>
      </c>
      <c r="O611" t="s">
        <v>462</v>
      </c>
      <c r="P611" t="s">
        <v>38</v>
      </c>
      <c r="Q611" t="s">
        <v>88</v>
      </c>
      <c r="R611">
        <v>2</v>
      </c>
      <c r="S611" t="s">
        <v>45</v>
      </c>
      <c r="T611" t="str" s="2">
        <f>=HYPERLINK("http://demo.enginatics.com:80/ecc/user/applications/log/63045.log","http://demo.enginatics.com:80/ecc/user/applications/log/63045.log")</f>
        <v>"http://demo.enginatics.com:80/ecc/user/applications/log/63045.log")</v>
      </c>
      <c r="U611">
        <v>63047</v>
      </c>
      <c r="V611" t="s">
        <v>38</v>
      </c>
      <c r="W611" t="s">
        <v>88</v>
      </c>
      <c r="X611">
        <v>2</v>
      </c>
      <c r="Y611">
        <v>0</v>
      </c>
      <c r="Z611" t="s">
        <v>46</v>
      </c>
      <c r="AA611">
        <v>63048</v>
      </c>
      <c r="AB611" t="s">
        <v>961</v>
      </c>
      <c r="AC611" t="s">
        <v>68</v>
      </c>
      <c r="AD611" t="s">
        <v>38</v>
      </c>
      <c r="AE611" t="s">
        <v>49</v>
      </c>
      <c r="AF611" t="s">
        <v>88</v>
      </c>
      <c r="AG611">
        <v>2</v>
      </c>
      <c r="AH611">
        <v>1</v>
      </c>
      <c r="AI611" t="s">
        <v>51</v>
      </c>
      <c r="AJ611" t="s">
        <v>51</v>
      </c>
      <c r="AK611" t="s">
        <v>51</v>
      </c>
    </row>
    <row r="612" spans="1:37" x14ac:dyDescent="0.2">
      <c r="A612">
        <v>63020</v>
      </c>
      <c r="B612" t="s">
        <v>37</v>
      </c>
      <c r="C612" t="s">
        <v>38</v>
      </c>
      <c r="D612" t="s">
        <v>464</v>
      </c>
      <c r="E612" t="s">
        <v>40</v>
      </c>
      <c r="G612" s="4">
        <v>43948.085069444444</v>
      </c>
      <c r="H612" s="4">
        <v>43948.085185185185</v>
      </c>
      <c r="I612" t="s">
        <v>300</v>
      </c>
      <c r="J612" s="5">
        <v>10.00000000000000000000000000000000000002</v>
      </c>
      <c r="K612" t="s">
        <v>38</v>
      </c>
      <c r="M612">
        <v>63042</v>
      </c>
      <c r="N612" t="s">
        <v>465</v>
      </c>
      <c r="O612" t="s">
        <v>466</v>
      </c>
      <c r="P612" t="s">
        <v>38</v>
      </c>
      <c r="Q612" t="s">
        <v>44</v>
      </c>
      <c r="R612">
        <v>4</v>
      </c>
      <c r="S612" t="s">
        <v>45</v>
      </c>
      <c r="T612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2">
        <v>63043</v>
      </c>
      <c r="V612" t="s">
        <v>38</v>
      </c>
      <c r="W612" t="s">
        <v>44</v>
      </c>
      <c r="X612">
        <v>4</v>
      </c>
      <c r="Y612">
        <v>0</v>
      </c>
      <c r="Z612" t="s">
        <v>46</v>
      </c>
      <c r="AA612">
        <v>63044</v>
      </c>
      <c r="AB612" t="s">
        <v>467</v>
      </c>
      <c r="AC612" t="s">
        <v>68</v>
      </c>
      <c r="AD612" t="s">
        <v>38</v>
      </c>
      <c r="AE612" t="s">
        <v>468</v>
      </c>
      <c r="AF612" t="s">
        <v>44</v>
      </c>
      <c r="AG612">
        <v>4</v>
      </c>
      <c r="AH612">
        <v>0</v>
      </c>
      <c r="AI612" t="s">
        <v>469</v>
      </c>
      <c r="AJ612" t="s">
        <v>51</v>
      </c>
      <c r="AK612" t="s">
        <v>469</v>
      </c>
    </row>
    <row r="613" spans="1:37" x14ac:dyDescent="0.2">
      <c r="A613">
        <v>63020</v>
      </c>
      <c r="B613" t="s">
        <v>37</v>
      </c>
      <c r="C613" t="s">
        <v>38</v>
      </c>
      <c r="D613" t="s">
        <v>464</v>
      </c>
      <c r="E613" t="s">
        <v>40</v>
      </c>
      <c r="G613" s="4">
        <v>43948.085069444444</v>
      </c>
      <c r="H613" s="4">
        <v>43948.085185185185</v>
      </c>
      <c r="I613" t="s">
        <v>300</v>
      </c>
      <c r="J613" s="5">
        <v>10.00000000000000000000000000000000000002</v>
      </c>
      <c r="K613" t="s">
        <v>38</v>
      </c>
      <c r="M613">
        <v>63039</v>
      </c>
      <c r="N613" t="s">
        <v>470</v>
      </c>
      <c r="O613" t="s">
        <v>471</v>
      </c>
      <c r="P613" t="s">
        <v>38</v>
      </c>
      <c r="Q613" t="s">
        <v>50</v>
      </c>
      <c r="R613">
        <v>.9999999999999999999999999999999999999996</v>
      </c>
      <c r="S613" t="s">
        <v>45</v>
      </c>
      <c r="T613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3">
        <v>63040</v>
      </c>
      <c r="V613" t="s">
        <v>38</v>
      </c>
      <c r="W613" t="s">
        <v>50</v>
      </c>
      <c r="X613">
        <v>.9999999999999999999999999999999999999996</v>
      </c>
      <c r="Y613">
        <v>0</v>
      </c>
      <c r="Z613" t="s">
        <v>46</v>
      </c>
      <c r="AA613">
        <v>63041</v>
      </c>
      <c r="AB613" t="s">
        <v>472</v>
      </c>
      <c r="AC613" t="s">
        <v>68</v>
      </c>
      <c r="AD613" t="s">
        <v>38</v>
      </c>
      <c r="AE613" t="s">
        <v>49</v>
      </c>
      <c r="AF613" t="s">
        <v>50</v>
      </c>
      <c r="AG613">
        <v>.9999999999999999999999999999999999999996</v>
      </c>
      <c r="AH613">
        <v>0</v>
      </c>
      <c r="AI613" t="s">
        <v>51</v>
      </c>
      <c r="AJ613" t="s">
        <v>51</v>
      </c>
      <c r="AK613" t="s">
        <v>51</v>
      </c>
    </row>
    <row r="614" spans="1:37" x14ac:dyDescent="0.2">
      <c r="A614">
        <v>63020</v>
      </c>
      <c r="B614" t="s">
        <v>37</v>
      </c>
      <c r="C614" t="s">
        <v>38</v>
      </c>
      <c r="D614" t="s">
        <v>464</v>
      </c>
      <c r="E614" t="s">
        <v>40</v>
      </c>
      <c r="G614" s="4">
        <v>43948.085069444444</v>
      </c>
      <c r="H614" s="4">
        <v>43948.085185185185</v>
      </c>
      <c r="I614" t="s">
        <v>300</v>
      </c>
      <c r="J614" s="5">
        <v>10.00000000000000000000000000000000000002</v>
      </c>
      <c r="K614" t="s">
        <v>38</v>
      </c>
      <c r="M614">
        <v>63036</v>
      </c>
      <c r="N614" t="s">
        <v>473</v>
      </c>
      <c r="O614" t="s">
        <v>474</v>
      </c>
      <c r="P614" t="s">
        <v>38</v>
      </c>
      <c r="Q614" t="s">
        <v>50</v>
      </c>
      <c r="R614">
        <v>.9999999999999999999999999999999999999996</v>
      </c>
      <c r="S614" t="s">
        <v>45</v>
      </c>
      <c r="T614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4">
        <v>63037</v>
      </c>
      <c r="V614" t="s">
        <v>38</v>
      </c>
      <c r="W614" t="s">
        <v>50</v>
      </c>
      <c r="X614">
        <v>.9999999999999999999999999999999999999996</v>
      </c>
      <c r="Y614">
        <v>0</v>
      </c>
      <c r="Z614" t="s">
        <v>46</v>
      </c>
      <c r="AA614">
        <v>63038</v>
      </c>
      <c r="AB614" t="s">
        <v>475</v>
      </c>
      <c r="AC614" t="s">
        <v>68</v>
      </c>
      <c r="AD614" t="s">
        <v>38</v>
      </c>
      <c r="AE614" t="s">
        <v>476</v>
      </c>
      <c r="AF614" t="s">
        <v>50</v>
      </c>
      <c r="AG614">
        <v>.9999999999999999999999999999999999999996</v>
      </c>
      <c r="AH614">
        <v>0</v>
      </c>
      <c r="AI614" t="s">
        <v>477</v>
      </c>
      <c r="AJ614" t="s">
        <v>51</v>
      </c>
      <c r="AK614" t="s">
        <v>477</v>
      </c>
    </row>
    <row r="615" spans="1:37" x14ac:dyDescent="0.2">
      <c r="A615">
        <v>63020</v>
      </c>
      <c r="B615" t="s">
        <v>37</v>
      </c>
      <c r="C615" t="s">
        <v>38</v>
      </c>
      <c r="D615" t="s">
        <v>464</v>
      </c>
      <c r="E615" t="s">
        <v>40</v>
      </c>
      <c r="G615" s="4">
        <v>43948.085069444444</v>
      </c>
      <c r="H615" s="4">
        <v>43948.085185185185</v>
      </c>
      <c r="I615" t="s">
        <v>300</v>
      </c>
      <c r="J615" s="5">
        <v>10.00000000000000000000000000000000000002</v>
      </c>
      <c r="K615" t="s">
        <v>38</v>
      </c>
      <c r="M615">
        <v>63033</v>
      </c>
      <c r="N615" t="s">
        <v>478</v>
      </c>
      <c r="O615" t="s">
        <v>479</v>
      </c>
      <c r="P615" t="s">
        <v>38</v>
      </c>
      <c r="Q615" t="s">
        <v>50</v>
      </c>
      <c r="R615">
        <v>.9999999999999999999999999999999999999996</v>
      </c>
      <c r="S615" t="s">
        <v>45</v>
      </c>
      <c r="T615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5">
        <v>63034</v>
      </c>
      <c r="V615" t="s">
        <v>38</v>
      </c>
      <c r="W615" t="s">
        <v>50</v>
      </c>
      <c r="X615">
        <v>.9999999999999999999999999999999999999996</v>
      </c>
      <c r="Y615">
        <v>0</v>
      </c>
      <c r="Z615" t="s">
        <v>46</v>
      </c>
      <c r="AA615">
        <v>63035</v>
      </c>
      <c r="AB615" t="s">
        <v>480</v>
      </c>
      <c r="AC615" t="s">
        <v>68</v>
      </c>
      <c r="AD615" t="s">
        <v>38</v>
      </c>
      <c r="AE615" t="s">
        <v>49</v>
      </c>
      <c r="AF615" t="s">
        <v>50</v>
      </c>
      <c r="AG615">
        <v>.9999999999999999999999999999999999999996</v>
      </c>
      <c r="AH615">
        <v>0</v>
      </c>
      <c r="AI615" t="s">
        <v>51</v>
      </c>
      <c r="AJ615" t="s">
        <v>51</v>
      </c>
      <c r="AK615" t="s">
        <v>51</v>
      </c>
    </row>
    <row r="616" spans="1:37" x14ac:dyDescent="0.2">
      <c r="A616">
        <v>63020</v>
      </c>
      <c r="B616" t="s">
        <v>37</v>
      </c>
      <c r="C616" t="s">
        <v>38</v>
      </c>
      <c r="D616" t="s">
        <v>464</v>
      </c>
      <c r="E616" t="s">
        <v>40</v>
      </c>
      <c r="G616" s="4">
        <v>43948.085069444444</v>
      </c>
      <c r="H616" s="4">
        <v>43948.085185185185</v>
      </c>
      <c r="I616" t="s">
        <v>300</v>
      </c>
      <c r="J616" s="5">
        <v>10.00000000000000000000000000000000000002</v>
      </c>
      <c r="K616" t="s">
        <v>38</v>
      </c>
      <c r="M616">
        <v>63030</v>
      </c>
      <c r="N616" t="s">
        <v>481</v>
      </c>
      <c r="O616" t="s">
        <v>482</v>
      </c>
      <c r="P616" t="s">
        <v>38</v>
      </c>
      <c r="Q616" t="s">
        <v>50</v>
      </c>
      <c r="R616">
        <v>0</v>
      </c>
      <c r="S616" t="s">
        <v>45</v>
      </c>
      <c r="T616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6">
        <v>63031</v>
      </c>
      <c r="V616" t="s">
        <v>38</v>
      </c>
      <c r="W616" t="s">
        <v>50</v>
      </c>
      <c r="X616">
        <v>0</v>
      </c>
      <c r="Y616">
        <v>0</v>
      </c>
      <c r="Z616" t="s">
        <v>46</v>
      </c>
      <c r="AA616">
        <v>63032</v>
      </c>
      <c r="AB616" t="s">
        <v>483</v>
      </c>
      <c r="AC616" t="s">
        <v>68</v>
      </c>
      <c r="AD616" t="s">
        <v>38</v>
      </c>
      <c r="AE616" t="s">
        <v>49</v>
      </c>
      <c r="AF616" t="s">
        <v>50</v>
      </c>
      <c r="AG616">
        <v>0</v>
      </c>
      <c r="AH616">
        <v>0</v>
      </c>
      <c r="AI616" t="s">
        <v>51</v>
      </c>
      <c r="AJ616" t="s">
        <v>51</v>
      </c>
      <c r="AK616" t="s">
        <v>51</v>
      </c>
    </row>
    <row r="617" spans="1:37" x14ac:dyDescent="0.2">
      <c r="A617">
        <v>63020</v>
      </c>
      <c r="B617" t="s">
        <v>37</v>
      </c>
      <c r="C617" t="s">
        <v>38</v>
      </c>
      <c r="D617" t="s">
        <v>464</v>
      </c>
      <c r="E617" t="s">
        <v>40</v>
      </c>
      <c r="G617" s="4">
        <v>43948.085069444444</v>
      </c>
      <c r="H617" s="4">
        <v>43948.085185185185</v>
      </c>
      <c r="I617" t="s">
        <v>300</v>
      </c>
      <c r="J617" s="5">
        <v>10.00000000000000000000000000000000000002</v>
      </c>
      <c r="K617" t="s">
        <v>38</v>
      </c>
      <c r="M617">
        <v>63027</v>
      </c>
      <c r="N617" t="s">
        <v>484</v>
      </c>
      <c r="O617" t="s">
        <v>485</v>
      </c>
      <c r="P617" t="s">
        <v>38</v>
      </c>
      <c r="Q617" t="s">
        <v>50</v>
      </c>
      <c r="R617">
        <v>.9999999999999999999999999999999999999996</v>
      </c>
      <c r="S617" t="s">
        <v>45</v>
      </c>
      <c r="T617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7">
        <v>63028</v>
      </c>
      <c r="V617" t="s">
        <v>38</v>
      </c>
      <c r="W617" t="s">
        <v>50</v>
      </c>
      <c r="X617">
        <v>.9999999999999999999999999999999999999996</v>
      </c>
      <c r="Y617">
        <v>0</v>
      </c>
      <c r="Z617" t="s">
        <v>46</v>
      </c>
      <c r="AA617">
        <v>63029</v>
      </c>
      <c r="AB617" t="s">
        <v>962</v>
      </c>
      <c r="AC617" t="s">
        <v>68</v>
      </c>
      <c r="AD617" t="s">
        <v>38</v>
      </c>
      <c r="AE617" t="s">
        <v>49</v>
      </c>
      <c r="AF617" t="s">
        <v>50</v>
      </c>
      <c r="AG617">
        <v>.9999999999999999999999999999999999999996</v>
      </c>
      <c r="AH617">
        <v>0</v>
      </c>
      <c r="AI617" t="s">
        <v>51</v>
      </c>
      <c r="AJ617" t="s">
        <v>51</v>
      </c>
      <c r="AK617" t="s">
        <v>51</v>
      </c>
    </row>
    <row r="618" spans="1:37" x14ac:dyDescent="0.2">
      <c r="A618">
        <v>63020</v>
      </c>
      <c r="B618" t="s">
        <v>37</v>
      </c>
      <c r="C618" t="s">
        <v>38</v>
      </c>
      <c r="D618" t="s">
        <v>464</v>
      </c>
      <c r="E618" t="s">
        <v>40</v>
      </c>
      <c r="G618" s="4">
        <v>43948.085069444444</v>
      </c>
      <c r="H618" s="4">
        <v>43948.085185185185</v>
      </c>
      <c r="I618" t="s">
        <v>300</v>
      </c>
      <c r="J618" s="5">
        <v>10.00000000000000000000000000000000000002</v>
      </c>
      <c r="K618" t="s">
        <v>38</v>
      </c>
      <c r="M618">
        <v>63024</v>
      </c>
      <c r="N618" t="s">
        <v>487</v>
      </c>
      <c r="O618" t="s">
        <v>488</v>
      </c>
      <c r="P618" t="s">
        <v>38</v>
      </c>
      <c r="Q618" t="s">
        <v>50</v>
      </c>
      <c r="R618">
        <v>.9999999999999999999999999999999999999996</v>
      </c>
      <c r="S618" t="s">
        <v>45</v>
      </c>
      <c r="T618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8">
        <v>63025</v>
      </c>
      <c r="V618" t="s">
        <v>38</v>
      </c>
      <c r="W618" t="s">
        <v>50</v>
      </c>
      <c r="X618">
        <v>.9999999999999999999999999999999999999996</v>
      </c>
      <c r="Y618">
        <v>1</v>
      </c>
      <c r="Z618" t="s">
        <v>46</v>
      </c>
      <c r="AA618">
        <v>63026</v>
      </c>
      <c r="AB618" t="s">
        <v>489</v>
      </c>
      <c r="AC618" t="s">
        <v>68</v>
      </c>
      <c r="AD618" t="s">
        <v>38</v>
      </c>
      <c r="AE618" t="s">
        <v>49</v>
      </c>
      <c r="AF618" t="s">
        <v>50</v>
      </c>
      <c r="AG618">
        <v>0</v>
      </c>
      <c r="AH618">
        <v>0</v>
      </c>
      <c r="AI618" t="s">
        <v>51</v>
      </c>
      <c r="AJ618" t="s">
        <v>51</v>
      </c>
      <c r="AK618" t="s">
        <v>51</v>
      </c>
    </row>
    <row r="619" spans="1:37" x14ac:dyDescent="0.2">
      <c r="A619">
        <v>63020</v>
      </c>
      <c r="B619" t="s">
        <v>37</v>
      </c>
      <c r="C619" t="s">
        <v>38</v>
      </c>
      <c r="D619" t="s">
        <v>464</v>
      </c>
      <c r="E619" t="s">
        <v>40</v>
      </c>
      <c r="G619" s="4">
        <v>43948.085069444444</v>
      </c>
      <c r="H619" s="4">
        <v>43948.085185185185</v>
      </c>
      <c r="I619" t="s">
        <v>300</v>
      </c>
      <c r="J619" s="5">
        <v>10.00000000000000000000000000000000000002</v>
      </c>
      <c r="K619" t="s">
        <v>38</v>
      </c>
      <c r="M619">
        <v>63021</v>
      </c>
      <c r="N619" t="s">
        <v>490</v>
      </c>
      <c r="O619" t="s">
        <v>491</v>
      </c>
      <c r="P619" t="s">
        <v>38</v>
      </c>
      <c r="Q619" t="s">
        <v>50</v>
      </c>
      <c r="R619">
        <v>.9999999999999999999999999999999999999996</v>
      </c>
      <c r="S619" t="s">
        <v>45</v>
      </c>
      <c r="T619" t="str" s="2">
        <f>=HYPERLINK("http://demo.enginatics.com:80/ecc/user/applications/log/63020.log","http://demo.enginatics.com:80/ecc/user/applications/log/63020.log")</f>
        <v>"http://demo.enginatics.com:80/ecc/user/applications/log/63020.log")</v>
      </c>
      <c r="U619">
        <v>63022</v>
      </c>
      <c r="V619" t="s">
        <v>38</v>
      </c>
      <c r="W619" t="s">
        <v>50</v>
      </c>
      <c r="X619">
        <v>.9999999999999999999999999999999999999996</v>
      </c>
      <c r="Y619">
        <v>0</v>
      </c>
      <c r="Z619" t="s">
        <v>46</v>
      </c>
      <c r="AA619">
        <v>63023</v>
      </c>
      <c r="AB619" t="s">
        <v>963</v>
      </c>
      <c r="AC619" t="s">
        <v>68</v>
      </c>
      <c r="AD619" t="s">
        <v>38</v>
      </c>
      <c r="AE619" t="s">
        <v>49</v>
      </c>
      <c r="AF619" t="s">
        <v>50</v>
      </c>
      <c r="AG619">
        <v>0</v>
      </c>
      <c r="AH619">
        <v>0</v>
      </c>
      <c r="AI619" t="s">
        <v>51</v>
      </c>
      <c r="AJ619" t="s">
        <v>51</v>
      </c>
      <c r="AK619" t="s">
        <v>51</v>
      </c>
    </row>
    <row r="620" spans="1:37" x14ac:dyDescent="0.2">
      <c r="A620">
        <v>62995</v>
      </c>
      <c r="B620" t="s">
        <v>37</v>
      </c>
      <c r="C620" t="s">
        <v>38</v>
      </c>
      <c r="D620" t="s">
        <v>464</v>
      </c>
      <c r="E620" t="s">
        <v>40</v>
      </c>
      <c r="G620" s="4">
        <v>43948.08224537037</v>
      </c>
      <c r="H620" s="4">
        <v>43948.082384259259</v>
      </c>
      <c r="I620" t="s">
        <v>236</v>
      </c>
      <c r="J620" s="5">
        <v>12.00000000000000000000000000000000000001</v>
      </c>
      <c r="K620" t="s">
        <v>38</v>
      </c>
      <c r="M620">
        <v>63017</v>
      </c>
      <c r="N620" t="s">
        <v>465</v>
      </c>
      <c r="O620" t="s">
        <v>466</v>
      </c>
      <c r="P620" t="s">
        <v>38</v>
      </c>
      <c r="Q620" t="s">
        <v>247</v>
      </c>
      <c r="R620">
        <v>7</v>
      </c>
      <c r="S620" t="s">
        <v>45</v>
      </c>
      <c r="T620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0">
        <v>63018</v>
      </c>
      <c r="V620" t="s">
        <v>38</v>
      </c>
      <c r="W620" t="s">
        <v>247</v>
      </c>
      <c r="X620">
        <v>7</v>
      </c>
      <c r="Y620">
        <v>0</v>
      </c>
      <c r="Z620" t="s">
        <v>46</v>
      </c>
      <c r="AA620">
        <v>63019</v>
      </c>
      <c r="AB620" t="s">
        <v>467</v>
      </c>
      <c r="AC620" t="s">
        <v>68</v>
      </c>
      <c r="AD620" t="s">
        <v>38</v>
      </c>
      <c r="AE620" t="s">
        <v>468</v>
      </c>
      <c r="AF620" t="s">
        <v>78</v>
      </c>
      <c r="AG620">
        <v>5</v>
      </c>
      <c r="AH620">
        <v>0</v>
      </c>
      <c r="AI620" t="s">
        <v>469</v>
      </c>
      <c r="AJ620" t="s">
        <v>51</v>
      </c>
      <c r="AK620" t="s">
        <v>469</v>
      </c>
    </row>
    <row r="621" spans="1:37" x14ac:dyDescent="0.2">
      <c r="A621">
        <v>62995</v>
      </c>
      <c r="B621" t="s">
        <v>37</v>
      </c>
      <c r="C621" t="s">
        <v>38</v>
      </c>
      <c r="D621" t="s">
        <v>464</v>
      </c>
      <c r="E621" t="s">
        <v>40</v>
      </c>
      <c r="G621" s="4">
        <v>43948.08224537037</v>
      </c>
      <c r="H621" s="4">
        <v>43948.082384259259</v>
      </c>
      <c r="I621" t="s">
        <v>236</v>
      </c>
      <c r="J621" s="5">
        <v>12.00000000000000000000000000000000000001</v>
      </c>
      <c r="K621" t="s">
        <v>38</v>
      </c>
      <c r="M621">
        <v>63014</v>
      </c>
      <c r="N621" t="s">
        <v>470</v>
      </c>
      <c r="O621" t="s">
        <v>471</v>
      </c>
      <c r="P621" t="s">
        <v>38</v>
      </c>
      <c r="Q621" t="s">
        <v>50</v>
      </c>
      <c r="R621">
        <v>0</v>
      </c>
      <c r="S621" t="s">
        <v>45</v>
      </c>
      <c r="T621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1">
        <v>63015</v>
      </c>
      <c r="V621" t="s">
        <v>38</v>
      </c>
      <c r="W621" t="s">
        <v>50</v>
      </c>
      <c r="X621">
        <v>0</v>
      </c>
      <c r="Y621">
        <v>0</v>
      </c>
      <c r="Z621" t="s">
        <v>46</v>
      </c>
      <c r="AA621">
        <v>63016</v>
      </c>
      <c r="AB621" t="s">
        <v>472</v>
      </c>
      <c r="AC621" t="s">
        <v>68</v>
      </c>
      <c r="AD621" t="s">
        <v>38</v>
      </c>
      <c r="AE621" t="s">
        <v>49</v>
      </c>
      <c r="AF621" t="s">
        <v>50</v>
      </c>
      <c r="AG621">
        <v>0</v>
      </c>
      <c r="AH621">
        <v>0</v>
      </c>
      <c r="AI621" t="s">
        <v>51</v>
      </c>
      <c r="AJ621" t="s">
        <v>51</v>
      </c>
      <c r="AK621" t="s">
        <v>51</v>
      </c>
    </row>
    <row r="622" spans="1:37" x14ac:dyDescent="0.2">
      <c r="A622">
        <v>62995</v>
      </c>
      <c r="B622" t="s">
        <v>37</v>
      </c>
      <c r="C622" t="s">
        <v>38</v>
      </c>
      <c r="D622" t="s">
        <v>464</v>
      </c>
      <c r="E622" t="s">
        <v>40</v>
      </c>
      <c r="G622" s="4">
        <v>43948.08224537037</v>
      </c>
      <c r="H622" s="4">
        <v>43948.082384259259</v>
      </c>
      <c r="I622" t="s">
        <v>236</v>
      </c>
      <c r="J622" s="5">
        <v>12.00000000000000000000000000000000000001</v>
      </c>
      <c r="K622" t="s">
        <v>38</v>
      </c>
      <c r="M622">
        <v>63011</v>
      </c>
      <c r="N622" t="s">
        <v>473</v>
      </c>
      <c r="O622" t="s">
        <v>474</v>
      </c>
      <c r="P622" t="s">
        <v>38</v>
      </c>
      <c r="Q622" t="s">
        <v>88</v>
      </c>
      <c r="R622">
        <v>2</v>
      </c>
      <c r="S622" t="s">
        <v>45</v>
      </c>
      <c r="T622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2">
        <v>63012</v>
      </c>
      <c r="V622" t="s">
        <v>38</v>
      </c>
      <c r="W622" t="s">
        <v>88</v>
      </c>
      <c r="X622">
        <v>2</v>
      </c>
      <c r="Y622">
        <v>0</v>
      </c>
      <c r="Z622" t="s">
        <v>46</v>
      </c>
      <c r="AA622">
        <v>63013</v>
      </c>
      <c r="AB622" t="s">
        <v>475</v>
      </c>
      <c r="AC622" t="s">
        <v>68</v>
      </c>
      <c r="AD622" t="s">
        <v>38</v>
      </c>
      <c r="AE622" t="s">
        <v>476</v>
      </c>
      <c r="AF622" t="s">
        <v>88</v>
      </c>
      <c r="AG622">
        <v>2</v>
      </c>
      <c r="AH622">
        <v>0</v>
      </c>
      <c r="AI622" t="s">
        <v>477</v>
      </c>
      <c r="AJ622" t="s">
        <v>51</v>
      </c>
      <c r="AK622" t="s">
        <v>477</v>
      </c>
    </row>
    <row r="623" spans="1:37" x14ac:dyDescent="0.2">
      <c r="A623">
        <v>62995</v>
      </c>
      <c r="B623" t="s">
        <v>37</v>
      </c>
      <c r="C623" t="s">
        <v>38</v>
      </c>
      <c r="D623" t="s">
        <v>464</v>
      </c>
      <c r="E623" t="s">
        <v>40</v>
      </c>
      <c r="G623" s="4">
        <v>43948.08224537037</v>
      </c>
      <c r="H623" s="4">
        <v>43948.082384259259</v>
      </c>
      <c r="I623" t="s">
        <v>236</v>
      </c>
      <c r="J623" s="5">
        <v>12.00000000000000000000000000000000000001</v>
      </c>
      <c r="K623" t="s">
        <v>38</v>
      </c>
      <c r="M623">
        <v>63008</v>
      </c>
      <c r="N623" t="s">
        <v>478</v>
      </c>
      <c r="O623" t="s">
        <v>479</v>
      </c>
      <c r="P623" t="s">
        <v>38</v>
      </c>
      <c r="Q623" t="s">
        <v>88</v>
      </c>
      <c r="R623">
        <v>2</v>
      </c>
      <c r="S623" t="s">
        <v>45</v>
      </c>
      <c r="T623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3">
        <v>63009</v>
      </c>
      <c r="V623" t="s">
        <v>38</v>
      </c>
      <c r="W623" t="s">
        <v>88</v>
      </c>
      <c r="X623">
        <v>2</v>
      </c>
      <c r="Y623">
        <v>0</v>
      </c>
      <c r="Z623" t="s">
        <v>46</v>
      </c>
      <c r="AA623">
        <v>63010</v>
      </c>
      <c r="AB623" t="s">
        <v>480</v>
      </c>
      <c r="AC623" t="s">
        <v>68</v>
      </c>
      <c r="AD623" t="s">
        <v>38</v>
      </c>
      <c r="AE623" t="s">
        <v>49</v>
      </c>
      <c r="AF623" t="s">
        <v>88</v>
      </c>
      <c r="AG623">
        <v>2</v>
      </c>
      <c r="AH623">
        <v>0</v>
      </c>
      <c r="AI623" t="s">
        <v>51</v>
      </c>
      <c r="AJ623" t="s">
        <v>51</v>
      </c>
      <c r="AK623" t="s">
        <v>51</v>
      </c>
    </row>
    <row r="624" spans="1:37" x14ac:dyDescent="0.2">
      <c r="A624">
        <v>62995</v>
      </c>
      <c r="B624" t="s">
        <v>37</v>
      </c>
      <c r="C624" t="s">
        <v>38</v>
      </c>
      <c r="D624" t="s">
        <v>464</v>
      </c>
      <c r="E624" t="s">
        <v>40</v>
      </c>
      <c r="G624" s="4">
        <v>43948.08224537037</v>
      </c>
      <c r="H624" s="4">
        <v>43948.082384259259</v>
      </c>
      <c r="I624" t="s">
        <v>236</v>
      </c>
      <c r="J624" s="5">
        <v>12.00000000000000000000000000000000000001</v>
      </c>
      <c r="K624" t="s">
        <v>38</v>
      </c>
      <c r="M624">
        <v>63005</v>
      </c>
      <c r="N624" t="s">
        <v>481</v>
      </c>
      <c r="O624" t="s">
        <v>482</v>
      </c>
      <c r="P624" t="s">
        <v>38</v>
      </c>
      <c r="Q624" t="s">
        <v>50</v>
      </c>
      <c r="R624">
        <v>0</v>
      </c>
      <c r="S624" t="s">
        <v>45</v>
      </c>
      <c r="T624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4">
        <v>63006</v>
      </c>
      <c r="V624" t="s">
        <v>38</v>
      </c>
      <c r="W624" t="s">
        <v>50</v>
      </c>
      <c r="X624">
        <v>0</v>
      </c>
      <c r="Y624">
        <v>0</v>
      </c>
      <c r="Z624" t="s">
        <v>46</v>
      </c>
      <c r="AA624">
        <v>63007</v>
      </c>
      <c r="AB624" t="s">
        <v>483</v>
      </c>
      <c r="AC624" t="s">
        <v>68</v>
      </c>
      <c r="AD624" t="s">
        <v>38</v>
      </c>
      <c r="AE624" t="s">
        <v>49</v>
      </c>
      <c r="AF624" t="s">
        <v>50</v>
      </c>
      <c r="AG624">
        <v>0</v>
      </c>
      <c r="AH624">
        <v>0</v>
      </c>
      <c r="AI624" t="s">
        <v>51</v>
      </c>
      <c r="AJ624" t="s">
        <v>51</v>
      </c>
      <c r="AK624" t="s">
        <v>51</v>
      </c>
    </row>
    <row r="625" spans="1:37" x14ac:dyDescent="0.2">
      <c r="A625">
        <v>62995</v>
      </c>
      <c r="B625" t="s">
        <v>37</v>
      </c>
      <c r="C625" t="s">
        <v>38</v>
      </c>
      <c r="D625" t="s">
        <v>464</v>
      </c>
      <c r="E625" t="s">
        <v>40</v>
      </c>
      <c r="G625" s="4">
        <v>43948.08224537037</v>
      </c>
      <c r="H625" s="4">
        <v>43948.082384259259</v>
      </c>
      <c r="I625" t="s">
        <v>236</v>
      </c>
      <c r="J625" s="5">
        <v>12.00000000000000000000000000000000000001</v>
      </c>
      <c r="K625" t="s">
        <v>38</v>
      </c>
      <c r="M625">
        <v>63002</v>
      </c>
      <c r="N625" t="s">
        <v>484</v>
      </c>
      <c r="O625" t="s">
        <v>485</v>
      </c>
      <c r="P625" t="s">
        <v>38</v>
      </c>
      <c r="Q625" t="s">
        <v>50</v>
      </c>
      <c r="R625">
        <v>.9999999999999999999999999999999999999996</v>
      </c>
      <c r="S625" t="s">
        <v>45</v>
      </c>
      <c r="T625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5">
        <v>63003</v>
      </c>
      <c r="V625" t="s">
        <v>38</v>
      </c>
      <c r="W625" t="s">
        <v>50</v>
      </c>
      <c r="X625">
        <v>.9999999999999999999999999999999999999996</v>
      </c>
      <c r="Y625">
        <v>0</v>
      </c>
      <c r="Z625" t="s">
        <v>46</v>
      </c>
      <c r="AA625">
        <v>63004</v>
      </c>
      <c r="AB625" t="s">
        <v>964</v>
      </c>
      <c r="AC625" t="s">
        <v>68</v>
      </c>
      <c r="AD625" t="s">
        <v>38</v>
      </c>
      <c r="AE625" t="s">
        <v>49</v>
      </c>
      <c r="AF625" t="s">
        <v>50</v>
      </c>
      <c r="AG625">
        <v>.9999999999999999999999999999999999999996</v>
      </c>
      <c r="AH625">
        <v>0</v>
      </c>
      <c r="AI625" t="s">
        <v>51</v>
      </c>
      <c r="AJ625" t="s">
        <v>51</v>
      </c>
      <c r="AK625" t="s">
        <v>51</v>
      </c>
    </row>
    <row r="626" spans="1:37" x14ac:dyDescent="0.2">
      <c r="A626">
        <v>62995</v>
      </c>
      <c r="B626" t="s">
        <v>37</v>
      </c>
      <c r="C626" t="s">
        <v>38</v>
      </c>
      <c r="D626" t="s">
        <v>464</v>
      </c>
      <c r="E626" t="s">
        <v>40</v>
      </c>
      <c r="G626" s="4">
        <v>43948.08224537037</v>
      </c>
      <c r="H626" s="4">
        <v>43948.082384259259</v>
      </c>
      <c r="I626" t="s">
        <v>236</v>
      </c>
      <c r="J626" s="5">
        <v>12.00000000000000000000000000000000000001</v>
      </c>
      <c r="K626" t="s">
        <v>38</v>
      </c>
      <c r="M626">
        <v>62999</v>
      </c>
      <c r="N626" t="s">
        <v>487</v>
      </c>
      <c r="O626" t="s">
        <v>488</v>
      </c>
      <c r="P626" t="s">
        <v>38</v>
      </c>
      <c r="Q626" t="s">
        <v>50</v>
      </c>
      <c r="R626">
        <v>0</v>
      </c>
      <c r="S626" t="s">
        <v>45</v>
      </c>
      <c r="T626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6">
        <v>63000</v>
      </c>
      <c r="V626" t="s">
        <v>38</v>
      </c>
      <c r="W626" t="s">
        <v>50</v>
      </c>
      <c r="X626">
        <v>0</v>
      </c>
      <c r="Y626">
        <v>0</v>
      </c>
      <c r="Z626" t="s">
        <v>46</v>
      </c>
      <c r="AA626">
        <v>63001</v>
      </c>
      <c r="AB626" t="s">
        <v>489</v>
      </c>
      <c r="AC626" t="s">
        <v>68</v>
      </c>
      <c r="AD626" t="s">
        <v>38</v>
      </c>
      <c r="AE626" t="s">
        <v>49</v>
      </c>
      <c r="AF626" t="s">
        <v>50</v>
      </c>
      <c r="AG626">
        <v>0</v>
      </c>
      <c r="AH626">
        <v>0</v>
      </c>
      <c r="AI626" t="s">
        <v>51</v>
      </c>
      <c r="AJ626" t="s">
        <v>51</v>
      </c>
      <c r="AK626" t="s">
        <v>51</v>
      </c>
    </row>
    <row r="627" spans="1:37" x14ac:dyDescent="0.2">
      <c r="A627">
        <v>62995</v>
      </c>
      <c r="B627" t="s">
        <v>37</v>
      </c>
      <c r="C627" t="s">
        <v>38</v>
      </c>
      <c r="D627" t="s">
        <v>464</v>
      </c>
      <c r="E627" t="s">
        <v>40</v>
      </c>
      <c r="G627" s="4">
        <v>43948.08224537037</v>
      </c>
      <c r="H627" s="4">
        <v>43948.082384259259</v>
      </c>
      <c r="I627" t="s">
        <v>236</v>
      </c>
      <c r="J627" s="5">
        <v>12.00000000000000000000000000000000000001</v>
      </c>
      <c r="K627" t="s">
        <v>38</v>
      </c>
      <c r="M627">
        <v>62996</v>
      </c>
      <c r="N627" t="s">
        <v>490</v>
      </c>
      <c r="O627" t="s">
        <v>491</v>
      </c>
      <c r="P627" t="s">
        <v>38</v>
      </c>
      <c r="Q627" t="s">
        <v>50</v>
      </c>
      <c r="R627">
        <v>0</v>
      </c>
      <c r="S627" t="s">
        <v>45</v>
      </c>
      <c r="T627" t="str" s="2">
        <f>=HYPERLINK("http://demo.enginatics.com:80/ecc/user/applications/log/62995.log","http://demo.enginatics.com:80/ecc/user/applications/log/62995.log")</f>
        <v>"http://demo.enginatics.com:80/ecc/user/applications/log/62995.log")</v>
      </c>
      <c r="U627">
        <v>62997</v>
      </c>
      <c r="V627" t="s">
        <v>38</v>
      </c>
      <c r="W627" t="s">
        <v>50</v>
      </c>
      <c r="X627">
        <v>0</v>
      </c>
      <c r="Y627">
        <v>0</v>
      </c>
      <c r="Z627" t="s">
        <v>46</v>
      </c>
      <c r="AA627">
        <v>62998</v>
      </c>
      <c r="AB627" t="s">
        <v>965</v>
      </c>
      <c r="AC627" t="s">
        <v>68</v>
      </c>
      <c r="AD627" t="s">
        <v>38</v>
      </c>
      <c r="AE627" t="s">
        <v>49</v>
      </c>
      <c r="AF627" t="s">
        <v>50</v>
      </c>
      <c r="AG627">
        <v>0</v>
      </c>
      <c r="AH627">
        <v>0</v>
      </c>
      <c r="AI627" t="s">
        <v>51</v>
      </c>
      <c r="AJ627" t="s">
        <v>51</v>
      </c>
      <c r="AK627" t="s">
        <v>51</v>
      </c>
    </row>
    <row r="628" spans="1:37" x14ac:dyDescent="0.2">
      <c r="A628">
        <v>62991</v>
      </c>
      <c r="B628" t="s">
        <v>37</v>
      </c>
      <c r="C628" t="s">
        <v>38</v>
      </c>
      <c r="D628" t="s">
        <v>495</v>
      </c>
      <c r="E628" t="s">
        <v>40</v>
      </c>
      <c r="G628" s="4">
        <v>43948.079606481481</v>
      </c>
      <c r="H628" s="4">
        <v>43948.079791666667</v>
      </c>
      <c r="I628" t="s">
        <v>966</v>
      </c>
      <c r="J628" s="5">
        <v>15.99999999999999999999999999999999999998</v>
      </c>
      <c r="K628" t="s">
        <v>38</v>
      </c>
      <c r="M628">
        <v>62992</v>
      </c>
      <c r="N628" t="s">
        <v>496</v>
      </c>
      <c r="O628" t="s">
        <v>497</v>
      </c>
      <c r="P628" t="s">
        <v>38</v>
      </c>
      <c r="Q628" t="s">
        <v>966</v>
      </c>
      <c r="R628">
        <v>15.99999999999999999999999999999999999998</v>
      </c>
      <c r="S628" t="s">
        <v>45</v>
      </c>
      <c r="T628" t="str" s="2">
        <f>=HYPERLINK("http://demo.enginatics.com:80/ecc/user/applications/log/62991.log","http://demo.enginatics.com:80/ecc/user/applications/log/62991.log")</f>
        <v>"http://demo.enginatics.com:80/ecc/user/applications/log/62991.log")</v>
      </c>
      <c r="U628">
        <v>62993</v>
      </c>
      <c r="V628" t="s">
        <v>38</v>
      </c>
      <c r="W628" t="s">
        <v>966</v>
      </c>
      <c r="X628">
        <v>15.99999999999999999999999999999999999998</v>
      </c>
      <c r="Y628">
        <v>0</v>
      </c>
      <c r="Z628" t="s">
        <v>46</v>
      </c>
      <c r="AA628">
        <v>62994</v>
      </c>
      <c r="AB628" t="s">
        <v>967</v>
      </c>
      <c r="AC628" t="s">
        <v>97</v>
      </c>
      <c r="AD628" t="s">
        <v>38</v>
      </c>
      <c r="AE628" t="s">
        <v>49</v>
      </c>
      <c r="AF628" t="s">
        <v>315</v>
      </c>
      <c r="AG628">
        <v>14.99999999999999999999999999999999999999</v>
      </c>
      <c r="AH628">
        <v>15</v>
      </c>
      <c r="AI628" t="s">
        <v>51</v>
      </c>
      <c r="AJ628" t="s">
        <v>51</v>
      </c>
      <c r="AK628" t="s">
        <v>51</v>
      </c>
    </row>
    <row r="629" spans="1:37" x14ac:dyDescent="0.2">
      <c r="A629">
        <v>62981</v>
      </c>
      <c r="B629" t="s">
        <v>37</v>
      </c>
      <c r="C629" t="s">
        <v>38</v>
      </c>
      <c r="D629" t="s">
        <v>499</v>
      </c>
      <c r="E629" t="s">
        <v>40</v>
      </c>
      <c r="G629" s="4">
        <v>43948.069027777778</v>
      </c>
      <c r="H629" s="4">
        <v>43948.069108796296</v>
      </c>
      <c r="I629" t="s">
        <v>247</v>
      </c>
      <c r="J629" s="5">
        <v>7</v>
      </c>
      <c r="K629" t="s">
        <v>38</v>
      </c>
      <c r="M629">
        <v>62988</v>
      </c>
      <c r="N629" t="s">
        <v>500</v>
      </c>
      <c r="O629" t="s">
        <v>501</v>
      </c>
      <c r="P629" t="s">
        <v>38</v>
      </c>
      <c r="Q629" t="s">
        <v>50</v>
      </c>
      <c r="R629">
        <v>0</v>
      </c>
      <c r="S629" t="s">
        <v>45</v>
      </c>
      <c r="T629" t="str" s="2">
        <f>=HYPERLINK("http://demo.enginatics.com:80/ecc/user/applications/log/62981.log","http://demo.enginatics.com:80/ecc/user/applications/log/62981.log")</f>
        <v>"http://demo.enginatics.com:80/ecc/user/applications/log/62981.log")</v>
      </c>
      <c r="U629">
        <v>62989</v>
      </c>
      <c r="V629" t="s">
        <v>38</v>
      </c>
      <c r="W629" t="s">
        <v>50</v>
      </c>
      <c r="X629">
        <v>0</v>
      </c>
      <c r="Y629">
        <v>0</v>
      </c>
      <c r="Z629" t="s">
        <v>46</v>
      </c>
      <c r="AA629">
        <v>62990</v>
      </c>
      <c r="AB629" t="s">
        <v>968</v>
      </c>
      <c r="AC629" t="s">
        <v>68</v>
      </c>
      <c r="AD629" t="s">
        <v>38</v>
      </c>
      <c r="AE629" t="s">
        <v>49</v>
      </c>
      <c r="AF629" t="s">
        <v>50</v>
      </c>
      <c r="AG629">
        <v>0</v>
      </c>
      <c r="AH629">
        <v>0</v>
      </c>
      <c r="AI629" t="s">
        <v>51</v>
      </c>
      <c r="AJ629" t="s">
        <v>51</v>
      </c>
      <c r="AK629" t="s">
        <v>51</v>
      </c>
    </row>
    <row r="630" spans="1:37" x14ac:dyDescent="0.2">
      <c r="A630">
        <v>62981</v>
      </c>
      <c r="B630" t="s">
        <v>37</v>
      </c>
      <c r="C630" t="s">
        <v>38</v>
      </c>
      <c r="D630" t="s">
        <v>499</v>
      </c>
      <c r="E630" t="s">
        <v>40</v>
      </c>
      <c r="G630" s="4">
        <v>43948.069027777778</v>
      </c>
      <c r="H630" s="4">
        <v>43948.069108796296</v>
      </c>
      <c r="I630" t="s">
        <v>247</v>
      </c>
      <c r="J630" s="5">
        <v>7</v>
      </c>
      <c r="K630" t="s">
        <v>38</v>
      </c>
      <c r="M630">
        <v>62985</v>
      </c>
      <c r="N630" t="s">
        <v>503</v>
      </c>
      <c r="O630" t="s">
        <v>504</v>
      </c>
      <c r="P630" t="s">
        <v>38</v>
      </c>
      <c r="Q630" t="s">
        <v>88</v>
      </c>
      <c r="R630">
        <v>2</v>
      </c>
      <c r="S630" t="s">
        <v>45</v>
      </c>
      <c r="T630" t="str" s="2">
        <f>=HYPERLINK("http://demo.enginatics.com:80/ecc/user/applications/log/62981.log","http://demo.enginatics.com:80/ecc/user/applications/log/62981.log")</f>
        <v>"http://demo.enginatics.com:80/ecc/user/applications/log/62981.log")</v>
      </c>
      <c r="U630">
        <v>62986</v>
      </c>
      <c r="V630" t="s">
        <v>38</v>
      </c>
      <c r="W630" t="s">
        <v>88</v>
      </c>
      <c r="X630">
        <v>2</v>
      </c>
      <c r="Y630">
        <v>0</v>
      </c>
      <c r="Z630" t="s">
        <v>46</v>
      </c>
      <c r="AA630">
        <v>62987</v>
      </c>
      <c r="AB630" t="s">
        <v>505</v>
      </c>
      <c r="AC630" t="s">
        <v>68</v>
      </c>
      <c r="AD630" t="s">
        <v>38</v>
      </c>
      <c r="AE630" t="s">
        <v>49</v>
      </c>
      <c r="AF630" t="s">
        <v>88</v>
      </c>
      <c r="AG630">
        <v>2</v>
      </c>
      <c r="AH630">
        <v>1</v>
      </c>
      <c r="AI630" t="s">
        <v>51</v>
      </c>
      <c r="AJ630" t="s">
        <v>51</v>
      </c>
      <c r="AK630" t="s">
        <v>51</v>
      </c>
    </row>
    <row r="631" spans="1:37" x14ac:dyDescent="0.2">
      <c r="A631">
        <v>62981</v>
      </c>
      <c r="B631" t="s">
        <v>37</v>
      </c>
      <c r="C631" t="s">
        <v>38</v>
      </c>
      <c r="D631" t="s">
        <v>499</v>
      </c>
      <c r="E631" t="s">
        <v>40</v>
      </c>
      <c r="G631" s="4">
        <v>43948.069027777778</v>
      </c>
      <c r="H631" s="4">
        <v>43948.069108796296</v>
      </c>
      <c r="I631" t="s">
        <v>247</v>
      </c>
      <c r="J631" s="5">
        <v>7</v>
      </c>
      <c r="K631" t="s">
        <v>38</v>
      </c>
      <c r="M631">
        <v>62982</v>
      </c>
      <c r="N631" t="s">
        <v>506</v>
      </c>
      <c r="O631" t="s">
        <v>507</v>
      </c>
      <c r="P631" t="s">
        <v>38</v>
      </c>
      <c r="Q631" t="s">
        <v>78</v>
      </c>
      <c r="R631">
        <v>5</v>
      </c>
      <c r="S631" t="s">
        <v>45</v>
      </c>
      <c r="T631" t="str" s="2">
        <f>=HYPERLINK("http://demo.enginatics.com:80/ecc/user/applications/log/62981.log","http://demo.enginatics.com:80/ecc/user/applications/log/62981.log")</f>
        <v>"http://demo.enginatics.com:80/ecc/user/applications/log/62981.log")</v>
      </c>
      <c r="U631">
        <v>62983</v>
      </c>
      <c r="V631" t="s">
        <v>38</v>
      </c>
      <c r="W631" t="s">
        <v>78</v>
      </c>
      <c r="X631">
        <v>5</v>
      </c>
      <c r="Y631">
        <v>0</v>
      </c>
      <c r="Z631" t="s">
        <v>46</v>
      </c>
      <c r="AA631">
        <v>62984</v>
      </c>
      <c r="AB631" t="s">
        <v>969</v>
      </c>
      <c r="AC631" t="s">
        <v>68</v>
      </c>
      <c r="AD631" t="s">
        <v>38</v>
      </c>
      <c r="AE631" t="s">
        <v>49</v>
      </c>
      <c r="AF631" t="s">
        <v>78</v>
      </c>
      <c r="AG631">
        <v>5</v>
      </c>
      <c r="AH631">
        <v>0</v>
      </c>
      <c r="AI631" t="s">
        <v>51</v>
      </c>
      <c r="AJ631" t="s">
        <v>51</v>
      </c>
      <c r="AK631" t="s">
        <v>51</v>
      </c>
    </row>
    <row r="632" spans="1:37" x14ac:dyDescent="0.2">
      <c r="A632">
        <v>62953</v>
      </c>
      <c r="B632" t="s">
        <v>37</v>
      </c>
      <c r="C632" t="s">
        <v>38</v>
      </c>
      <c r="D632" t="s">
        <v>509</v>
      </c>
      <c r="E632" t="s">
        <v>40</v>
      </c>
      <c r="G632" s="4">
        <v>43948.060347222222</v>
      </c>
      <c r="H632" s="4">
        <v>43948.060613425926</v>
      </c>
      <c r="I632" t="s">
        <v>183</v>
      </c>
      <c r="J632" s="5">
        <v>23.00000000000000000000000000000000000003</v>
      </c>
      <c r="K632" t="s">
        <v>38</v>
      </c>
      <c r="M632">
        <v>62976</v>
      </c>
      <c r="N632" t="s">
        <v>511</v>
      </c>
      <c r="O632" t="s">
        <v>512</v>
      </c>
      <c r="P632" t="s">
        <v>38</v>
      </c>
      <c r="Q632" t="s">
        <v>88</v>
      </c>
      <c r="R632">
        <v>2</v>
      </c>
      <c r="S632" t="s">
        <v>45</v>
      </c>
      <c r="T632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2">
        <v>62977</v>
      </c>
      <c r="V632" t="s">
        <v>38</v>
      </c>
      <c r="W632" t="s">
        <v>88</v>
      </c>
      <c r="X632">
        <v>2</v>
      </c>
      <c r="Y632">
        <v>2</v>
      </c>
      <c r="Z632" t="s">
        <v>46</v>
      </c>
      <c r="AA632">
        <v>62980</v>
      </c>
      <c r="AB632" t="s">
        <v>970</v>
      </c>
      <c r="AC632" t="s">
        <v>97</v>
      </c>
      <c r="AD632" t="s">
        <v>38</v>
      </c>
      <c r="AE632" t="s">
        <v>49</v>
      </c>
      <c r="AF632" t="s">
        <v>50</v>
      </c>
      <c r="AG632">
        <v>0</v>
      </c>
      <c r="AH632">
        <v>0</v>
      </c>
      <c r="AI632" t="s">
        <v>51</v>
      </c>
      <c r="AJ632" t="s">
        <v>51</v>
      </c>
      <c r="AK632" t="s">
        <v>51</v>
      </c>
    </row>
    <row r="633" spans="1:37" x14ac:dyDescent="0.2">
      <c r="A633">
        <v>62953</v>
      </c>
      <c r="B633" t="s">
        <v>37</v>
      </c>
      <c r="C633" t="s">
        <v>38</v>
      </c>
      <c r="D633" t="s">
        <v>509</v>
      </c>
      <c r="E633" t="s">
        <v>40</v>
      </c>
      <c r="G633" s="4">
        <v>43948.060347222222</v>
      </c>
      <c r="H633" s="4">
        <v>43948.060613425926</v>
      </c>
      <c r="I633" t="s">
        <v>183</v>
      </c>
      <c r="J633" s="5">
        <v>23.00000000000000000000000000000000000003</v>
      </c>
      <c r="K633" t="s">
        <v>38</v>
      </c>
      <c r="M633">
        <v>62976</v>
      </c>
      <c r="N633" t="s">
        <v>511</v>
      </c>
      <c r="O633" t="s">
        <v>512</v>
      </c>
      <c r="P633" t="s">
        <v>38</v>
      </c>
      <c r="Q633" t="s">
        <v>88</v>
      </c>
      <c r="R633">
        <v>2</v>
      </c>
      <c r="S633" t="s">
        <v>45</v>
      </c>
      <c r="T633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3">
        <v>62977</v>
      </c>
      <c r="V633" t="s">
        <v>38</v>
      </c>
      <c r="W633" t="s">
        <v>88</v>
      </c>
      <c r="X633">
        <v>2</v>
      </c>
      <c r="Y633">
        <v>2</v>
      </c>
      <c r="Z633" t="s">
        <v>46</v>
      </c>
      <c r="AA633">
        <v>62979</v>
      </c>
      <c r="AB633" t="s">
        <v>514</v>
      </c>
      <c r="AC633" t="s">
        <v>97</v>
      </c>
      <c r="AD633" t="s">
        <v>38</v>
      </c>
      <c r="AE633" t="s">
        <v>49</v>
      </c>
      <c r="AF633" t="s">
        <v>50</v>
      </c>
      <c r="AG633">
        <v>0</v>
      </c>
      <c r="AH633">
        <v>0</v>
      </c>
      <c r="AI633" t="s">
        <v>51</v>
      </c>
      <c r="AJ633" t="s">
        <v>51</v>
      </c>
      <c r="AK633" t="s">
        <v>51</v>
      </c>
    </row>
    <row r="634" spans="1:37" x14ac:dyDescent="0.2">
      <c r="A634">
        <v>62953</v>
      </c>
      <c r="B634" t="s">
        <v>37</v>
      </c>
      <c r="C634" t="s">
        <v>38</v>
      </c>
      <c r="D634" t="s">
        <v>509</v>
      </c>
      <c r="E634" t="s">
        <v>40</v>
      </c>
      <c r="G634" s="4">
        <v>43948.060347222222</v>
      </c>
      <c r="H634" s="4">
        <v>43948.060613425926</v>
      </c>
      <c r="I634" t="s">
        <v>183</v>
      </c>
      <c r="J634" s="5">
        <v>23.00000000000000000000000000000000000003</v>
      </c>
      <c r="K634" t="s">
        <v>38</v>
      </c>
      <c r="M634">
        <v>62976</v>
      </c>
      <c r="N634" t="s">
        <v>511</v>
      </c>
      <c r="O634" t="s">
        <v>512</v>
      </c>
      <c r="P634" t="s">
        <v>38</v>
      </c>
      <c r="Q634" t="s">
        <v>88</v>
      </c>
      <c r="R634">
        <v>2</v>
      </c>
      <c r="S634" t="s">
        <v>45</v>
      </c>
      <c r="T634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4">
        <v>62977</v>
      </c>
      <c r="V634" t="s">
        <v>38</v>
      </c>
      <c r="W634" t="s">
        <v>88</v>
      </c>
      <c r="X634">
        <v>2</v>
      </c>
      <c r="Y634">
        <v>2</v>
      </c>
      <c r="Z634" t="s">
        <v>46</v>
      </c>
      <c r="AA634">
        <v>62978</v>
      </c>
      <c r="AB634" t="s">
        <v>971</v>
      </c>
      <c r="AC634" t="s">
        <v>56</v>
      </c>
      <c r="AD634" t="s">
        <v>38</v>
      </c>
      <c r="AE634" t="s">
        <v>49</v>
      </c>
      <c r="AF634" t="s">
        <v>50</v>
      </c>
      <c r="AG634">
        <v>0</v>
      </c>
      <c r="AH634">
        <v>0</v>
      </c>
      <c r="AI634" t="s">
        <v>51</v>
      </c>
      <c r="AJ634" t="s">
        <v>51</v>
      </c>
      <c r="AK634" t="s">
        <v>51</v>
      </c>
    </row>
    <row r="635" spans="1:37" x14ac:dyDescent="0.2">
      <c r="A635">
        <v>62953</v>
      </c>
      <c r="B635" t="s">
        <v>37</v>
      </c>
      <c r="C635" t="s">
        <v>38</v>
      </c>
      <c r="D635" t="s">
        <v>509</v>
      </c>
      <c r="E635" t="s">
        <v>40</v>
      </c>
      <c r="G635" s="4">
        <v>43948.060347222222</v>
      </c>
      <c r="H635" s="4">
        <v>43948.060613425926</v>
      </c>
      <c r="I635" t="s">
        <v>183</v>
      </c>
      <c r="J635" s="5">
        <v>23.00000000000000000000000000000000000003</v>
      </c>
      <c r="K635" t="s">
        <v>38</v>
      </c>
      <c r="M635">
        <v>62972</v>
      </c>
      <c r="N635" t="s">
        <v>516</v>
      </c>
      <c r="O635" t="s">
        <v>517</v>
      </c>
      <c r="P635" t="s">
        <v>38</v>
      </c>
      <c r="Q635" t="s">
        <v>85</v>
      </c>
      <c r="R635">
        <v>3</v>
      </c>
      <c r="S635" t="s">
        <v>45</v>
      </c>
      <c r="T635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5">
        <v>62973</v>
      </c>
      <c r="V635" t="s">
        <v>38</v>
      </c>
      <c r="W635" t="s">
        <v>85</v>
      </c>
      <c r="X635">
        <v>3</v>
      </c>
      <c r="Y635">
        <v>2</v>
      </c>
      <c r="Z635" t="s">
        <v>46</v>
      </c>
      <c r="AA635">
        <v>62975</v>
      </c>
      <c r="AB635" t="s">
        <v>518</v>
      </c>
      <c r="AC635" t="s">
        <v>97</v>
      </c>
      <c r="AD635" t="s">
        <v>38</v>
      </c>
      <c r="AE635" t="s">
        <v>49</v>
      </c>
      <c r="AF635" t="s">
        <v>50</v>
      </c>
      <c r="AG635">
        <v>0</v>
      </c>
      <c r="AH635">
        <v>0</v>
      </c>
      <c r="AI635" t="s">
        <v>51</v>
      </c>
      <c r="AJ635" t="s">
        <v>51</v>
      </c>
      <c r="AK635" t="s">
        <v>51</v>
      </c>
    </row>
    <row r="636" spans="1:37" x14ac:dyDescent="0.2">
      <c r="A636">
        <v>62953</v>
      </c>
      <c r="B636" t="s">
        <v>37</v>
      </c>
      <c r="C636" t="s">
        <v>38</v>
      </c>
      <c r="D636" t="s">
        <v>509</v>
      </c>
      <c r="E636" t="s">
        <v>40</v>
      </c>
      <c r="G636" s="4">
        <v>43948.060347222222</v>
      </c>
      <c r="H636" s="4">
        <v>43948.060613425926</v>
      </c>
      <c r="I636" t="s">
        <v>183</v>
      </c>
      <c r="J636" s="5">
        <v>23.00000000000000000000000000000000000003</v>
      </c>
      <c r="K636" t="s">
        <v>38</v>
      </c>
      <c r="M636">
        <v>62972</v>
      </c>
      <c r="N636" t="s">
        <v>516</v>
      </c>
      <c r="O636" t="s">
        <v>517</v>
      </c>
      <c r="P636" t="s">
        <v>38</v>
      </c>
      <c r="Q636" t="s">
        <v>85</v>
      </c>
      <c r="R636">
        <v>3</v>
      </c>
      <c r="S636" t="s">
        <v>45</v>
      </c>
      <c r="T636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6">
        <v>62973</v>
      </c>
      <c r="V636" t="s">
        <v>38</v>
      </c>
      <c r="W636" t="s">
        <v>85</v>
      </c>
      <c r="X636">
        <v>3</v>
      </c>
      <c r="Y636">
        <v>2</v>
      </c>
      <c r="Z636" t="s">
        <v>46</v>
      </c>
      <c r="AA636">
        <v>62974</v>
      </c>
      <c r="AB636" t="s">
        <v>519</v>
      </c>
      <c r="AC636" t="s">
        <v>56</v>
      </c>
      <c r="AD636" t="s">
        <v>38</v>
      </c>
      <c r="AE636" t="s">
        <v>49</v>
      </c>
      <c r="AF636" t="s">
        <v>50</v>
      </c>
      <c r="AG636">
        <v>0</v>
      </c>
      <c r="AH636">
        <v>0</v>
      </c>
      <c r="AI636" t="s">
        <v>51</v>
      </c>
      <c r="AJ636" t="s">
        <v>51</v>
      </c>
      <c r="AK636" t="s">
        <v>51</v>
      </c>
    </row>
    <row r="637" spans="1:37" x14ac:dyDescent="0.2">
      <c r="A637">
        <v>62953</v>
      </c>
      <c r="B637" t="s">
        <v>37</v>
      </c>
      <c r="C637" t="s">
        <v>38</v>
      </c>
      <c r="D637" t="s">
        <v>509</v>
      </c>
      <c r="E637" t="s">
        <v>40</v>
      </c>
      <c r="G637" s="4">
        <v>43948.060347222222</v>
      </c>
      <c r="H637" s="4">
        <v>43948.060613425926</v>
      </c>
      <c r="I637" t="s">
        <v>183</v>
      </c>
      <c r="J637" s="5">
        <v>23.00000000000000000000000000000000000003</v>
      </c>
      <c r="K637" t="s">
        <v>38</v>
      </c>
      <c r="M637">
        <v>62969</v>
      </c>
      <c r="N637" t="s">
        <v>520</v>
      </c>
      <c r="O637" t="s">
        <v>521</v>
      </c>
      <c r="P637" t="s">
        <v>38</v>
      </c>
      <c r="Q637" t="s">
        <v>247</v>
      </c>
      <c r="R637">
        <v>7</v>
      </c>
      <c r="S637" t="s">
        <v>45</v>
      </c>
      <c r="T637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7">
        <v>62970</v>
      </c>
      <c r="V637" t="s">
        <v>38</v>
      </c>
      <c r="W637" t="s">
        <v>247</v>
      </c>
      <c r="X637">
        <v>7</v>
      </c>
      <c r="Y637">
        <v>0</v>
      </c>
      <c r="Z637" t="s">
        <v>46</v>
      </c>
      <c r="AA637">
        <v>62971</v>
      </c>
      <c r="AB637" t="s">
        <v>522</v>
      </c>
      <c r="AC637" t="s">
        <v>97</v>
      </c>
      <c r="AD637" t="s">
        <v>38</v>
      </c>
      <c r="AE637" t="s">
        <v>523</v>
      </c>
      <c r="AF637" t="s">
        <v>78</v>
      </c>
      <c r="AG637">
        <v>5</v>
      </c>
      <c r="AH637">
        <v>0</v>
      </c>
      <c r="AI637" t="s">
        <v>524</v>
      </c>
      <c r="AJ637" t="s">
        <v>51</v>
      </c>
      <c r="AK637" t="s">
        <v>524</v>
      </c>
    </row>
    <row r="638" spans="1:37" x14ac:dyDescent="0.2">
      <c r="A638">
        <v>62953</v>
      </c>
      <c r="B638" t="s">
        <v>37</v>
      </c>
      <c r="C638" t="s">
        <v>38</v>
      </c>
      <c r="D638" t="s">
        <v>509</v>
      </c>
      <c r="E638" t="s">
        <v>40</v>
      </c>
      <c r="G638" s="4">
        <v>43948.060347222222</v>
      </c>
      <c r="H638" s="4">
        <v>43948.060613425926</v>
      </c>
      <c r="I638" t="s">
        <v>183</v>
      </c>
      <c r="J638" s="5">
        <v>23.00000000000000000000000000000000000003</v>
      </c>
      <c r="K638" t="s">
        <v>38</v>
      </c>
      <c r="M638">
        <v>62966</v>
      </c>
      <c r="N638" t="s">
        <v>525</v>
      </c>
      <c r="O638" t="s">
        <v>526</v>
      </c>
      <c r="P638" t="s">
        <v>38</v>
      </c>
      <c r="Q638" t="s">
        <v>50</v>
      </c>
      <c r="R638">
        <v>0</v>
      </c>
      <c r="S638" t="s">
        <v>45</v>
      </c>
      <c r="T638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8">
        <v>62967</v>
      </c>
      <c r="V638" t="s">
        <v>38</v>
      </c>
      <c r="W638" t="s">
        <v>50</v>
      </c>
      <c r="X638">
        <v>0</v>
      </c>
      <c r="Y638">
        <v>0</v>
      </c>
      <c r="Z638" t="s">
        <v>46</v>
      </c>
      <c r="AA638">
        <v>62968</v>
      </c>
      <c r="AB638" t="s">
        <v>527</v>
      </c>
      <c r="AC638" t="s">
        <v>97</v>
      </c>
      <c r="AD638" t="s">
        <v>38</v>
      </c>
      <c r="AE638" t="s">
        <v>49</v>
      </c>
      <c r="AF638" t="s">
        <v>50</v>
      </c>
      <c r="AG638">
        <v>0</v>
      </c>
      <c r="AH638">
        <v>0</v>
      </c>
      <c r="AI638" t="s">
        <v>51</v>
      </c>
      <c r="AJ638" t="s">
        <v>51</v>
      </c>
      <c r="AK638" t="s">
        <v>51</v>
      </c>
    </row>
    <row r="639" spans="1:37" x14ac:dyDescent="0.2">
      <c r="A639">
        <v>62953</v>
      </c>
      <c r="B639" t="s">
        <v>37</v>
      </c>
      <c r="C639" t="s">
        <v>38</v>
      </c>
      <c r="D639" t="s">
        <v>509</v>
      </c>
      <c r="E639" t="s">
        <v>40</v>
      </c>
      <c r="G639" s="4">
        <v>43948.060347222222</v>
      </c>
      <c r="H639" s="4">
        <v>43948.060613425926</v>
      </c>
      <c r="I639" t="s">
        <v>183</v>
      </c>
      <c r="J639" s="5">
        <v>23.00000000000000000000000000000000000003</v>
      </c>
      <c r="K639" t="s">
        <v>38</v>
      </c>
      <c r="M639">
        <v>62959</v>
      </c>
      <c r="N639" t="s">
        <v>528</v>
      </c>
      <c r="O639" t="s">
        <v>529</v>
      </c>
      <c r="P639" t="s">
        <v>38</v>
      </c>
      <c r="Q639" t="s">
        <v>75</v>
      </c>
      <c r="R639">
        <v>6</v>
      </c>
      <c r="S639" t="s">
        <v>45</v>
      </c>
      <c r="T639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39">
        <v>62960</v>
      </c>
      <c r="V639" t="s">
        <v>38</v>
      </c>
      <c r="W639" t="s">
        <v>75</v>
      </c>
      <c r="X639">
        <v>6</v>
      </c>
      <c r="Y639">
        <v>1</v>
      </c>
      <c r="Z639" t="s">
        <v>46</v>
      </c>
      <c r="AA639">
        <v>62965</v>
      </c>
      <c r="AB639" t="s">
        <v>530</v>
      </c>
      <c r="AC639" t="s">
        <v>56</v>
      </c>
      <c r="AD639" t="s">
        <v>38</v>
      </c>
      <c r="AE639" t="s">
        <v>49</v>
      </c>
      <c r="AF639" t="s">
        <v>50</v>
      </c>
      <c r="AG639">
        <v>.9999999999999999999999999999999999999996</v>
      </c>
      <c r="AH639">
        <v>0</v>
      </c>
      <c r="AI639" t="s">
        <v>51</v>
      </c>
      <c r="AJ639" t="s">
        <v>51</v>
      </c>
      <c r="AK639" t="s">
        <v>51</v>
      </c>
    </row>
    <row r="640" spans="1:37" x14ac:dyDescent="0.2">
      <c r="A640">
        <v>62953</v>
      </c>
      <c r="B640" t="s">
        <v>37</v>
      </c>
      <c r="C640" t="s">
        <v>38</v>
      </c>
      <c r="D640" t="s">
        <v>509</v>
      </c>
      <c r="E640" t="s">
        <v>40</v>
      </c>
      <c r="G640" s="4">
        <v>43948.060347222222</v>
      </c>
      <c r="H640" s="4">
        <v>43948.060613425926</v>
      </c>
      <c r="I640" t="s">
        <v>183</v>
      </c>
      <c r="J640" s="5">
        <v>23.00000000000000000000000000000000000003</v>
      </c>
      <c r="K640" t="s">
        <v>38</v>
      </c>
      <c r="M640">
        <v>62959</v>
      </c>
      <c r="N640" t="s">
        <v>528</v>
      </c>
      <c r="O640" t="s">
        <v>529</v>
      </c>
      <c r="P640" t="s">
        <v>38</v>
      </c>
      <c r="Q640" t="s">
        <v>75</v>
      </c>
      <c r="R640">
        <v>6</v>
      </c>
      <c r="S640" t="s">
        <v>45</v>
      </c>
      <c r="T640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0">
        <v>62960</v>
      </c>
      <c r="V640" t="s">
        <v>38</v>
      </c>
      <c r="W640" t="s">
        <v>75</v>
      </c>
      <c r="X640">
        <v>6</v>
      </c>
      <c r="Y640">
        <v>1</v>
      </c>
      <c r="Z640" t="s">
        <v>46</v>
      </c>
      <c r="AA640">
        <v>62964</v>
      </c>
      <c r="AB640" t="s">
        <v>972</v>
      </c>
      <c r="AC640" t="s">
        <v>68</v>
      </c>
      <c r="AD640" t="s">
        <v>38</v>
      </c>
      <c r="AE640" t="s">
        <v>49</v>
      </c>
      <c r="AF640" t="s">
        <v>50</v>
      </c>
      <c r="AG640">
        <v>0</v>
      </c>
      <c r="AH640">
        <v>0</v>
      </c>
      <c r="AI640" t="s">
        <v>51</v>
      </c>
      <c r="AJ640" t="s">
        <v>51</v>
      </c>
      <c r="AK640" t="s">
        <v>51</v>
      </c>
    </row>
    <row r="641" spans="1:37" x14ac:dyDescent="0.2">
      <c r="A641">
        <v>62953</v>
      </c>
      <c r="B641" t="s">
        <v>37</v>
      </c>
      <c r="C641" t="s">
        <v>38</v>
      </c>
      <c r="D641" t="s">
        <v>509</v>
      </c>
      <c r="E641" t="s">
        <v>40</v>
      </c>
      <c r="G641" s="4">
        <v>43948.060347222222</v>
      </c>
      <c r="H641" s="4">
        <v>43948.060613425926</v>
      </c>
      <c r="I641" t="s">
        <v>183</v>
      </c>
      <c r="J641" s="5">
        <v>23.00000000000000000000000000000000000003</v>
      </c>
      <c r="K641" t="s">
        <v>38</v>
      </c>
      <c r="M641">
        <v>62959</v>
      </c>
      <c r="N641" t="s">
        <v>528</v>
      </c>
      <c r="O641" t="s">
        <v>529</v>
      </c>
      <c r="P641" t="s">
        <v>38</v>
      </c>
      <c r="Q641" t="s">
        <v>75</v>
      </c>
      <c r="R641">
        <v>6</v>
      </c>
      <c r="S641" t="s">
        <v>45</v>
      </c>
      <c r="T641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1">
        <v>62960</v>
      </c>
      <c r="V641" t="s">
        <v>38</v>
      </c>
      <c r="W641" t="s">
        <v>75</v>
      </c>
      <c r="X641">
        <v>6</v>
      </c>
      <c r="Y641">
        <v>1</v>
      </c>
      <c r="Z641" t="s">
        <v>46</v>
      </c>
      <c r="AA641">
        <v>62963</v>
      </c>
      <c r="AB641" t="s">
        <v>532</v>
      </c>
      <c r="AC641" t="s">
        <v>56</v>
      </c>
      <c r="AD641" t="s">
        <v>38</v>
      </c>
      <c r="AE641" t="s">
        <v>533</v>
      </c>
      <c r="AF641" t="s">
        <v>44</v>
      </c>
      <c r="AG641">
        <v>4</v>
      </c>
      <c r="AH641">
        <v>0</v>
      </c>
      <c r="AI641" t="s">
        <v>534</v>
      </c>
      <c r="AJ641" t="s">
        <v>51</v>
      </c>
      <c r="AK641" t="s">
        <v>534</v>
      </c>
    </row>
    <row r="642" spans="1:37" x14ac:dyDescent="0.2">
      <c r="A642">
        <v>62953</v>
      </c>
      <c r="B642" t="s">
        <v>37</v>
      </c>
      <c r="C642" t="s">
        <v>38</v>
      </c>
      <c r="D642" t="s">
        <v>509</v>
      </c>
      <c r="E642" t="s">
        <v>40</v>
      </c>
      <c r="G642" s="4">
        <v>43948.060347222222</v>
      </c>
      <c r="H642" s="4">
        <v>43948.060613425926</v>
      </c>
      <c r="I642" t="s">
        <v>183</v>
      </c>
      <c r="J642" s="5">
        <v>23.00000000000000000000000000000000000003</v>
      </c>
      <c r="K642" t="s">
        <v>38</v>
      </c>
      <c r="M642">
        <v>62959</v>
      </c>
      <c r="N642" t="s">
        <v>528</v>
      </c>
      <c r="O642" t="s">
        <v>529</v>
      </c>
      <c r="P642" t="s">
        <v>38</v>
      </c>
      <c r="Q642" t="s">
        <v>75</v>
      </c>
      <c r="R642">
        <v>6</v>
      </c>
      <c r="S642" t="s">
        <v>45</v>
      </c>
      <c r="T642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2">
        <v>62960</v>
      </c>
      <c r="V642" t="s">
        <v>38</v>
      </c>
      <c r="W642" t="s">
        <v>75</v>
      </c>
      <c r="X642">
        <v>6</v>
      </c>
      <c r="Y642">
        <v>1</v>
      </c>
      <c r="Z642" t="s">
        <v>46</v>
      </c>
      <c r="AA642">
        <v>62962</v>
      </c>
      <c r="AB642" t="s">
        <v>535</v>
      </c>
      <c r="AC642" t="s">
        <v>97</v>
      </c>
      <c r="AD642" t="s">
        <v>38</v>
      </c>
      <c r="AE642" t="s">
        <v>49</v>
      </c>
      <c r="AF642" t="s">
        <v>50</v>
      </c>
      <c r="AG642">
        <v>0</v>
      </c>
      <c r="AH642">
        <v>0</v>
      </c>
      <c r="AI642" t="s">
        <v>51</v>
      </c>
      <c r="AJ642" t="s">
        <v>51</v>
      </c>
      <c r="AK642" t="s">
        <v>51</v>
      </c>
    </row>
    <row r="643" spans="1:37" x14ac:dyDescent="0.2">
      <c r="A643">
        <v>62953</v>
      </c>
      <c r="B643" t="s">
        <v>37</v>
      </c>
      <c r="C643" t="s">
        <v>38</v>
      </c>
      <c r="D643" t="s">
        <v>509</v>
      </c>
      <c r="E643" t="s">
        <v>40</v>
      </c>
      <c r="G643" s="4">
        <v>43948.060347222222</v>
      </c>
      <c r="H643" s="4">
        <v>43948.060613425926</v>
      </c>
      <c r="I643" t="s">
        <v>183</v>
      </c>
      <c r="J643" s="5">
        <v>23.00000000000000000000000000000000000003</v>
      </c>
      <c r="K643" t="s">
        <v>38</v>
      </c>
      <c r="M643">
        <v>62959</v>
      </c>
      <c r="N643" t="s">
        <v>528</v>
      </c>
      <c r="O643" t="s">
        <v>529</v>
      </c>
      <c r="P643" t="s">
        <v>38</v>
      </c>
      <c r="Q643" t="s">
        <v>75</v>
      </c>
      <c r="R643">
        <v>6</v>
      </c>
      <c r="S643" t="s">
        <v>45</v>
      </c>
      <c r="T643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3">
        <v>62960</v>
      </c>
      <c r="V643" t="s">
        <v>38</v>
      </c>
      <c r="W643" t="s">
        <v>75</v>
      </c>
      <c r="X643">
        <v>6</v>
      </c>
      <c r="Y643">
        <v>1</v>
      </c>
      <c r="Z643" t="s">
        <v>46</v>
      </c>
      <c r="AA643">
        <v>62961</v>
      </c>
      <c r="AB643" t="s">
        <v>536</v>
      </c>
      <c r="AC643" t="s">
        <v>56</v>
      </c>
      <c r="AD643" t="s">
        <v>38</v>
      </c>
      <c r="AE643" t="s">
        <v>49</v>
      </c>
      <c r="AF643" t="s">
        <v>50</v>
      </c>
      <c r="AG643">
        <v>0</v>
      </c>
      <c r="AH643">
        <v>0</v>
      </c>
      <c r="AI643" t="s">
        <v>51</v>
      </c>
      <c r="AJ643" t="s">
        <v>51</v>
      </c>
      <c r="AK643" t="s">
        <v>51</v>
      </c>
    </row>
    <row r="644" spans="1:37" x14ac:dyDescent="0.2">
      <c r="A644">
        <v>62953</v>
      </c>
      <c r="B644" t="s">
        <v>37</v>
      </c>
      <c r="C644" t="s">
        <v>38</v>
      </c>
      <c r="D644" t="s">
        <v>509</v>
      </c>
      <c r="E644" t="s">
        <v>40</v>
      </c>
      <c r="G644" s="4">
        <v>43948.060347222222</v>
      </c>
      <c r="H644" s="4">
        <v>43948.060613425926</v>
      </c>
      <c r="I644" t="s">
        <v>183</v>
      </c>
      <c r="J644" s="5">
        <v>23.00000000000000000000000000000000000003</v>
      </c>
      <c r="K644" t="s">
        <v>38</v>
      </c>
      <c r="M644">
        <v>62954</v>
      </c>
      <c r="N644" t="s">
        <v>537</v>
      </c>
      <c r="O644" t="s">
        <v>538</v>
      </c>
      <c r="P644" t="s">
        <v>38</v>
      </c>
      <c r="Q644" t="s">
        <v>78</v>
      </c>
      <c r="R644">
        <v>5</v>
      </c>
      <c r="S644" t="s">
        <v>45</v>
      </c>
      <c r="T644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4">
        <v>62955</v>
      </c>
      <c r="V644" t="s">
        <v>38</v>
      </c>
      <c r="W644" t="s">
        <v>78</v>
      </c>
      <c r="X644">
        <v>5</v>
      </c>
      <c r="Y644">
        <v>3</v>
      </c>
      <c r="Z644" t="s">
        <v>46</v>
      </c>
      <c r="AA644">
        <v>62958</v>
      </c>
      <c r="AB644" t="s">
        <v>539</v>
      </c>
      <c r="AC644" t="s">
        <v>56</v>
      </c>
      <c r="AD644" t="s">
        <v>38</v>
      </c>
      <c r="AE644" t="s">
        <v>540</v>
      </c>
      <c r="AF644" t="s">
        <v>50</v>
      </c>
      <c r="AG644">
        <v>.9999999999999999999999999999999999999996</v>
      </c>
      <c r="AH644">
        <v>1</v>
      </c>
      <c r="AI644" t="s">
        <v>541</v>
      </c>
      <c r="AJ644" t="s">
        <v>51</v>
      </c>
      <c r="AK644" t="s">
        <v>541</v>
      </c>
    </row>
    <row r="645" spans="1:37" x14ac:dyDescent="0.2">
      <c r="A645">
        <v>62953</v>
      </c>
      <c r="B645" t="s">
        <v>37</v>
      </c>
      <c r="C645" t="s">
        <v>38</v>
      </c>
      <c r="D645" t="s">
        <v>509</v>
      </c>
      <c r="E645" t="s">
        <v>40</v>
      </c>
      <c r="G645" s="4">
        <v>43948.060347222222</v>
      </c>
      <c r="H645" s="4">
        <v>43948.060613425926</v>
      </c>
      <c r="I645" t="s">
        <v>183</v>
      </c>
      <c r="J645" s="5">
        <v>23.00000000000000000000000000000000000003</v>
      </c>
      <c r="K645" t="s">
        <v>38</v>
      </c>
      <c r="M645">
        <v>62954</v>
      </c>
      <c r="N645" t="s">
        <v>537</v>
      </c>
      <c r="O645" t="s">
        <v>538</v>
      </c>
      <c r="P645" t="s">
        <v>38</v>
      </c>
      <c r="Q645" t="s">
        <v>78</v>
      </c>
      <c r="R645">
        <v>5</v>
      </c>
      <c r="S645" t="s">
        <v>45</v>
      </c>
      <c r="T645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5">
        <v>62955</v>
      </c>
      <c r="V645" t="s">
        <v>38</v>
      </c>
      <c r="W645" t="s">
        <v>78</v>
      </c>
      <c r="X645">
        <v>5</v>
      </c>
      <c r="Y645">
        <v>3</v>
      </c>
      <c r="Z645" t="s">
        <v>46</v>
      </c>
      <c r="AA645">
        <v>62957</v>
      </c>
      <c r="AB645" t="s">
        <v>542</v>
      </c>
      <c r="AC645" t="s">
        <v>97</v>
      </c>
      <c r="AD645" t="s">
        <v>38</v>
      </c>
      <c r="AE645" t="s">
        <v>49</v>
      </c>
      <c r="AF645" t="s">
        <v>50</v>
      </c>
      <c r="AG645">
        <v>0</v>
      </c>
      <c r="AH645">
        <v>0</v>
      </c>
      <c r="AI645" t="s">
        <v>51</v>
      </c>
      <c r="AJ645" t="s">
        <v>51</v>
      </c>
      <c r="AK645" t="s">
        <v>51</v>
      </c>
    </row>
    <row r="646" spans="1:37" x14ac:dyDescent="0.2">
      <c r="A646">
        <v>62953</v>
      </c>
      <c r="B646" t="s">
        <v>37</v>
      </c>
      <c r="C646" t="s">
        <v>38</v>
      </c>
      <c r="D646" t="s">
        <v>509</v>
      </c>
      <c r="E646" t="s">
        <v>40</v>
      </c>
      <c r="G646" s="4">
        <v>43948.060347222222</v>
      </c>
      <c r="H646" s="4">
        <v>43948.060613425926</v>
      </c>
      <c r="I646" t="s">
        <v>183</v>
      </c>
      <c r="J646" s="5">
        <v>23.00000000000000000000000000000000000003</v>
      </c>
      <c r="K646" t="s">
        <v>38</v>
      </c>
      <c r="M646">
        <v>62954</v>
      </c>
      <c r="N646" t="s">
        <v>537</v>
      </c>
      <c r="O646" t="s">
        <v>538</v>
      </c>
      <c r="P646" t="s">
        <v>38</v>
      </c>
      <c r="Q646" t="s">
        <v>78</v>
      </c>
      <c r="R646">
        <v>5</v>
      </c>
      <c r="S646" t="s">
        <v>45</v>
      </c>
      <c r="T646" t="str" s="2">
        <f>=HYPERLINK("http://demo.enginatics.com:80/ecc/user/applications/log/62953.log","http://demo.enginatics.com:80/ecc/user/applications/log/62953.log")</f>
        <v>"http://demo.enginatics.com:80/ecc/user/applications/log/62953.log")</v>
      </c>
      <c r="U646">
        <v>62955</v>
      </c>
      <c r="V646" t="s">
        <v>38</v>
      </c>
      <c r="W646" t="s">
        <v>78</v>
      </c>
      <c r="X646">
        <v>5</v>
      </c>
      <c r="Y646">
        <v>3</v>
      </c>
      <c r="Z646" t="s">
        <v>46</v>
      </c>
      <c r="AA646">
        <v>62956</v>
      </c>
      <c r="AB646" t="s">
        <v>543</v>
      </c>
      <c r="AC646" t="s">
        <v>56</v>
      </c>
      <c r="AD646" t="s">
        <v>38</v>
      </c>
      <c r="AE646" t="s">
        <v>49</v>
      </c>
      <c r="AF646" t="s">
        <v>50</v>
      </c>
      <c r="AG646">
        <v>0</v>
      </c>
      <c r="AH646">
        <v>0</v>
      </c>
      <c r="AI646" t="s">
        <v>51</v>
      </c>
      <c r="AJ646" t="s">
        <v>51</v>
      </c>
      <c r="AK646" t="s">
        <v>51</v>
      </c>
    </row>
    <row r="647" spans="1:37" x14ac:dyDescent="0.2">
      <c r="A647">
        <v>62944</v>
      </c>
      <c r="B647" t="s">
        <v>37</v>
      </c>
      <c r="C647" t="s">
        <v>38</v>
      </c>
      <c r="D647" t="s">
        <v>544</v>
      </c>
      <c r="E647" t="s">
        <v>40</v>
      </c>
      <c r="G647" s="4">
        <v>43948.058194444444</v>
      </c>
      <c r="H647" s="4">
        <v>43948.058217592593</v>
      </c>
      <c r="I647" t="s">
        <v>88</v>
      </c>
      <c r="J647" s="5">
        <v>2</v>
      </c>
      <c r="K647" t="s">
        <v>38</v>
      </c>
      <c r="M647">
        <v>62949</v>
      </c>
      <c r="N647" t="s">
        <v>545</v>
      </c>
      <c r="O647" t="s">
        <v>546</v>
      </c>
      <c r="P647" t="s">
        <v>38</v>
      </c>
      <c r="Q647" t="s">
        <v>50</v>
      </c>
      <c r="R647">
        <v>.9999999999999999999999999999999999999996</v>
      </c>
      <c r="S647" t="s">
        <v>45</v>
      </c>
      <c r="T647" t="str" s="2">
        <f>=HYPERLINK("http://demo.enginatics.com:80/ecc/user/applications/log/62944.log","http://demo.enginatics.com:80/ecc/user/applications/log/62944.log")</f>
        <v>"http://demo.enginatics.com:80/ecc/user/applications/log/62944.log")</v>
      </c>
      <c r="U647">
        <v>62950</v>
      </c>
      <c r="V647" t="s">
        <v>38</v>
      </c>
      <c r="W647" t="s">
        <v>50</v>
      </c>
      <c r="X647">
        <v>.9999999999999999999999999999999999999996</v>
      </c>
      <c r="Y647">
        <v>0</v>
      </c>
      <c r="Z647" t="s">
        <v>46</v>
      </c>
      <c r="AA647">
        <v>62952</v>
      </c>
      <c r="AB647" t="s">
        <v>547</v>
      </c>
      <c r="AC647" t="s">
        <v>56</v>
      </c>
      <c r="AD647" t="s">
        <v>38</v>
      </c>
      <c r="AE647" t="s">
        <v>49</v>
      </c>
      <c r="AF647" t="s">
        <v>50</v>
      </c>
      <c r="AG647">
        <v>0</v>
      </c>
      <c r="AH647">
        <v>0</v>
      </c>
      <c r="AI647" t="s">
        <v>51</v>
      </c>
      <c r="AJ647" t="s">
        <v>51</v>
      </c>
      <c r="AK647" t="s">
        <v>51</v>
      </c>
    </row>
    <row r="648" spans="1:37" x14ac:dyDescent="0.2">
      <c r="A648">
        <v>62944</v>
      </c>
      <c r="B648" t="s">
        <v>37</v>
      </c>
      <c r="C648" t="s">
        <v>38</v>
      </c>
      <c r="D648" t="s">
        <v>544</v>
      </c>
      <c r="E648" t="s">
        <v>40</v>
      </c>
      <c r="G648" s="4">
        <v>43948.058194444444</v>
      </c>
      <c r="H648" s="4">
        <v>43948.058217592593</v>
      </c>
      <c r="I648" t="s">
        <v>88</v>
      </c>
      <c r="J648" s="5">
        <v>2</v>
      </c>
      <c r="K648" t="s">
        <v>38</v>
      </c>
      <c r="M648">
        <v>62949</v>
      </c>
      <c r="N648" t="s">
        <v>545</v>
      </c>
      <c r="O648" t="s">
        <v>546</v>
      </c>
      <c r="P648" t="s">
        <v>38</v>
      </c>
      <c r="Q648" t="s">
        <v>50</v>
      </c>
      <c r="R648">
        <v>.9999999999999999999999999999999999999996</v>
      </c>
      <c r="S648" t="s">
        <v>45</v>
      </c>
      <c r="T648" t="str" s="2">
        <f>=HYPERLINK("http://demo.enginatics.com:80/ecc/user/applications/log/62944.log","http://demo.enginatics.com:80/ecc/user/applications/log/62944.log")</f>
        <v>"http://demo.enginatics.com:80/ecc/user/applications/log/62944.log")</v>
      </c>
      <c r="U648">
        <v>62950</v>
      </c>
      <c r="V648" t="s">
        <v>38</v>
      </c>
      <c r="W648" t="s">
        <v>50</v>
      </c>
      <c r="X648">
        <v>.9999999999999999999999999999999999999996</v>
      </c>
      <c r="Y648">
        <v>0</v>
      </c>
      <c r="Z648" t="s">
        <v>46</v>
      </c>
      <c r="AA648">
        <v>62951</v>
      </c>
      <c r="AB648" t="s">
        <v>548</v>
      </c>
      <c r="AC648" t="s">
        <v>68</v>
      </c>
      <c r="AD648" t="s">
        <v>38</v>
      </c>
      <c r="AE648" t="s">
        <v>49</v>
      </c>
      <c r="AF648" t="s">
        <v>50</v>
      </c>
      <c r="AG648">
        <v>.9999999999999999999999999999999999999996</v>
      </c>
      <c r="AH648">
        <v>0</v>
      </c>
      <c r="AI648" t="s">
        <v>51</v>
      </c>
      <c r="AJ648" t="s">
        <v>51</v>
      </c>
      <c r="AK648" t="s">
        <v>51</v>
      </c>
    </row>
    <row r="649" spans="1:37" x14ac:dyDescent="0.2">
      <c r="A649">
        <v>62944</v>
      </c>
      <c r="B649" t="s">
        <v>37</v>
      </c>
      <c r="C649" t="s">
        <v>38</v>
      </c>
      <c r="D649" t="s">
        <v>544</v>
      </c>
      <c r="E649" t="s">
        <v>40</v>
      </c>
      <c r="G649" s="4">
        <v>43948.058194444444</v>
      </c>
      <c r="H649" s="4">
        <v>43948.058217592593</v>
      </c>
      <c r="I649" t="s">
        <v>88</v>
      </c>
      <c r="J649" s="5">
        <v>2</v>
      </c>
      <c r="K649" t="s">
        <v>38</v>
      </c>
      <c r="M649">
        <v>62945</v>
      </c>
      <c r="N649" t="s">
        <v>549</v>
      </c>
      <c r="O649" t="s">
        <v>550</v>
      </c>
      <c r="P649" t="s">
        <v>38</v>
      </c>
      <c r="Q649" t="s">
        <v>50</v>
      </c>
      <c r="R649">
        <v>.9999999999999999999999999999999999999996</v>
      </c>
      <c r="S649" t="s">
        <v>45</v>
      </c>
      <c r="T649" t="str" s="2">
        <f>=HYPERLINK("http://demo.enginatics.com:80/ecc/user/applications/log/62944.log","http://demo.enginatics.com:80/ecc/user/applications/log/62944.log")</f>
        <v>"http://demo.enginatics.com:80/ecc/user/applications/log/62944.log")</v>
      </c>
      <c r="U649">
        <v>62946</v>
      </c>
      <c r="V649" t="s">
        <v>38</v>
      </c>
      <c r="W649" t="s">
        <v>50</v>
      </c>
      <c r="X649">
        <v>.9999999999999999999999999999999999999996</v>
      </c>
      <c r="Y649">
        <v>0</v>
      </c>
      <c r="Z649" t="s">
        <v>46</v>
      </c>
      <c r="AA649">
        <v>62948</v>
      </c>
      <c r="AB649" t="s">
        <v>551</v>
      </c>
      <c r="AC649" t="s">
        <v>56</v>
      </c>
      <c r="AD649" t="s">
        <v>38</v>
      </c>
      <c r="AE649" t="s">
        <v>49</v>
      </c>
      <c r="AF649" t="s">
        <v>50</v>
      </c>
      <c r="AG649">
        <v>0</v>
      </c>
      <c r="AH649">
        <v>0</v>
      </c>
      <c r="AI649" t="s">
        <v>51</v>
      </c>
      <c r="AJ649" t="s">
        <v>51</v>
      </c>
      <c r="AK649" t="s">
        <v>51</v>
      </c>
    </row>
    <row r="650" spans="1:37" x14ac:dyDescent="0.2">
      <c r="A650">
        <v>62944</v>
      </c>
      <c r="B650" t="s">
        <v>37</v>
      </c>
      <c r="C650" t="s">
        <v>38</v>
      </c>
      <c r="D650" t="s">
        <v>544</v>
      </c>
      <c r="E650" t="s">
        <v>40</v>
      </c>
      <c r="G650" s="4">
        <v>43948.058194444444</v>
      </c>
      <c r="H650" s="4">
        <v>43948.058217592593</v>
      </c>
      <c r="I650" t="s">
        <v>88</v>
      </c>
      <c r="J650" s="5">
        <v>2</v>
      </c>
      <c r="K650" t="s">
        <v>38</v>
      </c>
      <c r="M650">
        <v>62945</v>
      </c>
      <c r="N650" t="s">
        <v>549</v>
      </c>
      <c r="O650" t="s">
        <v>550</v>
      </c>
      <c r="P650" t="s">
        <v>38</v>
      </c>
      <c r="Q650" t="s">
        <v>50</v>
      </c>
      <c r="R650">
        <v>.9999999999999999999999999999999999999996</v>
      </c>
      <c r="S650" t="s">
        <v>45</v>
      </c>
      <c r="T650" t="str" s="2">
        <f>=HYPERLINK("http://demo.enginatics.com:80/ecc/user/applications/log/62944.log","http://demo.enginatics.com:80/ecc/user/applications/log/62944.log")</f>
        <v>"http://demo.enginatics.com:80/ecc/user/applications/log/62944.log")</v>
      </c>
      <c r="U650">
        <v>62946</v>
      </c>
      <c r="V650" t="s">
        <v>38</v>
      </c>
      <c r="W650" t="s">
        <v>50</v>
      </c>
      <c r="X650">
        <v>.9999999999999999999999999999999999999996</v>
      </c>
      <c r="Y650">
        <v>0</v>
      </c>
      <c r="Z650" t="s">
        <v>46</v>
      </c>
      <c r="AA650">
        <v>62947</v>
      </c>
      <c r="AB650" t="s">
        <v>552</v>
      </c>
      <c r="AC650" t="s">
        <v>68</v>
      </c>
      <c r="AD650" t="s">
        <v>38</v>
      </c>
      <c r="AE650" t="s">
        <v>49</v>
      </c>
      <c r="AF650" t="s">
        <v>50</v>
      </c>
      <c r="AG650">
        <v>.9999999999999999999999999999999999999996</v>
      </c>
      <c r="AH650">
        <v>0</v>
      </c>
      <c r="AI650" t="s">
        <v>51</v>
      </c>
      <c r="AJ650" t="s">
        <v>51</v>
      </c>
      <c r="AK650" t="s">
        <v>51</v>
      </c>
    </row>
    <row r="651" spans="1:37" x14ac:dyDescent="0.2">
      <c r="A651">
        <v>62916</v>
      </c>
      <c r="B651" t="s">
        <v>37</v>
      </c>
      <c r="C651" t="s">
        <v>38</v>
      </c>
      <c r="D651" t="s">
        <v>553</v>
      </c>
      <c r="E651" t="s">
        <v>593</v>
      </c>
      <c r="G651" s="4">
        <v>43948.044363425926</v>
      </c>
      <c r="H651" s="4">
        <v>43948.04443287037</v>
      </c>
      <c r="I651" t="s">
        <v>75</v>
      </c>
      <c r="J651" s="5">
        <v>6</v>
      </c>
      <c r="K651" t="s">
        <v>38</v>
      </c>
      <c r="M651">
        <v>62941</v>
      </c>
      <c r="N651" t="s">
        <v>593</v>
      </c>
      <c r="O651" t="s">
        <v>594</v>
      </c>
      <c r="P651" t="s">
        <v>38</v>
      </c>
      <c r="Q651" t="s">
        <v>88</v>
      </c>
      <c r="R651">
        <v>2</v>
      </c>
      <c r="S651" t="s">
        <v>45</v>
      </c>
      <c r="T651" t="str" s="2">
        <f>=HYPERLINK("http://demo.enginatics.com:80/ecc/user/applications/log/62916.log","http://demo.enginatics.com:80/ecc/user/applications/log/62916.log")</f>
        <v>"http://demo.enginatics.com:80/ecc/user/applications/log/62916.log")</v>
      </c>
      <c r="U651">
        <v>62942</v>
      </c>
      <c r="V651" t="s">
        <v>38</v>
      </c>
      <c r="W651" t="s">
        <v>88</v>
      </c>
      <c r="X651">
        <v>2</v>
      </c>
      <c r="Y651">
        <v>0</v>
      </c>
      <c r="Z651" t="s">
        <v>46</v>
      </c>
      <c r="AA651">
        <v>62943</v>
      </c>
      <c r="AB651" t="s">
        <v>973</v>
      </c>
      <c r="AC651" t="s">
        <v>48</v>
      </c>
      <c r="AD651" t="s">
        <v>38</v>
      </c>
      <c r="AE651" t="s">
        <v>49</v>
      </c>
      <c r="AF651" t="s">
        <v>88</v>
      </c>
      <c r="AG651">
        <v>2</v>
      </c>
      <c r="AH651">
        <v>1</v>
      </c>
      <c r="AI651" t="s">
        <v>51</v>
      </c>
      <c r="AJ651" t="s">
        <v>51</v>
      </c>
      <c r="AK651" t="s">
        <v>51</v>
      </c>
    </row>
    <row r="652" spans="1:37" x14ac:dyDescent="0.2">
      <c r="A652">
        <v>62915</v>
      </c>
      <c r="B652" t="s">
        <v>37</v>
      </c>
      <c r="C652" t="s">
        <v>38</v>
      </c>
      <c r="D652" t="s">
        <v>553</v>
      </c>
      <c r="E652" t="s">
        <v>572</v>
      </c>
      <c r="G652" s="4">
        <v>43948.044363425926</v>
      </c>
      <c r="H652" s="4">
        <v>43948.044409722222</v>
      </c>
      <c r="I652" t="s">
        <v>44</v>
      </c>
      <c r="J652" s="5">
        <v>4</v>
      </c>
      <c r="K652" t="s">
        <v>38</v>
      </c>
      <c r="M652">
        <v>62937</v>
      </c>
      <c r="N652" t="s">
        <v>572</v>
      </c>
      <c r="O652" t="s">
        <v>573</v>
      </c>
      <c r="P652" t="s">
        <v>38</v>
      </c>
      <c r="Q652" t="s">
        <v>50</v>
      </c>
      <c r="R652">
        <v>0</v>
      </c>
      <c r="S652" t="s">
        <v>45</v>
      </c>
      <c r="T652" t="str" s="2">
        <f>=HYPERLINK("http://demo.enginatics.com:80/ecc/user/applications/log/62915.log","http://demo.enginatics.com:80/ecc/user/applications/log/62915.log")</f>
        <v>"http://demo.enginatics.com:80/ecc/user/applications/log/62915.log")</v>
      </c>
      <c r="U652">
        <v>62939</v>
      </c>
      <c r="V652" t="s">
        <v>38</v>
      </c>
      <c r="W652" t="s">
        <v>50</v>
      </c>
      <c r="X652">
        <v>0</v>
      </c>
      <c r="Y652">
        <v>0</v>
      </c>
      <c r="Z652" t="s">
        <v>46</v>
      </c>
      <c r="AA652">
        <v>62940</v>
      </c>
      <c r="AB652" t="s">
        <v>574</v>
      </c>
      <c r="AC652" t="s">
        <v>48</v>
      </c>
      <c r="AD652" t="s">
        <v>38</v>
      </c>
      <c r="AE652" t="s">
        <v>49</v>
      </c>
      <c r="AF652" t="s">
        <v>50</v>
      </c>
      <c r="AG652">
        <v>0</v>
      </c>
      <c r="AH652">
        <v>0</v>
      </c>
      <c r="AI652" t="s">
        <v>51</v>
      </c>
      <c r="AJ652" t="s">
        <v>51</v>
      </c>
      <c r="AK652" t="s">
        <v>51</v>
      </c>
    </row>
    <row r="653" spans="1:37" x14ac:dyDescent="0.2">
      <c r="A653">
        <v>62912</v>
      </c>
      <c r="B653" t="s">
        <v>37</v>
      </c>
      <c r="C653" t="s">
        <v>38</v>
      </c>
      <c r="D653" t="s">
        <v>553</v>
      </c>
      <c r="E653" t="s">
        <v>581</v>
      </c>
      <c r="G653" s="4">
        <v>43948.044363425926</v>
      </c>
      <c r="H653" s="4">
        <v>43948.044409722222</v>
      </c>
      <c r="I653" t="s">
        <v>44</v>
      </c>
      <c r="J653" s="5">
        <v>4</v>
      </c>
      <c r="K653" t="s">
        <v>38</v>
      </c>
      <c r="M653">
        <v>62935</v>
      </c>
      <c r="N653" t="s">
        <v>581</v>
      </c>
      <c r="O653" t="s">
        <v>582</v>
      </c>
      <c r="P653" t="s">
        <v>38</v>
      </c>
      <c r="Q653" t="s">
        <v>50</v>
      </c>
      <c r="R653">
        <v>0</v>
      </c>
      <c r="S653" t="s">
        <v>45</v>
      </c>
      <c r="T653" t="str" s="2">
        <f>=HYPERLINK("http://demo.enginatics.com:80/ecc/user/applications/log/62912.log","http://demo.enginatics.com:80/ecc/user/applications/log/62912.log")</f>
        <v>"http://demo.enginatics.com:80/ecc/user/applications/log/62912.log")</v>
      </c>
      <c r="U653">
        <v>62936</v>
      </c>
      <c r="V653" t="s">
        <v>38</v>
      </c>
      <c r="W653" t="s">
        <v>50</v>
      </c>
      <c r="X653">
        <v>0</v>
      </c>
      <c r="Y653">
        <v>0</v>
      </c>
      <c r="Z653" t="s">
        <v>46</v>
      </c>
      <c r="AA653">
        <v>62938</v>
      </c>
      <c r="AB653" t="s">
        <v>583</v>
      </c>
      <c r="AC653" t="s">
        <v>48</v>
      </c>
      <c r="AD653" t="s">
        <v>38</v>
      </c>
      <c r="AE653" t="s">
        <v>49</v>
      </c>
      <c r="AF653" t="s">
        <v>50</v>
      </c>
      <c r="AG653">
        <v>0</v>
      </c>
      <c r="AH653">
        <v>0</v>
      </c>
      <c r="AI653" t="s">
        <v>51</v>
      </c>
      <c r="AJ653" t="s">
        <v>51</v>
      </c>
      <c r="AK653" t="s">
        <v>51</v>
      </c>
    </row>
    <row r="654" spans="1:37" x14ac:dyDescent="0.2">
      <c r="A654">
        <v>62910</v>
      </c>
      <c r="B654" t="s">
        <v>37</v>
      </c>
      <c r="C654" t="s">
        <v>38</v>
      </c>
      <c r="D654" t="s">
        <v>553</v>
      </c>
      <c r="E654" t="s">
        <v>557</v>
      </c>
      <c r="G654" s="4">
        <v>43948.044363425926</v>
      </c>
      <c r="H654" s="4">
        <v>43948.044398148148</v>
      </c>
      <c r="I654" t="s">
        <v>85</v>
      </c>
      <c r="J654" s="5">
        <v>3</v>
      </c>
      <c r="K654" t="s">
        <v>38</v>
      </c>
      <c r="M654">
        <v>62932</v>
      </c>
      <c r="N654" t="s">
        <v>557</v>
      </c>
      <c r="O654" t="s">
        <v>558</v>
      </c>
      <c r="P654" t="s">
        <v>38</v>
      </c>
      <c r="Q654" t="s">
        <v>50</v>
      </c>
      <c r="R654">
        <v>.9999999999999999999999999999999999999996</v>
      </c>
      <c r="S654" t="s">
        <v>45</v>
      </c>
      <c r="T654" t="str" s="2">
        <f>=HYPERLINK("http://demo.enginatics.com:80/ecc/user/applications/log/62910.log","http://demo.enginatics.com:80/ecc/user/applications/log/62910.log")</f>
        <v>"http://demo.enginatics.com:80/ecc/user/applications/log/62910.log")</v>
      </c>
      <c r="U654">
        <v>62933</v>
      </c>
      <c r="V654" t="s">
        <v>38</v>
      </c>
      <c r="W654" t="s">
        <v>50</v>
      </c>
      <c r="X654">
        <v>0</v>
      </c>
      <c r="Y654">
        <v>0</v>
      </c>
      <c r="Z654" t="s">
        <v>46</v>
      </c>
      <c r="AA654">
        <v>62934</v>
      </c>
      <c r="AB654" t="s">
        <v>559</v>
      </c>
      <c r="AC654" t="s">
        <v>48</v>
      </c>
      <c r="AD654" t="s">
        <v>38</v>
      </c>
      <c r="AE654" t="s">
        <v>49</v>
      </c>
      <c r="AF654" t="s">
        <v>50</v>
      </c>
      <c r="AG654">
        <v>0</v>
      </c>
      <c r="AH654">
        <v>0</v>
      </c>
      <c r="AI654" t="s">
        <v>51</v>
      </c>
      <c r="AJ654" t="s">
        <v>51</v>
      </c>
      <c r="AK654" t="s">
        <v>51</v>
      </c>
    </row>
    <row r="655" spans="1:37" x14ac:dyDescent="0.2">
      <c r="A655">
        <v>62909</v>
      </c>
      <c r="B655" t="s">
        <v>37</v>
      </c>
      <c r="C655" t="s">
        <v>38</v>
      </c>
      <c r="D655" t="s">
        <v>553</v>
      </c>
      <c r="E655" t="s">
        <v>560</v>
      </c>
      <c r="G655" s="4">
        <v>43948.044363425926</v>
      </c>
      <c r="H655" s="4">
        <v>43948.044409722222</v>
      </c>
      <c r="I655" t="s">
        <v>44</v>
      </c>
      <c r="J655" s="5">
        <v>4</v>
      </c>
      <c r="K655" t="s">
        <v>38</v>
      </c>
      <c r="M655">
        <v>62929</v>
      </c>
      <c r="N655" t="s">
        <v>560</v>
      </c>
      <c r="O655" t="s">
        <v>561</v>
      </c>
      <c r="P655" t="s">
        <v>38</v>
      </c>
      <c r="Q655" t="s">
        <v>88</v>
      </c>
      <c r="R655">
        <v>2</v>
      </c>
      <c r="S655" t="s">
        <v>45</v>
      </c>
      <c r="T655" t="str" s="2">
        <f>=HYPERLINK("http://demo.enginatics.com:80/ecc/user/applications/log/62909.log","http://demo.enginatics.com:80/ecc/user/applications/log/62909.log")</f>
        <v>"http://demo.enginatics.com:80/ecc/user/applications/log/62909.log")</v>
      </c>
      <c r="U655">
        <v>62930</v>
      </c>
      <c r="V655" t="s">
        <v>38</v>
      </c>
      <c r="W655" t="s">
        <v>88</v>
      </c>
      <c r="X655">
        <v>2</v>
      </c>
      <c r="Y655">
        <v>0</v>
      </c>
      <c r="Z655" t="s">
        <v>46</v>
      </c>
      <c r="AA655">
        <v>62931</v>
      </c>
      <c r="AB655" t="s">
        <v>562</v>
      </c>
      <c r="AC655" t="s">
        <v>48</v>
      </c>
      <c r="AD655" t="s">
        <v>38</v>
      </c>
      <c r="AE655" t="s">
        <v>49</v>
      </c>
      <c r="AF655" t="s">
        <v>50</v>
      </c>
      <c r="AG655">
        <v>.9999999999999999999999999999999999999996</v>
      </c>
      <c r="AH655">
        <v>1</v>
      </c>
      <c r="AI655" t="s">
        <v>51</v>
      </c>
      <c r="AJ655" t="s">
        <v>51</v>
      </c>
      <c r="AK655" t="s">
        <v>51</v>
      </c>
    </row>
    <row r="656" spans="1:37" x14ac:dyDescent="0.2">
      <c r="A656">
        <v>62905</v>
      </c>
      <c r="B656" t="s">
        <v>37</v>
      </c>
      <c r="C656" t="s">
        <v>38</v>
      </c>
      <c r="D656" t="s">
        <v>553</v>
      </c>
      <c r="E656" t="s">
        <v>566</v>
      </c>
      <c r="G656" s="4">
        <v>43948.044363425926</v>
      </c>
      <c r="H656" s="4">
        <v>43948.044386574074</v>
      </c>
      <c r="I656" t="s">
        <v>88</v>
      </c>
      <c r="J656" s="5">
        <v>2</v>
      </c>
      <c r="K656" t="s">
        <v>38</v>
      </c>
      <c r="M656">
        <v>62926</v>
      </c>
      <c r="N656" t="s">
        <v>566</v>
      </c>
      <c r="O656" t="s">
        <v>567</v>
      </c>
      <c r="P656" t="s">
        <v>38</v>
      </c>
      <c r="Q656" t="s">
        <v>50</v>
      </c>
      <c r="R656">
        <v>0</v>
      </c>
      <c r="S656" t="s">
        <v>45</v>
      </c>
      <c r="T656" t="str" s="2">
        <f>=HYPERLINK("http://demo.enginatics.com:80/ecc/user/applications/log/62905.log","http://demo.enginatics.com:80/ecc/user/applications/log/62905.log")</f>
        <v>"http://demo.enginatics.com:80/ecc/user/applications/log/62905.log")</v>
      </c>
      <c r="U656">
        <v>62927</v>
      </c>
      <c r="V656" t="s">
        <v>38</v>
      </c>
      <c r="W656" t="s">
        <v>50</v>
      </c>
      <c r="X656">
        <v>0</v>
      </c>
      <c r="Y656">
        <v>0</v>
      </c>
      <c r="Z656" t="s">
        <v>46</v>
      </c>
      <c r="AA656">
        <v>62928</v>
      </c>
      <c r="AB656" t="s">
        <v>568</v>
      </c>
      <c r="AC656" t="s">
        <v>48</v>
      </c>
      <c r="AD656" t="s">
        <v>38</v>
      </c>
      <c r="AE656" t="s">
        <v>49</v>
      </c>
      <c r="AF656" t="s">
        <v>50</v>
      </c>
      <c r="AG656">
        <v>0</v>
      </c>
      <c r="AH656">
        <v>0</v>
      </c>
      <c r="AI656" t="s">
        <v>51</v>
      </c>
      <c r="AJ656" t="s">
        <v>51</v>
      </c>
      <c r="AK656" t="s">
        <v>51</v>
      </c>
    </row>
    <row r="657" spans="1:37" x14ac:dyDescent="0.2">
      <c r="A657">
        <v>62903</v>
      </c>
      <c r="B657" t="s">
        <v>37</v>
      </c>
      <c r="C657" t="s">
        <v>38</v>
      </c>
      <c r="D657" t="s">
        <v>553</v>
      </c>
      <c r="E657" t="s">
        <v>563</v>
      </c>
      <c r="G657" s="4">
        <v>43948.044351851852</v>
      </c>
      <c r="H657" s="4">
        <v>43948.044375</v>
      </c>
      <c r="I657" t="s">
        <v>88</v>
      </c>
      <c r="J657" s="5">
        <v>2</v>
      </c>
      <c r="K657" t="s">
        <v>38</v>
      </c>
      <c r="M657">
        <v>62923</v>
      </c>
      <c r="N657" t="s">
        <v>563</v>
      </c>
      <c r="O657" t="s">
        <v>564</v>
      </c>
      <c r="P657" t="s">
        <v>38</v>
      </c>
      <c r="Q657" t="s">
        <v>50</v>
      </c>
      <c r="R657">
        <v>0</v>
      </c>
      <c r="S657" t="s">
        <v>45</v>
      </c>
      <c r="T657" t="str" s="2">
        <f>=HYPERLINK("http://demo.enginatics.com:80/ecc/user/applications/log/62903.log","http://demo.enginatics.com:80/ecc/user/applications/log/62903.log")</f>
        <v>"http://demo.enginatics.com:80/ecc/user/applications/log/62903.log")</v>
      </c>
      <c r="U657">
        <v>62924</v>
      </c>
      <c r="V657" t="s">
        <v>38</v>
      </c>
      <c r="W657" t="s">
        <v>50</v>
      </c>
      <c r="X657">
        <v>0</v>
      </c>
      <c r="Y657">
        <v>0</v>
      </c>
      <c r="Z657" t="s">
        <v>46</v>
      </c>
      <c r="AA657">
        <v>62925</v>
      </c>
      <c r="AB657" t="s">
        <v>565</v>
      </c>
      <c r="AC657" t="s">
        <v>48</v>
      </c>
      <c r="AD657" t="s">
        <v>38</v>
      </c>
      <c r="AE657" t="s">
        <v>49</v>
      </c>
      <c r="AF657" t="s">
        <v>50</v>
      </c>
      <c r="AG657">
        <v>0</v>
      </c>
      <c r="AH657">
        <v>0</v>
      </c>
      <c r="AI657" t="s">
        <v>51</v>
      </c>
      <c r="AJ657" t="s">
        <v>51</v>
      </c>
      <c r="AK657" t="s">
        <v>51</v>
      </c>
    </row>
    <row r="658" spans="1:37" x14ac:dyDescent="0.2">
      <c r="A658">
        <v>62900</v>
      </c>
      <c r="B658" t="s">
        <v>37</v>
      </c>
      <c r="C658" t="s">
        <v>38</v>
      </c>
      <c r="D658" t="s">
        <v>553</v>
      </c>
      <c r="E658" t="s">
        <v>569</v>
      </c>
      <c r="G658" s="4">
        <v>43948.044351851852</v>
      </c>
      <c r="H658" s="4">
        <v>43948.044386574074</v>
      </c>
      <c r="I658" t="s">
        <v>85</v>
      </c>
      <c r="J658" s="5">
        <v>3</v>
      </c>
      <c r="K658" t="s">
        <v>38</v>
      </c>
      <c r="M658">
        <v>62920</v>
      </c>
      <c r="N658" t="s">
        <v>569</v>
      </c>
      <c r="O658" t="s">
        <v>570</v>
      </c>
      <c r="P658" t="s">
        <v>38</v>
      </c>
      <c r="Q658" t="s">
        <v>50</v>
      </c>
      <c r="R658">
        <v>.9999999999999999999999999999999999999996</v>
      </c>
      <c r="S658" t="s">
        <v>45</v>
      </c>
      <c r="T658" t="str" s="2">
        <f>=HYPERLINK("http://demo.enginatics.com:80/ecc/user/applications/log/62900.log","http://demo.enginatics.com:80/ecc/user/applications/log/62900.log")</f>
        <v>"http://demo.enginatics.com:80/ecc/user/applications/log/62900.log")</v>
      </c>
      <c r="U658">
        <v>62921</v>
      </c>
      <c r="V658" t="s">
        <v>38</v>
      </c>
      <c r="W658" t="s">
        <v>50</v>
      </c>
      <c r="X658">
        <v>.9999999999999999999999999999999999999996</v>
      </c>
      <c r="Y658">
        <v>0</v>
      </c>
      <c r="Z658" t="s">
        <v>46</v>
      </c>
      <c r="AA658">
        <v>62922</v>
      </c>
      <c r="AB658" t="s">
        <v>571</v>
      </c>
      <c r="AC658" t="s">
        <v>48</v>
      </c>
      <c r="AD658" t="s">
        <v>38</v>
      </c>
      <c r="AE658" t="s">
        <v>49</v>
      </c>
      <c r="AF658" t="s">
        <v>50</v>
      </c>
      <c r="AG658">
        <v>.9999999999999999999999999999999999999996</v>
      </c>
      <c r="AH658">
        <v>0</v>
      </c>
      <c r="AI658" t="s">
        <v>51</v>
      </c>
      <c r="AJ658" t="s">
        <v>51</v>
      </c>
      <c r="AK658" t="s">
        <v>51</v>
      </c>
    </row>
    <row r="659" spans="1:37" x14ac:dyDescent="0.2">
      <c r="A659">
        <v>62898</v>
      </c>
      <c r="B659" t="s">
        <v>37</v>
      </c>
      <c r="C659" t="s">
        <v>38</v>
      </c>
      <c r="D659" t="s">
        <v>553</v>
      </c>
      <c r="E659" t="s">
        <v>590</v>
      </c>
      <c r="G659" s="4">
        <v>43948.044351851852</v>
      </c>
      <c r="H659" s="4">
        <v>43948.044375</v>
      </c>
      <c r="I659" t="s">
        <v>88</v>
      </c>
      <c r="J659" s="5">
        <v>2</v>
      </c>
      <c r="K659" t="s">
        <v>38</v>
      </c>
      <c r="M659">
        <v>62917</v>
      </c>
      <c r="N659" t="s">
        <v>590</v>
      </c>
      <c r="O659" t="s">
        <v>591</v>
      </c>
      <c r="P659" t="s">
        <v>38</v>
      </c>
      <c r="Q659" t="s">
        <v>50</v>
      </c>
      <c r="R659">
        <v>0</v>
      </c>
      <c r="S659" t="s">
        <v>45</v>
      </c>
      <c r="T659" t="str" s="2">
        <f>=HYPERLINK("http://demo.enginatics.com:80/ecc/user/applications/log/62898.log","http://demo.enginatics.com:80/ecc/user/applications/log/62898.log")</f>
        <v>"http://demo.enginatics.com:80/ecc/user/applications/log/62898.log")</v>
      </c>
      <c r="U659">
        <v>62918</v>
      </c>
      <c r="V659" t="s">
        <v>38</v>
      </c>
      <c r="W659" t="s">
        <v>50</v>
      </c>
      <c r="X659">
        <v>0</v>
      </c>
      <c r="Y659">
        <v>0</v>
      </c>
      <c r="Z659" t="s">
        <v>46</v>
      </c>
      <c r="AA659">
        <v>62919</v>
      </c>
      <c r="AB659" t="s">
        <v>592</v>
      </c>
      <c r="AC659" t="s">
        <v>48</v>
      </c>
      <c r="AD659" t="s">
        <v>38</v>
      </c>
      <c r="AE659" t="s">
        <v>49</v>
      </c>
      <c r="AF659" t="s">
        <v>50</v>
      </c>
      <c r="AG659">
        <v>0</v>
      </c>
      <c r="AH659">
        <v>0</v>
      </c>
      <c r="AI659" t="s">
        <v>51</v>
      </c>
      <c r="AJ659" t="s">
        <v>51</v>
      </c>
      <c r="AK659" t="s">
        <v>51</v>
      </c>
    </row>
    <row r="660" spans="1:37" x14ac:dyDescent="0.2">
      <c r="A660">
        <v>62897</v>
      </c>
      <c r="B660" t="s">
        <v>37</v>
      </c>
      <c r="C660" t="s">
        <v>38</v>
      </c>
      <c r="D660" t="s">
        <v>553</v>
      </c>
      <c r="E660" t="s">
        <v>587</v>
      </c>
      <c r="G660" s="4">
        <v>43948.044351851852</v>
      </c>
      <c r="H660" s="4">
        <v>43948.044375</v>
      </c>
      <c r="I660" t="s">
        <v>88</v>
      </c>
      <c r="J660" s="5">
        <v>2</v>
      </c>
      <c r="K660" t="s">
        <v>38</v>
      </c>
      <c r="M660">
        <v>62911</v>
      </c>
      <c r="N660" t="s">
        <v>587</v>
      </c>
      <c r="O660" t="s">
        <v>588</v>
      </c>
      <c r="P660" t="s">
        <v>38</v>
      </c>
      <c r="Q660" t="s">
        <v>50</v>
      </c>
      <c r="R660">
        <v>.9999999999999999999999999999999999999996</v>
      </c>
      <c r="S660" t="s">
        <v>45</v>
      </c>
      <c r="T660" t="str" s="2">
        <f>=HYPERLINK("http://demo.enginatics.com:80/ecc/user/applications/log/62897.log","http://demo.enginatics.com:80/ecc/user/applications/log/62897.log")</f>
        <v>"http://demo.enginatics.com:80/ecc/user/applications/log/62897.log")</v>
      </c>
      <c r="U660">
        <v>62913</v>
      </c>
      <c r="V660" t="s">
        <v>38</v>
      </c>
      <c r="W660" t="s">
        <v>50</v>
      </c>
      <c r="X660">
        <v>.9999999999999999999999999999999999999996</v>
      </c>
      <c r="Y660">
        <v>0</v>
      </c>
      <c r="Z660" t="s">
        <v>46</v>
      </c>
      <c r="AA660">
        <v>62914</v>
      </c>
      <c r="AB660" t="s">
        <v>589</v>
      </c>
      <c r="AC660" t="s">
        <v>48</v>
      </c>
      <c r="AD660" t="s">
        <v>38</v>
      </c>
      <c r="AE660" t="s">
        <v>49</v>
      </c>
      <c r="AF660" t="s">
        <v>50</v>
      </c>
      <c r="AG660">
        <v>.9999999999999999999999999999999999999996</v>
      </c>
      <c r="AH660">
        <v>0</v>
      </c>
      <c r="AI660" t="s">
        <v>51</v>
      </c>
      <c r="AJ660" t="s">
        <v>51</v>
      </c>
      <c r="AK660" t="s">
        <v>51</v>
      </c>
    </row>
    <row r="661" spans="1:37" x14ac:dyDescent="0.2">
      <c r="A661">
        <v>62895</v>
      </c>
      <c r="B661" t="s">
        <v>37</v>
      </c>
      <c r="C661" t="s">
        <v>38</v>
      </c>
      <c r="D661" t="s">
        <v>553</v>
      </c>
      <c r="E661" t="s">
        <v>575</v>
      </c>
      <c r="G661" s="4">
        <v>43948.044351851852</v>
      </c>
      <c r="H661" s="4">
        <v>43948.044375</v>
      </c>
      <c r="I661" t="s">
        <v>88</v>
      </c>
      <c r="J661" s="5">
        <v>2</v>
      </c>
      <c r="K661" t="s">
        <v>38</v>
      </c>
      <c r="M661">
        <v>62906</v>
      </c>
      <c r="N661" t="s">
        <v>575</v>
      </c>
      <c r="O661" t="s">
        <v>576</v>
      </c>
      <c r="P661" t="s">
        <v>38</v>
      </c>
      <c r="Q661" t="s">
        <v>50</v>
      </c>
      <c r="R661">
        <v>.9999999999999999999999999999999999999996</v>
      </c>
      <c r="S661" t="s">
        <v>45</v>
      </c>
      <c r="T661" t="str" s="2">
        <f>=HYPERLINK("http://demo.enginatics.com:80/ecc/user/applications/log/62895.log","http://demo.enginatics.com:80/ecc/user/applications/log/62895.log")</f>
        <v>"http://demo.enginatics.com:80/ecc/user/applications/log/62895.log")</v>
      </c>
      <c r="U661">
        <v>62907</v>
      </c>
      <c r="V661" t="s">
        <v>38</v>
      </c>
      <c r="W661" t="s">
        <v>50</v>
      </c>
      <c r="X661">
        <v>.9999999999999999999999999999999999999996</v>
      </c>
      <c r="Y661">
        <v>0</v>
      </c>
      <c r="Z661" t="s">
        <v>46</v>
      </c>
      <c r="AA661">
        <v>62908</v>
      </c>
      <c r="AB661" t="s">
        <v>577</v>
      </c>
      <c r="AC661" t="s">
        <v>48</v>
      </c>
      <c r="AD661" t="s">
        <v>38</v>
      </c>
      <c r="AE661" t="s">
        <v>49</v>
      </c>
      <c r="AF661" t="s">
        <v>50</v>
      </c>
      <c r="AG661">
        <v>.9999999999999999999999999999999999999996</v>
      </c>
      <c r="AH661">
        <v>0</v>
      </c>
      <c r="AI661" t="s">
        <v>51</v>
      </c>
      <c r="AJ661" t="s">
        <v>51</v>
      </c>
      <c r="AK661" t="s">
        <v>51</v>
      </c>
    </row>
    <row r="662" spans="1:37" x14ac:dyDescent="0.2">
      <c r="A662">
        <v>62893</v>
      </c>
      <c r="B662" t="s">
        <v>37</v>
      </c>
      <c r="C662" t="s">
        <v>38</v>
      </c>
      <c r="D662" t="s">
        <v>553</v>
      </c>
      <c r="E662" t="s">
        <v>578</v>
      </c>
      <c r="G662" s="4">
        <v>43948.044351851852</v>
      </c>
      <c r="H662" s="4">
        <v>43948.044363425926</v>
      </c>
      <c r="I662" t="s">
        <v>50</v>
      </c>
      <c r="J662" s="5">
        <v>.9999999999999999999999999999999999999996</v>
      </c>
      <c r="K662" t="s">
        <v>38</v>
      </c>
      <c r="M662">
        <v>62901</v>
      </c>
      <c r="N662" t="s">
        <v>578</v>
      </c>
      <c r="O662" t="s">
        <v>579</v>
      </c>
      <c r="P662" t="s">
        <v>38</v>
      </c>
      <c r="Q662" t="s">
        <v>50</v>
      </c>
      <c r="R662">
        <v>.9999999999999999999999999999999999999996</v>
      </c>
      <c r="S662" t="s">
        <v>45</v>
      </c>
      <c r="T662" t="str" s="2">
        <f>=HYPERLINK("http://demo.enginatics.com:80/ecc/user/applications/log/62893.log","http://demo.enginatics.com:80/ecc/user/applications/log/62893.log")</f>
        <v>"http://demo.enginatics.com:80/ecc/user/applications/log/62893.log")</v>
      </c>
      <c r="U662">
        <v>62902</v>
      </c>
      <c r="V662" t="s">
        <v>38</v>
      </c>
      <c r="W662" t="s">
        <v>50</v>
      </c>
      <c r="X662">
        <v>.9999999999999999999999999999999999999996</v>
      </c>
      <c r="Y662">
        <v>0</v>
      </c>
      <c r="Z662" t="s">
        <v>46</v>
      </c>
      <c r="AA662">
        <v>62904</v>
      </c>
      <c r="AB662" t="s">
        <v>580</v>
      </c>
      <c r="AC662" t="s">
        <v>48</v>
      </c>
      <c r="AD662" t="s">
        <v>38</v>
      </c>
      <c r="AE662" t="s">
        <v>49</v>
      </c>
      <c r="AF662" t="s">
        <v>50</v>
      </c>
      <c r="AG662">
        <v>.9999999999999999999999999999999999999996</v>
      </c>
      <c r="AH662">
        <v>0</v>
      </c>
      <c r="AI662" t="s">
        <v>51</v>
      </c>
      <c r="AJ662" t="s">
        <v>51</v>
      </c>
      <c r="AK662" t="s">
        <v>51</v>
      </c>
    </row>
    <row r="663" spans="1:37" x14ac:dyDescent="0.2">
      <c r="A663">
        <v>62892</v>
      </c>
      <c r="B663" t="s">
        <v>37</v>
      </c>
      <c r="C663" t="s">
        <v>38</v>
      </c>
      <c r="D663" t="s">
        <v>553</v>
      </c>
      <c r="E663" t="s">
        <v>554</v>
      </c>
      <c r="G663" s="4">
        <v>43948.044351851852</v>
      </c>
      <c r="H663" s="4">
        <v>43948.044363425926</v>
      </c>
      <c r="I663" t="s">
        <v>50</v>
      </c>
      <c r="J663" s="5">
        <v>.9999999999999999999999999999999999999996</v>
      </c>
      <c r="K663" t="s">
        <v>38</v>
      </c>
      <c r="M663">
        <v>62894</v>
      </c>
      <c r="N663" t="s">
        <v>554</v>
      </c>
      <c r="O663" t="s">
        <v>555</v>
      </c>
      <c r="P663" t="s">
        <v>38</v>
      </c>
      <c r="Q663" t="s">
        <v>50</v>
      </c>
      <c r="R663">
        <v>.9999999999999999999999999999999999999996</v>
      </c>
      <c r="S663" t="s">
        <v>45</v>
      </c>
      <c r="T663" t="str" s="2">
        <f>=HYPERLINK("http://demo.enginatics.com:80/ecc/user/applications/log/62892.log","http://demo.enginatics.com:80/ecc/user/applications/log/62892.log")</f>
        <v>"http://demo.enginatics.com:80/ecc/user/applications/log/62892.log")</v>
      </c>
      <c r="U663">
        <v>62896</v>
      </c>
      <c r="V663" t="s">
        <v>38</v>
      </c>
      <c r="W663" t="s">
        <v>50</v>
      </c>
      <c r="X663">
        <v>.9999999999999999999999999999999999999996</v>
      </c>
      <c r="Y663">
        <v>0</v>
      </c>
      <c r="Z663" t="s">
        <v>46</v>
      </c>
      <c r="AA663">
        <v>62899</v>
      </c>
      <c r="AB663" t="s">
        <v>556</v>
      </c>
      <c r="AC663" t="s">
        <v>48</v>
      </c>
      <c r="AD663" t="s">
        <v>38</v>
      </c>
      <c r="AE663" t="s">
        <v>49</v>
      </c>
      <c r="AF663" t="s">
        <v>50</v>
      </c>
      <c r="AG663">
        <v>.9999999999999999999999999999999999999996</v>
      </c>
      <c r="AH663">
        <v>0</v>
      </c>
      <c r="AI663" t="s">
        <v>51</v>
      </c>
      <c r="AJ663" t="s">
        <v>51</v>
      </c>
      <c r="AK663" t="s">
        <v>51</v>
      </c>
    </row>
    <row r="664" spans="1:37" x14ac:dyDescent="0.2">
      <c r="A664">
        <v>62888</v>
      </c>
      <c r="B664" t="s">
        <v>37</v>
      </c>
      <c r="C664" t="s">
        <v>38</v>
      </c>
      <c r="D664" t="s">
        <v>553</v>
      </c>
      <c r="E664" t="s">
        <v>584</v>
      </c>
      <c r="G664" s="4">
        <v>43948.044351851852</v>
      </c>
      <c r="H664" s="4">
        <v>43948.044351851852</v>
      </c>
      <c r="I664" t="s">
        <v>50</v>
      </c>
      <c r="J664" s="5">
        <v>0</v>
      </c>
      <c r="K664" t="s">
        <v>38</v>
      </c>
      <c r="M664">
        <v>62889</v>
      </c>
      <c r="N664" t="s">
        <v>584</v>
      </c>
      <c r="O664" t="s">
        <v>585</v>
      </c>
      <c r="P664" t="s">
        <v>38</v>
      </c>
      <c r="Q664" t="s">
        <v>50</v>
      </c>
      <c r="R664">
        <v>0</v>
      </c>
      <c r="S664" t="s">
        <v>45</v>
      </c>
      <c r="T664" t="str" s="2">
        <f>=HYPERLINK("http://demo.enginatics.com:80/ecc/user/applications/log/62888.log","http://demo.enginatics.com:80/ecc/user/applications/log/62888.log")</f>
        <v>"http://demo.enginatics.com:80/ecc/user/applications/log/62888.log")</v>
      </c>
      <c r="U664">
        <v>62890</v>
      </c>
      <c r="V664" t="s">
        <v>38</v>
      </c>
      <c r="W664" t="s">
        <v>50</v>
      </c>
      <c r="X664">
        <v>0</v>
      </c>
      <c r="Y664">
        <v>0</v>
      </c>
      <c r="Z664" t="s">
        <v>46</v>
      </c>
      <c r="AA664">
        <v>62891</v>
      </c>
      <c r="AB664" t="s">
        <v>586</v>
      </c>
      <c r="AC664" t="s">
        <v>48</v>
      </c>
      <c r="AD664" t="s">
        <v>38</v>
      </c>
      <c r="AE664" t="s">
        <v>49</v>
      </c>
      <c r="AF664" t="s">
        <v>50</v>
      </c>
      <c r="AG664">
        <v>0</v>
      </c>
      <c r="AH664">
        <v>0</v>
      </c>
      <c r="AI664" t="s">
        <v>51</v>
      </c>
      <c r="AJ664" t="s">
        <v>51</v>
      </c>
      <c r="AK664" t="s">
        <v>51</v>
      </c>
    </row>
    <row r="665" spans="1:37" x14ac:dyDescent="0.2">
      <c r="A665">
        <v>62884</v>
      </c>
      <c r="B665" t="s">
        <v>37</v>
      </c>
      <c r="C665" t="s">
        <v>38</v>
      </c>
      <c r="D665" t="s">
        <v>553</v>
      </c>
      <c r="E665" t="s">
        <v>596</v>
      </c>
      <c r="G665" s="4">
        <v>43948.044270833333</v>
      </c>
      <c r="H665" s="4">
        <v>43948.044351851852</v>
      </c>
      <c r="I665" t="s">
        <v>247</v>
      </c>
      <c r="J665" s="5">
        <v>7</v>
      </c>
      <c r="K665" t="s">
        <v>38</v>
      </c>
      <c r="M665">
        <v>62885</v>
      </c>
      <c r="N665" t="s">
        <v>596</v>
      </c>
      <c r="O665" t="s">
        <v>597</v>
      </c>
      <c r="P665" t="s">
        <v>38</v>
      </c>
      <c r="Q665" t="s">
        <v>247</v>
      </c>
      <c r="R665">
        <v>7</v>
      </c>
      <c r="S665" t="s">
        <v>45</v>
      </c>
      <c r="T665" t="str" s="2">
        <f>=HYPERLINK("http://demo.enginatics.com:80/ecc/user/applications/log/62884.log","http://demo.enginatics.com:80/ecc/user/applications/log/62884.log")</f>
        <v>"http://demo.enginatics.com:80/ecc/user/applications/log/62884.log")</v>
      </c>
      <c r="U665">
        <v>62886</v>
      </c>
      <c r="V665" t="s">
        <v>38</v>
      </c>
      <c r="W665" t="s">
        <v>75</v>
      </c>
      <c r="X665">
        <v>6</v>
      </c>
      <c r="Y665">
        <v>0</v>
      </c>
      <c r="Z665" t="s">
        <v>46</v>
      </c>
      <c r="AA665">
        <v>62887</v>
      </c>
      <c r="AB665" t="s">
        <v>974</v>
      </c>
      <c r="AC665" t="s">
        <v>48</v>
      </c>
      <c r="AD665" t="s">
        <v>38</v>
      </c>
      <c r="AE665" t="s">
        <v>49</v>
      </c>
      <c r="AF665" t="s">
        <v>75</v>
      </c>
      <c r="AG665">
        <v>6</v>
      </c>
      <c r="AH665">
        <v>4</v>
      </c>
      <c r="AI665" t="s">
        <v>51</v>
      </c>
      <c r="AJ665" t="s">
        <v>51</v>
      </c>
      <c r="AK665" t="s">
        <v>51</v>
      </c>
    </row>
    <row r="666" spans="1:37" x14ac:dyDescent="0.2">
      <c r="A666">
        <v>62880</v>
      </c>
      <c r="B666" t="s">
        <v>37</v>
      </c>
      <c r="C666" t="s">
        <v>38</v>
      </c>
      <c r="D666" t="s">
        <v>83</v>
      </c>
      <c r="E666" t="s">
        <v>599</v>
      </c>
      <c r="G666" s="4">
        <v>43948.043229166667</v>
      </c>
      <c r="H666" s="4">
        <v>43948.043263888889</v>
      </c>
      <c r="I666" t="s">
        <v>85</v>
      </c>
      <c r="J666" s="5">
        <v>3</v>
      </c>
      <c r="K666" t="s">
        <v>38</v>
      </c>
      <c r="M666">
        <v>62881</v>
      </c>
      <c r="N666" t="s">
        <v>599</v>
      </c>
      <c r="O666" t="s">
        <v>600</v>
      </c>
      <c r="P666" t="s">
        <v>38</v>
      </c>
      <c r="Q666" t="s">
        <v>85</v>
      </c>
      <c r="R666">
        <v>3</v>
      </c>
      <c r="S666" t="s">
        <v>45</v>
      </c>
      <c r="T666" t="str" s="2">
        <f>=HYPERLINK("http://demo.enginatics.com:80/ecc/user/applications/log/62880.log","http://demo.enginatics.com:80/ecc/user/applications/log/62880.log")</f>
        <v>"http://demo.enginatics.com:80/ecc/user/applications/log/62880.log")</v>
      </c>
      <c r="U666">
        <v>62882</v>
      </c>
      <c r="V666" t="s">
        <v>38</v>
      </c>
      <c r="W666" t="s">
        <v>85</v>
      </c>
      <c r="X666">
        <v>3</v>
      </c>
      <c r="Y666">
        <v>0</v>
      </c>
      <c r="Z666" t="s">
        <v>46</v>
      </c>
      <c r="AA666">
        <v>62883</v>
      </c>
      <c r="AB666" t="s">
        <v>975</v>
      </c>
      <c r="AC666" t="s">
        <v>68</v>
      </c>
      <c r="AD666" t="s">
        <v>38</v>
      </c>
      <c r="AE666" t="s">
        <v>49</v>
      </c>
      <c r="AF666" t="s">
        <v>85</v>
      </c>
      <c r="AG666">
        <v>3</v>
      </c>
      <c r="AH666">
        <v>2</v>
      </c>
      <c r="AI666" t="s">
        <v>51</v>
      </c>
      <c r="AJ666" t="s">
        <v>51</v>
      </c>
      <c r="AK666" t="s">
        <v>51</v>
      </c>
    </row>
    <row r="667" spans="1:37" x14ac:dyDescent="0.2">
      <c r="A667">
        <v>62876</v>
      </c>
      <c r="B667" t="s">
        <v>37</v>
      </c>
      <c r="C667" t="s">
        <v>38</v>
      </c>
      <c r="D667" t="s">
        <v>602</v>
      </c>
      <c r="E667" t="s">
        <v>603</v>
      </c>
      <c r="G667" s="4">
        <v>43948.032384259259</v>
      </c>
      <c r="H667" s="4">
        <v>43948.032430555556</v>
      </c>
      <c r="I667" t="s">
        <v>44</v>
      </c>
      <c r="J667" s="5">
        <v>4</v>
      </c>
      <c r="K667" t="s">
        <v>38</v>
      </c>
      <c r="M667">
        <v>62877</v>
      </c>
      <c r="N667" t="s">
        <v>603</v>
      </c>
      <c r="O667" t="s">
        <v>604</v>
      </c>
      <c r="P667" t="s">
        <v>38</v>
      </c>
      <c r="Q667" t="s">
        <v>44</v>
      </c>
      <c r="R667">
        <v>4</v>
      </c>
      <c r="S667" t="s">
        <v>45</v>
      </c>
      <c r="T667" t="str" s="2">
        <f>=HYPERLINK("http://demo.enginatics.com:80/ecc/user/applications/log/62876.log","http://demo.enginatics.com:80/ecc/user/applications/log/62876.log")</f>
        <v>"http://demo.enginatics.com:80/ecc/user/applications/log/62876.log")</v>
      </c>
      <c r="U667">
        <v>62878</v>
      </c>
      <c r="V667" t="s">
        <v>38</v>
      </c>
      <c r="W667" t="s">
        <v>44</v>
      </c>
      <c r="X667">
        <v>4</v>
      </c>
      <c r="Y667">
        <v>0</v>
      </c>
      <c r="Z667" t="s">
        <v>46</v>
      </c>
      <c r="AA667">
        <v>62879</v>
      </c>
      <c r="AB667" t="s">
        <v>605</v>
      </c>
      <c r="AC667" t="s">
        <v>68</v>
      </c>
      <c r="AD667" t="s">
        <v>38</v>
      </c>
      <c r="AE667" t="s">
        <v>49</v>
      </c>
      <c r="AF667" t="s">
        <v>85</v>
      </c>
      <c r="AG667">
        <v>3</v>
      </c>
      <c r="AH667">
        <v>3</v>
      </c>
      <c r="AI667" t="s">
        <v>51</v>
      </c>
      <c r="AJ667" t="s">
        <v>51</v>
      </c>
      <c r="AK667" t="s">
        <v>51</v>
      </c>
    </row>
    <row r="668" spans="1:37" x14ac:dyDescent="0.2">
      <c r="A668">
        <v>62871</v>
      </c>
      <c r="B668" t="s">
        <v>37</v>
      </c>
      <c r="C668" t="s">
        <v>38</v>
      </c>
      <c r="D668" t="s">
        <v>606</v>
      </c>
      <c r="E668" t="s">
        <v>607</v>
      </c>
      <c r="G668" s="4">
        <v>43948.030949074074</v>
      </c>
      <c r="H668" s="4">
        <v>43948.030949074074</v>
      </c>
      <c r="I668" t="s">
        <v>50</v>
      </c>
      <c r="J668" s="5">
        <v>0</v>
      </c>
      <c r="K668" t="s">
        <v>38</v>
      </c>
      <c r="M668">
        <v>62872</v>
      </c>
      <c r="N668" t="s">
        <v>607</v>
      </c>
      <c r="O668" t="s">
        <v>608</v>
      </c>
      <c r="P668" t="s">
        <v>38</v>
      </c>
      <c r="Q668" t="s">
        <v>50</v>
      </c>
      <c r="R668">
        <v>0</v>
      </c>
      <c r="S668" t="s">
        <v>45</v>
      </c>
      <c r="T668" t="str" s="2">
        <f>=HYPERLINK("http://demo.enginatics.com:80/ecc/user/applications/log/62871.log","http://demo.enginatics.com:80/ecc/user/applications/log/62871.log")</f>
        <v>"http://demo.enginatics.com:80/ecc/user/applications/log/62871.log")</v>
      </c>
      <c r="U668">
        <v>62873</v>
      </c>
      <c r="V668" t="s">
        <v>38</v>
      </c>
      <c r="W668" t="s">
        <v>50</v>
      </c>
      <c r="X668">
        <v>0</v>
      </c>
      <c r="Y668">
        <v>0</v>
      </c>
      <c r="Z668" t="s">
        <v>46</v>
      </c>
      <c r="AA668">
        <v>62875</v>
      </c>
      <c r="AB668" t="s">
        <v>609</v>
      </c>
      <c r="AC668" t="s">
        <v>48</v>
      </c>
      <c r="AD668" t="s">
        <v>38</v>
      </c>
      <c r="AE668" t="s">
        <v>49</v>
      </c>
      <c r="AF668" t="s">
        <v>50</v>
      </c>
      <c r="AG668">
        <v>0</v>
      </c>
      <c r="AH668">
        <v>0</v>
      </c>
      <c r="AI668" t="s">
        <v>51</v>
      </c>
      <c r="AJ668" t="s">
        <v>51</v>
      </c>
      <c r="AK668" t="s">
        <v>51</v>
      </c>
    </row>
    <row r="669" spans="1:37" x14ac:dyDescent="0.2">
      <c r="A669">
        <v>62871</v>
      </c>
      <c r="B669" t="s">
        <v>37</v>
      </c>
      <c r="C669" t="s">
        <v>38</v>
      </c>
      <c r="D669" t="s">
        <v>606</v>
      </c>
      <c r="E669" t="s">
        <v>607</v>
      </c>
      <c r="G669" s="4">
        <v>43948.030949074074</v>
      </c>
      <c r="H669" s="4">
        <v>43948.030949074074</v>
      </c>
      <c r="I669" t="s">
        <v>50</v>
      </c>
      <c r="J669" s="5">
        <v>0</v>
      </c>
      <c r="K669" t="s">
        <v>38</v>
      </c>
      <c r="M669">
        <v>62872</v>
      </c>
      <c r="N669" t="s">
        <v>607</v>
      </c>
      <c r="O669" t="s">
        <v>608</v>
      </c>
      <c r="P669" t="s">
        <v>38</v>
      </c>
      <c r="Q669" t="s">
        <v>50</v>
      </c>
      <c r="R669">
        <v>0</v>
      </c>
      <c r="S669" t="s">
        <v>45</v>
      </c>
      <c r="T669" t="str" s="2">
        <f>=HYPERLINK("http://demo.enginatics.com:80/ecc/user/applications/log/62871.log","http://demo.enginatics.com:80/ecc/user/applications/log/62871.log")</f>
        <v>"http://demo.enginatics.com:80/ecc/user/applications/log/62871.log")</v>
      </c>
      <c r="U669">
        <v>62873</v>
      </c>
      <c r="V669" t="s">
        <v>38</v>
      </c>
      <c r="W669" t="s">
        <v>50</v>
      </c>
      <c r="X669">
        <v>0</v>
      </c>
      <c r="Y669">
        <v>0</v>
      </c>
      <c r="Z669" t="s">
        <v>46</v>
      </c>
      <c r="AA669">
        <v>62874</v>
      </c>
      <c r="AB669" t="s">
        <v>610</v>
      </c>
      <c r="AC669" t="s">
        <v>56</v>
      </c>
      <c r="AD669" t="s">
        <v>38</v>
      </c>
      <c r="AE669" t="s">
        <v>49</v>
      </c>
      <c r="AF669" t="s">
        <v>50</v>
      </c>
      <c r="AG669">
        <v>0</v>
      </c>
      <c r="AH669">
        <v>0</v>
      </c>
      <c r="AI669" t="s">
        <v>51</v>
      </c>
      <c r="AJ669" t="s">
        <v>51</v>
      </c>
      <c r="AK669" t="s">
        <v>51</v>
      </c>
    </row>
    <row r="670" spans="1:37" x14ac:dyDescent="0.2">
      <c r="A670">
        <v>62866</v>
      </c>
      <c r="B670" t="s">
        <v>37</v>
      </c>
      <c r="C670" t="s">
        <v>38</v>
      </c>
      <c r="D670" t="s">
        <v>606</v>
      </c>
      <c r="E670" t="s">
        <v>611</v>
      </c>
      <c r="G670" s="4">
        <v>43948.030902777778</v>
      </c>
      <c r="H670" s="4">
        <v>43948.030902777778</v>
      </c>
      <c r="I670" t="s">
        <v>50</v>
      </c>
      <c r="J670" s="5">
        <v>0</v>
      </c>
      <c r="K670" t="s">
        <v>38</v>
      </c>
      <c r="M670">
        <v>62867</v>
      </c>
      <c r="N670" t="s">
        <v>611</v>
      </c>
      <c r="O670" t="s">
        <v>612</v>
      </c>
      <c r="P670" t="s">
        <v>38</v>
      </c>
      <c r="Q670" t="s">
        <v>50</v>
      </c>
      <c r="R670">
        <v>0</v>
      </c>
      <c r="S670" t="s">
        <v>45</v>
      </c>
      <c r="T670" t="str" s="2">
        <f>=HYPERLINK("http://demo.enginatics.com:80/ecc/user/applications/log/62866.log","http://demo.enginatics.com:80/ecc/user/applications/log/62866.log")</f>
        <v>"http://demo.enginatics.com:80/ecc/user/applications/log/62866.log")</v>
      </c>
      <c r="U670">
        <v>62868</v>
      </c>
      <c r="V670" t="s">
        <v>38</v>
      </c>
      <c r="W670" t="s">
        <v>50</v>
      </c>
      <c r="X670">
        <v>0</v>
      </c>
      <c r="Y670">
        <v>0</v>
      </c>
      <c r="Z670" t="s">
        <v>46</v>
      </c>
      <c r="AA670">
        <v>62870</v>
      </c>
      <c r="AB670" t="s">
        <v>613</v>
      </c>
      <c r="AC670" t="s">
        <v>48</v>
      </c>
      <c r="AD670" t="s">
        <v>38</v>
      </c>
      <c r="AE670" t="s">
        <v>49</v>
      </c>
      <c r="AF670" t="s">
        <v>50</v>
      </c>
      <c r="AG670">
        <v>0</v>
      </c>
      <c r="AH670">
        <v>0</v>
      </c>
      <c r="AI670" t="s">
        <v>51</v>
      </c>
      <c r="AJ670" t="s">
        <v>51</v>
      </c>
      <c r="AK670" t="s">
        <v>51</v>
      </c>
    </row>
    <row r="671" spans="1:37" x14ac:dyDescent="0.2">
      <c r="A671">
        <v>62866</v>
      </c>
      <c r="B671" t="s">
        <v>37</v>
      </c>
      <c r="C671" t="s">
        <v>38</v>
      </c>
      <c r="D671" t="s">
        <v>606</v>
      </c>
      <c r="E671" t="s">
        <v>611</v>
      </c>
      <c r="G671" s="4">
        <v>43948.030902777778</v>
      </c>
      <c r="H671" s="4">
        <v>43948.030902777778</v>
      </c>
      <c r="I671" t="s">
        <v>50</v>
      </c>
      <c r="J671" s="5">
        <v>0</v>
      </c>
      <c r="K671" t="s">
        <v>38</v>
      </c>
      <c r="M671">
        <v>62867</v>
      </c>
      <c r="N671" t="s">
        <v>611</v>
      </c>
      <c r="O671" t="s">
        <v>612</v>
      </c>
      <c r="P671" t="s">
        <v>38</v>
      </c>
      <c r="Q671" t="s">
        <v>50</v>
      </c>
      <c r="R671">
        <v>0</v>
      </c>
      <c r="S671" t="s">
        <v>45</v>
      </c>
      <c r="T671" t="str" s="2">
        <f>=HYPERLINK("http://demo.enginatics.com:80/ecc/user/applications/log/62866.log","http://demo.enginatics.com:80/ecc/user/applications/log/62866.log")</f>
        <v>"http://demo.enginatics.com:80/ecc/user/applications/log/62866.log")</v>
      </c>
      <c r="U671">
        <v>62868</v>
      </c>
      <c r="V671" t="s">
        <v>38</v>
      </c>
      <c r="W671" t="s">
        <v>50</v>
      </c>
      <c r="X671">
        <v>0</v>
      </c>
      <c r="Y671">
        <v>0</v>
      </c>
      <c r="Z671" t="s">
        <v>46</v>
      </c>
      <c r="AA671">
        <v>62869</v>
      </c>
      <c r="AB671" t="s">
        <v>614</v>
      </c>
      <c r="AC671" t="s">
        <v>56</v>
      </c>
      <c r="AD671" t="s">
        <v>38</v>
      </c>
      <c r="AE671" t="s">
        <v>49</v>
      </c>
      <c r="AF671" t="s">
        <v>50</v>
      </c>
      <c r="AG671">
        <v>0</v>
      </c>
      <c r="AH671">
        <v>0</v>
      </c>
      <c r="AI671" t="s">
        <v>51</v>
      </c>
      <c r="AJ671" t="s">
        <v>51</v>
      </c>
      <c r="AK671" t="s">
        <v>51</v>
      </c>
    </row>
    <row r="672" spans="1:37" x14ac:dyDescent="0.2">
      <c r="A672">
        <v>62861</v>
      </c>
      <c r="B672" t="s">
        <v>37</v>
      </c>
      <c r="C672" t="s">
        <v>38</v>
      </c>
      <c r="D672" t="s">
        <v>606</v>
      </c>
      <c r="E672" t="s">
        <v>615</v>
      </c>
      <c r="G672" s="4">
        <v>43948.030833333333</v>
      </c>
      <c r="H672" s="4">
        <v>43948.030833333333</v>
      </c>
      <c r="I672" t="s">
        <v>50</v>
      </c>
      <c r="J672" s="5">
        <v>0</v>
      </c>
      <c r="K672" t="s">
        <v>38</v>
      </c>
      <c r="M672">
        <v>62862</v>
      </c>
      <c r="N672" t="s">
        <v>615</v>
      </c>
      <c r="O672" t="s">
        <v>616</v>
      </c>
      <c r="P672" t="s">
        <v>38</v>
      </c>
      <c r="Q672" t="s">
        <v>50</v>
      </c>
      <c r="R672">
        <v>0</v>
      </c>
      <c r="S672" t="s">
        <v>45</v>
      </c>
      <c r="T672" t="str" s="2">
        <f>=HYPERLINK("http://demo.enginatics.com:80/ecc/user/applications/log/62861.log","http://demo.enginatics.com:80/ecc/user/applications/log/62861.log")</f>
        <v>"http://demo.enginatics.com:80/ecc/user/applications/log/62861.log")</v>
      </c>
      <c r="U672">
        <v>62863</v>
      </c>
      <c r="V672" t="s">
        <v>38</v>
      </c>
      <c r="W672" t="s">
        <v>50</v>
      </c>
      <c r="X672">
        <v>0</v>
      </c>
      <c r="Y672">
        <v>0</v>
      </c>
      <c r="Z672" t="s">
        <v>46</v>
      </c>
      <c r="AA672">
        <v>62865</v>
      </c>
      <c r="AB672" t="s">
        <v>617</v>
      </c>
      <c r="AC672" t="s">
        <v>48</v>
      </c>
      <c r="AD672" t="s">
        <v>38</v>
      </c>
      <c r="AE672" t="s">
        <v>49</v>
      </c>
      <c r="AF672" t="s">
        <v>50</v>
      </c>
      <c r="AG672">
        <v>0</v>
      </c>
      <c r="AH672">
        <v>0</v>
      </c>
      <c r="AI672" t="s">
        <v>51</v>
      </c>
      <c r="AJ672" t="s">
        <v>51</v>
      </c>
      <c r="AK672" t="s">
        <v>51</v>
      </c>
    </row>
    <row r="673" spans="1:37" x14ac:dyDescent="0.2">
      <c r="A673">
        <v>62861</v>
      </c>
      <c r="B673" t="s">
        <v>37</v>
      </c>
      <c r="C673" t="s">
        <v>38</v>
      </c>
      <c r="D673" t="s">
        <v>606</v>
      </c>
      <c r="E673" t="s">
        <v>615</v>
      </c>
      <c r="G673" s="4">
        <v>43948.030833333333</v>
      </c>
      <c r="H673" s="4">
        <v>43948.030833333333</v>
      </c>
      <c r="I673" t="s">
        <v>50</v>
      </c>
      <c r="J673" s="5">
        <v>0</v>
      </c>
      <c r="K673" t="s">
        <v>38</v>
      </c>
      <c r="M673">
        <v>62862</v>
      </c>
      <c r="N673" t="s">
        <v>615</v>
      </c>
      <c r="O673" t="s">
        <v>616</v>
      </c>
      <c r="P673" t="s">
        <v>38</v>
      </c>
      <c r="Q673" t="s">
        <v>50</v>
      </c>
      <c r="R673">
        <v>0</v>
      </c>
      <c r="S673" t="s">
        <v>45</v>
      </c>
      <c r="T673" t="str" s="2">
        <f>=HYPERLINK("http://demo.enginatics.com:80/ecc/user/applications/log/62861.log","http://demo.enginatics.com:80/ecc/user/applications/log/62861.log")</f>
        <v>"http://demo.enginatics.com:80/ecc/user/applications/log/62861.log")</v>
      </c>
      <c r="U673">
        <v>62863</v>
      </c>
      <c r="V673" t="s">
        <v>38</v>
      </c>
      <c r="W673" t="s">
        <v>50</v>
      </c>
      <c r="X673">
        <v>0</v>
      </c>
      <c r="Y673">
        <v>0</v>
      </c>
      <c r="Z673" t="s">
        <v>46</v>
      </c>
      <c r="AA673">
        <v>62864</v>
      </c>
      <c r="AB673" t="s">
        <v>618</v>
      </c>
      <c r="AC673" t="s">
        <v>56</v>
      </c>
      <c r="AD673" t="s">
        <v>38</v>
      </c>
      <c r="AE673" t="s">
        <v>49</v>
      </c>
      <c r="AF673" t="s">
        <v>50</v>
      </c>
      <c r="AG673">
        <v>0</v>
      </c>
      <c r="AH673">
        <v>0</v>
      </c>
      <c r="AI673" t="s">
        <v>51</v>
      </c>
      <c r="AJ673" t="s">
        <v>51</v>
      </c>
      <c r="AK673" t="s">
        <v>51</v>
      </c>
    </row>
    <row r="674" spans="1:37" x14ac:dyDescent="0.2">
      <c r="A674">
        <v>62856</v>
      </c>
      <c r="B674" t="s">
        <v>37</v>
      </c>
      <c r="C674" t="s">
        <v>38</v>
      </c>
      <c r="D674" t="s">
        <v>606</v>
      </c>
      <c r="E674" t="s">
        <v>619</v>
      </c>
      <c r="G674" s="4">
        <v>43948.030729166667</v>
      </c>
      <c r="H674" s="4">
        <v>43948.030729166667</v>
      </c>
      <c r="I674" t="s">
        <v>50</v>
      </c>
      <c r="J674" s="5">
        <v>0</v>
      </c>
      <c r="K674" t="s">
        <v>38</v>
      </c>
      <c r="M674">
        <v>62857</v>
      </c>
      <c r="N674" t="s">
        <v>619</v>
      </c>
      <c r="O674" t="s">
        <v>620</v>
      </c>
      <c r="P674" t="s">
        <v>38</v>
      </c>
      <c r="Q674" t="s">
        <v>50</v>
      </c>
      <c r="R674">
        <v>0</v>
      </c>
      <c r="S674" t="s">
        <v>45</v>
      </c>
      <c r="T674" t="str" s="2">
        <f>=HYPERLINK("http://demo.enginatics.com:80/ecc/user/applications/log/62856.log","http://demo.enginatics.com:80/ecc/user/applications/log/62856.log")</f>
        <v>"http://demo.enginatics.com:80/ecc/user/applications/log/62856.log")</v>
      </c>
      <c r="U674">
        <v>62858</v>
      </c>
      <c r="V674" t="s">
        <v>38</v>
      </c>
      <c r="W674" t="s">
        <v>50</v>
      </c>
      <c r="X674">
        <v>0</v>
      </c>
      <c r="Y674">
        <v>0</v>
      </c>
      <c r="Z674" t="s">
        <v>46</v>
      </c>
      <c r="AA674">
        <v>62860</v>
      </c>
      <c r="AB674" t="s">
        <v>621</v>
      </c>
      <c r="AC674" t="s">
        <v>48</v>
      </c>
      <c r="AD674" t="s">
        <v>38</v>
      </c>
      <c r="AE674" t="s">
        <v>49</v>
      </c>
      <c r="AF674" t="s">
        <v>50</v>
      </c>
      <c r="AG674">
        <v>0</v>
      </c>
      <c r="AH674">
        <v>0</v>
      </c>
      <c r="AI674" t="s">
        <v>51</v>
      </c>
      <c r="AJ674" t="s">
        <v>51</v>
      </c>
      <c r="AK674" t="s">
        <v>51</v>
      </c>
    </row>
    <row r="675" spans="1:37" x14ac:dyDescent="0.2">
      <c r="A675">
        <v>62856</v>
      </c>
      <c r="B675" t="s">
        <v>37</v>
      </c>
      <c r="C675" t="s">
        <v>38</v>
      </c>
      <c r="D675" t="s">
        <v>606</v>
      </c>
      <c r="E675" t="s">
        <v>619</v>
      </c>
      <c r="G675" s="4">
        <v>43948.030729166667</v>
      </c>
      <c r="H675" s="4">
        <v>43948.030729166667</v>
      </c>
      <c r="I675" t="s">
        <v>50</v>
      </c>
      <c r="J675" s="5">
        <v>0</v>
      </c>
      <c r="K675" t="s">
        <v>38</v>
      </c>
      <c r="M675">
        <v>62857</v>
      </c>
      <c r="N675" t="s">
        <v>619</v>
      </c>
      <c r="O675" t="s">
        <v>620</v>
      </c>
      <c r="P675" t="s">
        <v>38</v>
      </c>
      <c r="Q675" t="s">
        <v>50</v>
      </c>
      <c r="R675">
        <v>0</v>
      </c>
      <c r="S675" t="s">
        <v>45</v>
      </c>
      <c r="T675" t="str" s="2">
        <f>=HYPERLINK("http://demo.enginatics.com:80/ecc/user/applications/log/62856.log","http://demo.enginatics.com:80/ecc/user/applications/log/62856.log")</f>
        <v>"http://demo.enginatics.com:80/ecc/user/applications/log/62856.log")</v>
      </c>
      <c r="U675">
        <v>62858</v>
      </c>
      <c r="V675" t="s">
        <v>38</v>
      </c>
      <c r="W675" t="s">
        <v>50</v>
      </c>
      <c r="X675">
        <v>0</v>
      </c>
      <c r="Y675">
        <v>0</v>
      </c>
      <c r="Z675" t="s">
        <v>46</v>
      </c>
      <c r="AA675">
        <v>62859</v>
      </c>
      <c r="AB675" t="s">
        <v>622</v>
      </c>
      <c r="AC675" t="s">
        <v>56</v>
      </c>
      <c r="AD675" t="s">
        <v>38</v>
      </c>
      <c r="AE675" t="s">
        <v>49</v>
      </c>
      <c r="AF675" t="s">
        <v>50</v>
      </c>
      <c r="AG675">
        <v>0</v>
      </c>
      <c r="AH675">
        <v>0</v>
      </c>
      <c r="AI675" t="s">
        <v>51</v>
      </c>
      <c r="AJ675" t="s">
        <v>51</v>
      </c>
      <c r="AK675" t="s">
        <v>51</v>
      </c>
    </row>
    <row r="676" spans="1:37" x14ac:dyDescent="0.2">
      <c r="A676">
        <v>62837</v>
      </c>
      <c r="B676" t="s">
        <v>37</v>
      </c>
      <c r="C676" t="s">
        <v>38</v>
      </c>
      <c r="D676" t="s">
        <v>623</v>
      </c>
      <c r="E676" t="s">
        <v>624</v>
      </c>
      <c r="G676" s="4">
        <v>43948.025231481481</v>
      </c>
      <c r="H676" s="4">
        <v>43948.025231481481</v>
      </c>
      <c r="I676" t="s">
        <v>50</v>
      </c>
      <c r="J676" s="5">
        <v>0</v>
      </c>
      <c r="K676" t="s">
        <v>38</v>
      </c>
      <c r="M676">
        <v>62838</v>
      </c>
      <c r="N676" t="s">
        <v>624</v>
      </c>
      <c r="O676" t="s">
        <v>623</v>
      </c>
      <c r="P676" t="s">
        <v>38</v>
      </c>
      <c r="Q676" t="s">
        <v>50</v>
      </c>
      <c r="R676">
        <v>0</v>
      </c>
      <c r="S676" t="s">
        <v>45</v>
      </c>
      <c r="T676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76">
        <v>62839</v>
      </c>
      <c r="V676" t="s">
        <v>38</v>
      </c>
      <c r="W676" t="s">
        <v>50</v>
      </c>
      <c r="X676">
        <v>0</v>
      </c>
      <c r="Y676">
        <v>0</v>
      </c>
      <c r="Z676" t="s">
        <v>46</v>
      </c>
      <c r="AA676">
        <v>62855</v>
      </c>
      <c r="AB676" t="s">
        <v>625</v>
      </c>
      <c r="AC676" t="s">
        <v>56</v>
      </c>
      <c r="AD676" t="s">
        <v>38</v>
      </c>
      <c r="AE676" t="s">
        <v>49</v>
      </c>
      <c r="AF676" t="s">
        <v>50</v>
      </c>
      <c r="AG676">
        <v>0</v>
      </c>
      <c r="AH676">
        <v>0</v>
      </c>
      <c r="AI676" t="s">
        <v>51</v>
      </c>
      <c r="AJ676" t="s">
        <v>51</v>
      </c>
      <c r="AK676" t="s">
        <v>51</v>
      </c>
    </row>
    <row r="677" spans="1:37" x14ac:dyDescent="0.2">
      <c r="A677">
        <v>62837</v>
      </c>
      <c r="B677" t="s">
        <v>37</v>
      </c>
      <c r="C677" t="s">
        <v>38</v>
      </c>
      <c r="D677" t="s">
        <v>623</v>
      </c>
      <c r="E677" t="s">
        <v>624</v>
      </c>
      <c r="G677" s="4">
        <v>43948.025231481481</v>
      </c>
      <c r="H677" s="4">
        <v>43948.025231481481</v>
      </c>
      <c r="I677" t="s">
        <v>50</v>
      </c>
      <c r="J677" s="5">
        <v>0</v>
      </c>
      <c r="K677" t="s">
        <v>38</v>
      </c>
      <c r="M677">
        <v>62838</v>
      </c>
      <c r="N677" t="s">
        <v>624</v>
      </c>
      <c r="O677" t="s">
        <v>623</v>
      </c>
      <c r="P677" t="s">
        <v>38</v>
      </c>
      <c r="Q677" t="s">
        <v>50</v>
      </c>
      <c r="R677">
        <v>0</v>
      </c>
      <c r="S677" t="s">
        <v>45</v>
      </c>
      <c r="T677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77">
        <v>62839</v>
      </c>
      <c r="V677" t="s">
        <v>38</v>
      </c>
      <c r="W677" t="s">
        <v>50</v>
      </c>
      <c r="X677">
        <v>0</v>
      </c>
      <c r="Y677">
        <v>0</v>
      </c>
      <c r="Z677" t="s">
        <v>46</v>
      </c>
      <c r="AA677">
        <v>62854</v>
      </c>
      <c r="AB677" t="s">
        <v>626</v>
      </c>
      <c r="AC677" t="s">
        <v>56</v>
      </c>
      <c r="AD677" t="s">
        <v>38</v>
      </c>
      <c r="AE677" t="s">
        <v>49</v>
      </c>
      <c r="AF677" t="s">
        <v>50</v>
      </c>
      <c r="AG677">
        <v>0</v>
      </c>
      <c r="AH677">
        <v>0</v>
      </c>
      <c r="AI677" t="s">
        <v>51</v>
      </c>
      <c r="AJ677" t="s">
        <v>51</v>
      </c>
      <c r="AK677" t="s">
        <v>51</v>
      </c>
    </row>
    <row r="678" spans="1:37" x14ac:dyDescent="0.2">
      <c r="A678">
        <v>62837</v>
      </c>
      <c r="B678" t="s">
        <v>37</v>
      </c>
      <c r="C678" t="s">
        <v>38</v>
      </c>
      <c r="D678" t="s">
        <v>623</v>
      </c>
      <c r="E678" t="s">
        <v>624</v>
      </c>
      <c r="G678" s="4">
        <v>43948.025231481481</v>
      </c>
      <c r="H678" s="4">
        <v>43948.025231481481</v>
      </c>
      <c r="I678" t="s">
        <v>50</v>
      </c>
      <c r="J678" s="5">
        <v>0</v>
      </c>
      <c r="K678" t="s">
        <v>38</v>
      </c>
      <c r="M678">
        <v>62838</v>
      </c>
      <c r="N678" t="s">
        <v>624</v>
      </c>
      <c r="O678" t="s">
        <v>623</v>
      </c>
      <c r="P678" t="s">
        <v>38</v>
      </c>
      <c r="Q678" t="s">
        <v>50</v>
      </c>
      <c r="R678">
        <v>0</v>
      </c>
      <c r="S678" t="s">
        <v>45</v>
      </c>
      <c r="T678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78">
        <v>62839</v>
      </c>
      <c r="V678" t="s">
        <v>38</v>
      </c>
      <c r="W678" t="s">
        <v>50</v>
      </c>
      <c r="X678">
        <v>0</v>
      </c>
      <c r="Y678">
        <v>0</v>
      </c>
      <c r="Z678" t="s">
        <v>46</v>
      </c>
      <c r="AA678">
        <v>62853</v>
      </c>
      <c r="AB678" t="s">
        <v>627</v>
      </c>
      <c r="AC678" t="s">
        <v>56</v>
      </c>
      <c r="AD678" t="s">
        <v>38</v>
      </c>
      <c r="AE678" t="s">
        <v>49</v>
      </c>
      <c r="AF678" t="s">
        <v>50</v>
      </c>
      <c r="AG678">
        <v>0</v>
      </c>
      <c r="AH678">
        <v>0</v>
      </c>
      <c r="AI678" t="s">
        <v>51</v>
      </c>
      <c r="AJ678" t="s">
        <v>51</v>
      </c>
      <c r="AK678" t="s">
        <v>51</v>
      </c>
    </row>
    <row r="679" spans="1:37" x14ac:dyDescent="0.2">
      <c r="A679">
        <v>62837</v>
      </c>
      <c r="B679" t="s">
        <v>37</v>
      </c>
      <c r="C679" t="s">
        <v>38</v>
      </c>
      <c r="D679" t="s">
        <v>623</v>
      </c>
      <c r="E679" t="s">
        <v>624</v>
      </c>
      <c r="G679" s="4">
        <v>43948.025231481481</v>
      </c>
      <c r="H679" s="4">
        <v>43948.025231481481</v>
      </c>
      <c r="I679" t="s">
        <v>50</v>
      </c>
      <c r="J679" s="5">
        <v>0</v>
      </c>
      <c r="K679" t="s">
        <v>38</v>
      </c>
      <c r="M679">
        <v>62838</v>
      </c>
      <c r="N679" t="s">
        <v>624</v>
      </c>
      <c r="O679" t="s">
        <v>623</v>
      </c>
      <c r="P679" t="s">
        <v>38</v>
      </c>
      <c r="Q679" t="s">
        <v>50</v>
      </c>
      <c r="R679">
        <v>0</v>
      </c>
      <c r="S679" t="s">
        <v>45</v>
      </c>
      <c r="T679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79">
        <v>62839</v>
      </c>
      <c r="V679" t="s">
        <v>38</v>
      </c>
      <c r="W679" t="s">
        <v>50</v>
      </c>
      <c r="X679">
        <v>0</v>
      </c>
      <c r="Y679">
        <v>0</v>
      </c>
      <c r="Z679" t="s">
        <v>46</v>
      </c>
      <c r="AA679">
        <v>62852</v>
      </c>
      <c r="AB679" t="s">
        <v>628</v>
      </c>
      <c r="AC679" t="s">
        <v>56</v>
      </c>
      <c r="AD679" t="s">
        <v>38</v>
      </c>
      <c r="AE679" t="s">
        <v>49</v>
      </c>
      <c r="AF679" t="s">
        <v>50</v>
      </c>
      <c r="AG679">
        <v>0</v>
      </c>
      <c r="AH679">
        <v>0</v>
      </c>
      <c r="AI679" t="s">
        <v>51</v>
      </c>
      <c r="AJ679" t="s">
        <v>51</v>
      </c>
      <c r="AK679" t="s">
        <v>51</v>
      </c>
    </row>
    <row r="680" spans="1:37" x14ac:dyDescent="0.2">
      <c r="A680">
        <v>62837</v>
      </c>
      <c r="B680" t="s">
        <v>37</v>
      </c>
      <c r="C680" t="s">
        <v>38</v>
      </c>
      <c r="D680" t="s">
        <v>623</v>
      </c>
      <c r="E680" t="s">
        <v>624</v>
      </c>
      <c r="G680" s="4">
        <v>43948.025231481481</v>
      </c>
      <c r="H680" s="4">
        <v>43948.025231481481</v>
      </c>
      <c r="I680" t="s">
        <v>50</v>
      </c>
      <c r="J680" s="5">
        <v>0</v>
      </c>
      <c r="K680" t="s">
        <v>38</v>
      </c>
      <c r="M680">
        <v>62838</v>
      </c>
      <c r="N680" t="s">
        <v>624</v>
      </c>
      <c r="O680" t="s">
        <v>623</v>
      </c>
      <c r="P680" t="s">
        <v>38</v>
      </c>
      <c r="Q680" t="s">
        <v>50</v>
      </c>
      <c r="R680">
        <v>0</v>
      </c>
      <c r="S680" t="s">
        <v>45</v>
      </c>
      <c r="T680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0">
        <v>62839</v>
      </c>
      <c r="V680" t="s">
        <v>38</v>
      </c>
      <c r="W680" t="s">
        <v>50</v>
      </c>
      <c r="X680">
        <v>0</v>
      </c>
      <c r="Y680">
        <v>0</v>
      </c>
      <c r="Z680" t="s">
        <v>46</v>
      </c>
      <c r="AA680">
        <v>62851</v>
      </c>
      <c r="AB680" t="s">
        <v>629</v>
      </c>
      <c r="AC680" t="s">
        <v>56</v>
      </c>
      <c r="AD680" t="s">
        <v>38</v>
      </c>
      <c r="AE680" t="s">
        <v>49</v>
      </c>
      <c r="AF680" t="s">
        <v>50</v>
      </c>
      <c r="AG680">
        <v>0</v>
      </c>
      <c r="AH680">
        <v>0</v>
      </c>
      <c r="AI680" t="s">
        <v>51</v>
      </c>
      <c r="AJ680" t="s">
        <v>51</v>
      </c>
      <c r="AK680" t="s">
        <v>51</v>
      </c>
    </row>
    <row r="681" spans="1:37" x14ac:dyDescent="0.2">
      <c r="A681">
        <v>62837</v>
      </c>
      <c r="B681" t="s">
        <v>37</v>
      </c>
      <c r="C681" t="s">
        <v>38</v>
      </c>
      <c r="D681" t="s">
        <v>623</v>
      </c>
      <c r="E681" t="s">
        <v>624</v>
      </c>
      <c r="G681" s="4">
        <v>43948.025231481481</v>
      </c>
      <c r="H681" s="4">
        <v>43948.025231481481</v>
      </c>
      <c r="I681" t="s">
        <v>50</v>
      </c>
      <c r="J681" s="5">
        <v>0</v>
      </c>
      <c r="K681" t="s">
        <v>38</v>
      </c>
      <c r="M681">
        <v>62838</v>
      </c>
      <c r="N681" t="s">
        <v>624</v>
      </c>
      <c r="O681" t="s">
        <v>623</v>
      </c>
      <c r="P681" t="s">
        <v>38</v>
      </c>
      <c r="Q681" t="s">
        <v>50</v>
      </c>
      <c r="R681">
        <v>0</v>
      </c>
      <c r="S681" t="s">
        <v>45</v>
      </c>
      <c r="T681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1">
        <v>62839</v>
      </c>
      <c r="V681" t="s">
        <v>38</v>
      </c>
      <c r="W681" t="s">
        <v>50</v>
      </c>
      <c r="X681">
        <v>0</v>
      </c>
      <c r="Y681">
        <v>0</v>
      </c>
      <c r="Z681" t="s">
        <v>46</v>
      </c>
      <c r="AA681">
        <v>62850</v>
      </c>
      <c r="AB681" t="s">
        <v>630</v>
      </c>
      <c r="AC681" t="s">
        <v>56</v>
      </c>
      <c r="AD681" t="s">
        <v>38</v>
      </c>
      <c r="AE681" t="s">
        <v>49</v>
      </c>
      <c r="AF681" t="s">
        <v>50</v>
      </c>
      <c r="AG681">
        <v>0</v>
      </c>
      <c r="AH681">
        <v>0</v>
      </c>
      <c r="AI681" t="s">
        <v>51</v>
      </c>
      <c r="AJ681" t="s">
        <v>51</v>
      </c>
      <c r="AK681" t="s">
        <v>51</v>
      </c>
    </row>
    <row r="682" spans="1:37" x14ac:dyDescent="0.2">
      <c r="A682">
        <v>62837</v>
      </c>
      <c r="B682" t="s">
        <v>37</v>
      </c>
      <c r="C682" t="s">
        <v>38</v>
      </c>
      <c r="D682" t="s">
        <v>623</v>
      </c>
      <c r="E682" t="s">
        <v>624</v>
      </c>
      <c r="G682" s="4">
        <v>43948.025231481481</v>
      </c>
      <c r="H682" s="4">
        <v>43948.025231481481</v>
      </c>
      <c r="I682" t="s">
        <v>50</v>
      </c>
      <c r="J682" s="5">
        <v>0</v>
      </c>
      <c r="K682" t="s">
        <v>38</v>
      </c>
      <c r="M682">
        <v>62838</v>
      </c>
      <c r="N682" t="s">
        <v>624</v>
      </c>
      <c r="O682" t="s">
        <v>623</v>
      </c>
      <c r="P682" t="s">
        <v>38</v>
      </c>
      <c r="Q682" t="s">
        <v>50</v>
      </c>
      <c r="R682">
        <v>0</v>
      </c>
      <c r="S682" t="s">
        <v>45</v>
      </c>
      <c r="T682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2">
        <v>62839</v>
      </c>
      <c r="V682" t="s">
        <v>38</v>
      </c>
      <c r="W682" t="s">
        <v>50</v>
      </c>
      <c r="X682">
        <v>0</v>
      </c>
      <c r="Y682">
        <v>0</v>
      </c>
      <c r="Z682" t="s">
        <v>46</v>
      </c>
      <c r="AA682">
        <v>62849</v>
      </c>
      <c r="AB682" t="s">
        <v>631</v>
      </c>
      <c r="AC682" t="s">
        <v>56</v>
      </c>
      <c r="AD682" t="s">
        <v>38</v>
      </c>
      <c r="AE682" t="s">
        <v>49</v>
      </c>
      <c r="AF682" t="s">
        <v>50</v>
      </c>
      <c r="AG682">
        <v>0</v>
      </c>
      <c r="AH682">
        <v>0</v>
      </c>
      <c r="AI682" t="s">
        <v>51</v>
      </c>
      <c r="AJ682" t="s">
        <v>51</v>
      </c>
      <c r="AK682" t="s">
        <v>51</v>
      </c>
    </row>
    <row r="683" spans="1:37" x14ac:dyDescent="0.2">
      <c r="A683">
        <v>62837</v>
      </c>
      <c r="B683" t="s">
        <v>37</v>
      </c>
      <c r="C683" t="s">
        <v>38</v>
      </c>
      <c r="D683" t="s">
        <v>623</v>
      </c>
      <c r="E683" t="s">
        <v>624</v>
      </c>
      <c r="G683" s="4">
        <v>43948.025231481481</v>
      </c>
      <c r="H683" s="4">
        <v>43948.025231481481</v>
      </c>
      <c r="I683" t="s">
        <v>50</v>
      </c>
      <c r="J683" s="5">
        <v>0</v>
      </c>
      <c r="K683" t="s">
        <v>38</v>
      </c>
      <c r="M683">
        <v>62838</v>
      </c>
      <c r="N683" t="s">
        <v>624</v>
      </c>
      <c r="O683" t="s">
        <v>623</v>
      </c>
      <c r="P683" t="s">
        <v>38</v>
      </c>
      <c r="Q683" t="s">
        <v>50</v>
      </c>
      <c r="R683">
        <v>0</v>
      </c>
      <c r="S683" t="s">
        <v>45</v>
      </c>
      <c r="T683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3">
        <v>62839</v>
      </c>
      <c r="V683" t="s">
        <v>38</v>
      </c>
      <c r="W683" t="s">
        <v>50</v>
      </c>
      <c r="X683">
        <v>0</v>
      </c>
      <c r="Y683">
        <v>0</v>
      </c>
      <c r="Z683" t="s">
        <v>46</v>
      </c>
      <c r="AA683">
        <v>62848</v>
      </c>
      <c r="AB683" t="s">
        <v>632</v>
      </c>
      <c r="AC683" t="s">
        <v>56</v>
      </c>
      <c r="AD683" t="s">
        <v>38</v>
      </c>
      <c r="AE683" t="s">
        <v>49</v>
      </c>
      <c r="AF683" t="s">
        <v>50</v>
      </c>
      <c r="AG683">
        <v>0</v>
      </c>
      <c r="AH683">
        <v>0</v>
      </c>
      <c r="AI683" t="s">
        <v>51</v>
      </c>
      <c r="AJ683" t="s">
        <v>51</v>
      </c>
      <c r="AK683" t="s">
        <v>51</v>
      </c>
    </row>
    <row r="684" spans="1:37" x14ac:dyDescent="0.2">
      <c r="A684">
        <v>62837</v>
      </c>
      <c r="B684" t="s">
        <v>37</v>
      </c>
      <c r="C684" t="s">
        <v>38</v>
      </c>
      <c r="D684" t="s">
        <v>623</v>
      </c>
      <c r="E684" t="s">
        <v>624</v>
      </c>
      <c r="G684" s="4">
        <v>43948.025231481481</v>
      </c>
      <c r="H684" s="4">
        <v>43948.025231481481</v>
      </c>
      <c r="I684" t="s">
        <v>50</v>
      </c>
      <c r="J684" s="5">
        <v>0</v>
      </c>
      <c r="K684" t="s">
        <v>38</v>
      </c>
      <c r="M684">
        <v>62838</v>
      </c>
      <c r="N684" t="s">
        <v>624</v>
      </c>
      <c r="O684" t="s">
        <v>623</v>
      </c>
      <c r="P684" t="s">
        <v>38</v>
      </c>
      <c r="Q684" t="s">
        <v>50</v>
      </c>
      <c r="R684">
        <v>0</v>
      </c>
      <c r="S684" t="s">
        <v>45</v>
      </c>
      <c r="T684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4">
        <v>62839</v>
      </c>
      <c r="V684" t="s">
        <v>38</v>
      </c>
      <c r="W684" t="s">
        <v>50</v>
      </c>
      <c r="X684">
        <v>0</v>
      </c>
      <c r="Y684">
        <v>0</v>
      </c>
      <c r="Z684" t="s">
        <v>46</v>
      </c>
      <c r="AA684">
        <v>62847</v>
      </c>
      <c r="AB684" t="s">
        <v>976</v>
      </c>
      <c r="AC684" t="s">
        <v>103</v>
      </c>
      <c r="AD684" t="s">
        <v>38</v>
      </c>
      <c r="AE684" t="s">
        <v>49</v>
      </c>
      <c r="AF684" t="s">
        <v>50</v>
      </c>
      <c r="AG684">
        <v>0</v>
      </c>
      <c r="AH684">
        <v>0</v>
      </c>
      <c r="AI684" t="s">
        <v>51</v>
      </c>
      <c r="AJ684" t="s">
        <v>51</v>
      </c>
      <c r="AK684" t="s">
        <v>51</v>
      </c>
    </row>
    <row r="685" spans="1:37" x14ac:dyDescent="0.2">
      <c r="A685">
        <v>62837</v>
      </c>
      <c r="B685" t="s">
        <v>37</v>
      </c>
      <c r="C685" t="s">
        <v>38</v>
      </c>
      <c r="D685" t="s">
        <v>623</v>
      </c>
      <c r="E685" t="s">
        <v>624</v>
      </c>
      <c r="G685" s="4">
        <v>43948.025231481481</v>
      </c>
      <c r="H685" s="4">
        <v>43948.025231481481</v>
      </c>
      <c r="I685" t="s">
        <v>50</v>
      </c>
      <c r="J685" s="5">
        <v>0</v>
      </c>
      <c r="K685" t="s">
        <v>38</v>
      </c>
      <c r="M685">
        <v>62838</v>
      </c>
      <c r="N685" t="s">
        <v>624</v>
      </c>
      <c r="O685" t="s">
        <v>623</v>
      </c>
      <c r="P685" t="s">
        <v>38</v>
      </c>
      <c r="Q685" t="s">
        <v>50</v>
      </c>
      <c r="R685">
        <v>0</v>
      </c>
      <c r="S685" t="s">
        <v>45</v>
      </c>
      <c r="T685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5">
        <v>62839</v>
      </c>
      <c r="V685" t="s">
        <v>38</v>
      </c>
      <c r="W685" t="s">
        <v>50</v>
      </c>
      <c r="X685">
        <v>0</v>
      </c>
      <c r="Y685">
        <v>0</v>
      </c>
      <c r="Z685" t="s">
        <v>46</v>
      </c>
      <c r="AA685">
        <v>62846</v>
      </c>
      <c r="AB685" t="s">
        <v>977</v>
      </c>
      <c r="AC685" t="s">
        <v>103</v>
      </c>
      <c r="AD685" t="s">
        <v>38</v>
      </c>
      <c r="AE685" t="s">
        <v>49</v>
      </c>
      <c r="AF685" t="s">
        <v>50</v>
      </c>
      <c r="AG685">
        <v>0</v>
      </c>
      <c r="AH685">
        <v>0</v>
      </c>
      <c r="AI685" t="s">
        <v>51</v>
      </c>
      <c r="AJ685" t="s">
        <v>51</v>
      </c>
      <c r="AK685" t="s">
        <v>51</v>
      </c>
    </row>
    <row r="686" spans="1:37" x14ac:dyDescent="0.2">
      <c r="A686">
        <v>62837</v>
      </c>
      <c r="B686" t="s">
        <v>37</v>
      </c>
      <c r="C686" t="s">
        <v>38</v>
      </c>
      <c r="D686" t="s">
        <v>623</v>
      </c>
      <c r="E686" t="s">
        <v>624</v>
      </c>
      <c r="G686" s="4">
        <v>43948.025231481481</v>
      </c>
      <c r="H686" s="4">
        <v>43948.025231481481</v>
      </c>
      <c r="I686" t="s">
        <v>50</v>
      </c>
      <c r="J686" s="5">
        <v>0</v>
      </c>
      <c r="K686" t="s">
        <v>38</v>
      </c>
      <c r="M686">
        <v>62838</v>
      </c>
      <c r="N686" t="s">
        <v>624</v>
      </c>
      <c r="O686" t="s">
        <v>623</v>
      </c>
      <c r="P686" t="s">
        <v>38</v>
      </c>
      <c r="Q686" t="s">
        <v>50</v>
      </c>
      <c r="R686">
        <v>0</v>
      </c>
      <c r="S686" t="s">
        <v>45</v>
      </c>
      <c r="T686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6">
        <v>62839</v>
      </c>
      <c r="V686" t="s">
        <v>38</v>
      </c>
      <c r="W686" t="s">
        <v>50</v>
      </c>
      <c r="X686">
        <v>0</v>
      </c>
      <c r="Y686">
        <v>0</v>
      </c>
      <c r="Z686" t="s">
        <v>46</v>
      </c>
      <c r="AA686">
        <v>62845</v>
      </c>
      <c r="AB686" t="s">
        <v>978</v>
      </c>
      <c r="AC686" t="s">
        <v>103</v>
      </c>
      <c r="AD686" t="s">
        <v>38</v>
      </c>
      <c r="AE686" t="s">
        <v>49</v>
      </c>
      <c r="AF686" t="s">
        <v>50</v>
      </c>
      <c r="AG686">
        <v>0</v>
      </c>
      <c r="AH686">
        <v>0</v>
      </c>
      <c r="AI686" t="s">
        <v>51</v>
      </c>
      <c r="AJ686" t="s">
        <v>51</v>
      </c>
      <c r="AK686" t="s">
        <v>51</v>
      </c>
    </row>
    <row r="687" spans="1:37" x14ac:dyDescent="0.2">
      <c r="A687">
        <v>62837</v>
      </c>
      <c r="B687" t="s">
        <v>37</v>
      </c>
      <c r="C687" t="s">
        <v>38</v>
      </c>
      <c r="D687" t="s">
        <v>623</v>
      </c>
      <c r="E687" t="s">
        <v>624</v>
      </c>
      <c r="G687" s="4">
        <v>43948.025231481481</v>
      </c>
      <c r="H687" s="4">
        <v>43948.025231481481</v>
      </c>
      <c r="I687" t="s">
        <v>50</v>
      </c>
      <c r="J687" s="5">
        <v>0</v>
      </c>
      <c r="K687" t="s">
        <v>38</v>
      </c>
      <c r="M687">
        <v>62838</v>
      </c>
      <c r="N687" t="s">
        <v>624</v>
      </c>
      <c r="O687" t="s">
        <v>623</v>
      </c>
      <c r="P687" t="s">
        <v>38</v>
      </c>
      <c r="Q687" t="s">
        <v>50</v>
      </c>
      <c r="R687">
        <v>0</v>
      </c>
      <c r="S687" t="s">
        <v>45</v>
      </c>
      <c r="T687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7">
        <v>62839</v>
      </c>
      <c r="V687" t="s">
        <v>38</v>
      </c>
      <c r="W687" t="s">
        <v>50</v>
      </c>
      <c r="X687">
        <v>0</v>
      </c>
      <c r="Y687">
        <v>0</v>
      </c>
      <c r="Z687" t="s">
        <v>46</v>
      </c>
      <c r="AA687">
        <v>62844</v>
      </c>
      <c r="AB687" t="s">
        <v>979</v>
      </c>
      <c r="AC687" t="s">
        <v>103</v>
      </c>
      <c r="AD687" t="s">
        <v>38</v>
      </c>
      <c r="AE687" t="s">
        <v>49</v>
      </c>
      <c r="AF687" t="s">
        <v>50</v>
      </c>
      <c r="AG687">
        <v>0</v>
      </c>
      <c r="AH687">
        <v>0</v>
      </c>
      <c r="AI687" t="s">
        <v>51</v>
      </c>
      <c r="AJ687" t="s">
        <v>51</v>
      </c>
      <c r="AK687" t="s">
        <v>51</v>
      </c>
    </row>
    <row r="688" spans="1:37" x14ac:dyDescent="0.2">
      <c r="A688">
        <v>62837</v>
      </c>
      <c r="B688" t="s">
        <v>37</v>
      </c>
      <c r="C688" t="s">
        <v>38</v>
      </c>
      <c r="D688" t="s">
        <v>623</v>
      </c>
      <c r="E688" t="s">
        <v>624</v>
      </c>
      <c r="G688" s="4">
        <v>43948.025231481481</v>
      </c>
      <c r="H688" s="4">
        <v>43948.025231481481</v>
      </c>
      <c r="I688" t="s">
        <v>50</v>
      </c>
      <c r="J688" s="5">
        <v>0</v>
      </c>
      <c r="K688" t="s">
        <v>38</v>
      </c>
      <c r="M688">
        <v>62838</v>
      </c>
      <c r="N688" t="s">
        <v>624</v>
      </c>
      <c r="O688" t="s">
        <v>623</v>
      </c>
      <c r="P688" t="s">
        <v>38</v>
      </c>
      <c r="Q688" t="s">
        <v>50</v>
      </c>
      <c r="R688">
        <v>0</v>
      </c>
      <c r="S688" t="s">
        <v>45</v>
      </c>
      <c r="T688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8">
        <v>62839</v>
      </c>
      <c r="V688" t="s">
        <v>38</v>
      </c>
      <c r="W688" t="s">
        <v>50</v>
      </c>
      <c r="X688">
        <v>0</v>
      </c>
      <c r="Y688">
        <v>0</v>
      </c>
      <c r="Z688" t="s">
        <v>46</v>
      </c>
      <c r="AA688">
        <v>62843</v>
      </c>
      <c r="AB688" t="s">
        <v>980</v>
      </c>
      <c r="AC688" t="s">
        <v>103</v>
      </c>
      <c r="AD688" t="s">
        <v>38</v>
      </c>
      <c r="AE688" t="s">
        <v>49</v>
      </c>
      <c r="AF688" t="s">
        <v>50</v>
      </c>
      <c r="AG688">
        <v>0</v>
      </c>
      <c r="AH688">
        <v>0</v>
      </c>
      <c r="AI688" t="s">
        <v>51</v>
      </c>
      <c r="AJ688" t="s">
        <v>51</v>
      </c>
      <c r="AK688" t="s">
        <v>51</v>
      </c>
    </row>
    <row r="689" spans="1:37" x14ac:dyDescent="0.2">
      <c r="A689">
        <v>62837</v>
      </c>
      <c r="B689" t="s">
        <v>37</v>
      </c>
      <c r="C689" t="s">
        <v>38</v>
      </c>
      <c r="D689" t="s">
        <v>623</v>
      </c>
      <c r="E689" t="s">
        <v>624</v>
      </c>
      <c r="G689" s="4">
        <v>43948.025231481481</v>
      </c>
      <c r="H689" s="4">
        <v>43948.025231481481</v>
      </c>
      <c r="I689" t="s">
        <v>50</v>
      </c>
      <c r="J689" s="5">
        <v>0</v>
      </c>
      <c r="K689" t="s">
        <v>38</v>
      </c>
      <c r="M689">
        <v>62838</v>
      </c>
      <c r="N689" t="s">
        <v>624</v>
      </c>
      <c r="O689" t="s">
        <v>623</v>
      </c>
      <c r="P689" t="s">
        <v>38</v>
      </c>
      <c r="Q689" t="s">
        <v>50</v>
      </c>
      <c r="R689">
        <v>0</v>
      </c>
      <c r="S689" t="s">
        <v>45</v>
      </c>
      <c r="T689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89">
        <v>62839</v>
      </c>
      <c r="V689" t="s">
        <v>38</v>
      </c>
      <c r="W689" t="s">
        <v>50</v>
      </c>
      <c r="X689">
        <v>0</v>
      </c>
      <c r="Y689">
        <v>0</v>
      </c>
      <c r="Z689" t="s">
        <v>46</v>
      </c>
      <c r="AA689">
        <v>62842</v>
      </c>
      <c r="AB689" t="s">
        <v>981</v>
      </c>
      <c r="AC689" t="s">
        <v>103</v>
      </c>
      <c r="AD689" t="s">
        <v>38</v>
      </c>
      <c r="AE689" t="s">
        <v>49</v>
      </c>
      <c r="AF689" t="s">
        <v>50</v>
      </c>
      <c r="AG689">
        <v>0</v>
      </c>
      <c r="AH689">
        <v>0</v>
      </c>
      <c r="AI689" t="s">
        <v>51</v>
      </c>
      <c r="AJ689" t="s">
        <v>51</v>
      </c>
      <c r="AK689" t="s">
        <v>51</v>
      </c>
    </row>
    <row r="690" spans="1:37" x14ac:dyDescent="0.2">
      <c r="A690">
        <v>62837</v>
      </c>
      <c r="B690" t="s">
        <v>37</v>
      </c>
      <c r="C690" t="s">
        <v>38</v>
      </c>
      <c r="D690" t="s">
        <v>623</v>
      </c>
      <c r="E690" t="s">
        <v>624</v>
      </c>
      <c r="G690" s="4">
        <v>43948.025231481481</v>
      </c>
      <c r="H690" s="4">
        <v>43948.025231481481</v>
      </c>
      <c r="I690" t="s">
        <v>50</v>
      </c>
      <c r="J690" s="5">
        <v>0</v>
      </c>
      <c r="K690" t="s">
        <v>38</v>
      </c>
      <c r="M690">
        <v>62838</v>
      </c>
      <c r="N690" t="s">
        <v>624</v>
      </c>
      <c r="O690" t="s">
        <v>623</v>
      </c>
      <c r="P690" t="s">
        <v>38</v>
      </c>
      <c r="Q690" t="s">
        <v>50</v>
      </c>
      <c r="R690">
        <v>0</v>
      </c>
      <c r="S690" t="s">
        <v>45</v>
      </c>
      <c r="T690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90">
        <v>62839</v>
      </c>
      <c r="V690" t="s">
        <v>38</v>
      </c>
      <c r="W690" t="s">
        <v>50</v>
      </c>
      <c r="X690">
        <v>0</v>
      </c>
      <c r="Y690">
        <v>0</v>
      </c>
      <c r="Z690" t="s">
        <v>46</v>
      </c>
      <c r="AA690">
        <v>62841</v>
      </c>
      <c r="AB690" t="s">
        <v>982</v>
      </c>
      <c r="AC690" t="s">
        <v>103</v>
      </c>
      <c r="AD690" t="s">
        <v>38</v>
      </c>
      <c r="AE690" t="s">
        <v>49</v>
      </c>
      <c r="AF690" t="s">
        <v>50</v>
      </c>
      <c r="AG690">
        <v>0</v>
      </c>
      <c r="AH690">
        <v>0</v>
      </c>
      <c r="AI690" t="s">
        <v>51</v>
      </c>
      <c r="AJ690" t="s">
        <v>51</v>
      </c>
      <c r="AK690" t="s">
        <v>51</v>
      </c>
    </row>
    <row r="691" spans="1:37" x14ac:dyDescent="0.2">
      <c r="A691">
        <v>62837</v>
      </c>
      <c r="B691" t="s">
        <v>37</v>
      </c>
      <c r="C691" t="s">
        <v>38</v>
      </c>
      <c r="D691" t="s">
        <v>623</v>
      </c>
      <c r="E691" t="s">
        <v>624</v>
      </c>
      <c r="G691" s="4">
        <v>43948.025231481481</v>
      </c>
      <c r="H691" s="4">
        <v>43948.025231481481</v>
      </c>
      <c r="I691" t="s">
        <v>50</v>
      </c>
      <c r="J691" s="5">
        <v>0</v>
      </c>
      <c r="K691" t="s">
        <v>38</v>
      </c>
      <c r="M691">
        <v>62838</v>
      </c>
      <c r="N691" t="s">
        <v>624</v>
      </c>
      <c r="O691" t="s">
        <v>623</v>
      </c>
      <c r="P691" t="s">
        <v>38</v>
      </c>
      <c r="Q691" t="s">
        <v>50</v>
      </c>
      <c r="R691">
        <v>0</v>
      </c>
      <c r="S691" t="s">
        <v>45</v>
      </c>
      <c r="T691" t="str" s="2">
        <f>=HYPERLINK("http://demo.enginatics.com:80/ecc/user/applications/log/62837.log","http://demo.enginatics.com:80/ecc/user/applications/log/62837.log")</f>
        <v>"http://demo.enginatics.com:80/ecc/user/applications/log/62837.log")</v>
      </c>
      <c r="U691">
        <v>62839</v>
      </c>
      <c r="V691" t="s">
        <v>38</v>
      </c>
      <c r="W691" t="s">
        <v>50</v>
      </c>
      <c r="X691">
        <v>0</v>
      </c>
      <c r="Y691">
        <v>0</v>
      </c>
      <c r="Z691" t="s">
        <v>46</v>
      </c>
      <c r="AA691">
        <v>62840</v>
      </c>
      <c r="AB691" t="s">
        <v>983</v>
      </c>
      <c r="AC691" t="s">
        <v>103</v>
      </c>
      <c r="AD691" t="s">
        <v>38</v>
      </c>
      <c r="AE691" t="s">
        <v>49</v>
      </c>
      <c r="AF691" t="s">
        <v>50</v>
      </c>
      <c r="AG691">
        <v>0</v>
      </c>
      <c r="AH691">
        <v>0</v>
      </c>
      <c r="AI691" t="s">
        <v>51</v>
      </c>
      <c r="AJ691" t="s">
        <v>51</v>
      </c>
      <c r="AK691" t="s">
        <v>51</v>
      </c>
    </row>
    <row r="692" spans="1:37" x14ac:dyDescent="0.2">
      <c r="A692">
        <v>62827</v>
      </c>
      <c r="B692" t="s">
        <v>37</v>
      </c>
      <c r="C692" t="s">
        <v>38</v>
      </c>
      <c r="D692" t="s">
        <v>641</v>
      </c>
      <c r="E692" t="s">
        <v>40</v>
      </c>
      <c r="G692" s="4">
        <v>43948.022349537037</v>
      </c>
      <c r="H692" s="4">
        <v>43948.022361111111</v>
      </c>
      <c r="I692" t="s">
        <v>50</v>
      </c>
      <c r="J692" s="5">
        <v>.9999999999999999999999999999999999999996</v>
      </c>
      <c r="K692" t="s">
        <v>38</v>
      </c>
      <c r="M692">
        <v>62834</v>
      </c>
      <c r="N692" t="s">
        <v>642</v>
      </c>
      <c r="O692" t="s">
        <v>643</v>
      </c>
      <c r="P692" t="s">
        <v>38</v>
      </c>
      <c r="Q692" t="s">
        <v>50</v>
      </c>
      <c r="R692">
        <v>0</v>
      </c>
      <c r="S692" t="s">
        <v>45</v>
      </c>
      <c r="T692" t="str" s="2">
        <f>=HYPERLINK("http://demo.enginatics.com:80/ecc/user/applications/log/62827.log","http://demo.enginatics.com:80/ecc/user/applications/log/62827.log")</f>
        <v>"http://demo.enginatics.com:80/ecc/user/applications/log/62827.log")</v>
      </c>
      <c r="U692">
        <v>62835</v>
      </c>
      <c r="V692" t="s">
        <v>38</v>
      </c>
      <c r="W692" t="s">
        <v>50</v>
      </c>
      <c r="X692">
        <v>0</v>
      </c>
      <c r="Y692">
        <v>0</v>
      </c>
      <c r="Z692" t="s">
        <v>46</v>
      </c>
      <c r="AA692">
        <v>62836</v>
      </c>
      <c r="AB692" t="s">
        <v>984</v>
      </c>
      <c r="AC692" t="s">
        <v>68</v>
      </c>
      <c r="AD692" t="s">
        <v>38</v>
      </c>
      <c r="AE692" t="s">
        <v>49</v>
      </c>
      <c r="AF692" t="s">
        <v>50</v>
      </c>
      <c r="AG692">
        <v>0</v>
      </c>
      <c r="AH692">
        <v>0</v>
      </c>
      <c r="AI692" t="s">
        <v>51</v>
      </c>
      <c r="AJ692" t="s">
        <v>51</v>
      </c>
      <c r="AK692" t="s">
        <v>51</v>
      </c>
    </row>
    <row r="693" spans="1:37" x14ac:dyDescent="0.2">
      <c r="A693">
        <v>62827</v>
      </c>
      <c r="B693" t="s">
        <v>37</v>
      </c>
      <c r="C693" t="s">
        <v>38</v>
      </c>
      <c r="D693" t="s">
        <v>641</v>
      </c>
      <c r="E693" t="s">
        <v>40</v>
      </c>
      <c r="G693" s="4">
        <v>43948.022349537037</v>
      </c>
      <c r="H693" s="4">
        <v>43948.022361111111</v>
      </c>
      <c r="I693" t="s">
        <v>50</v>
      </c>
      <c r="J693" s="5">
        <v>.9999999999999999999999999999999999999996</v>
      </c>
      <c r="K693" t="s">
        <v>38</v>
      </c>
      <c r="M693">
        <v>62831</v>
      </c>
      <c r="N693" t="s">
        <v>645</v>
      </c>
      <c r="O693" t="s">
        <v>646</v>
      </c>
      <c r="P693" t="s">
        <v>38</v>
      </c>
      <c r="Q693" t="s">
        <v>50</v>
      </c>
      <c r="R693">
        <v>.9999999999999999999999999999999999999996</v>
      </c>
      <c r="S693" t="s">
        <v>45</v>
      </c>
      <c r="T693" t="str" s="2">
        <f>=HYPERLINK("http://demo.enginatics.com:80/ecc/user/applications/log/62827.log","http://demo.enginatics.com:80/ecc/user/applications/log/62827.log")</f>
        <v>"http://demo.enginatics.com:80/ecc/user/applications/log/62827.log")</v>
      </c>
      <c r="U693">
        <v>62832</v>
      </c>
      <c r="V693" t="s">
        <v>38</v>
      </c>
      <c r="W693" t="s">
        <v>50</v>
      </c>
      <c r="X693">
        <v>.9999999999999999999999999999999999999996</v>
      </c>
      <c r="Y693">
        <v>0</v>
      </c>
      <c r="Z693" t="s">
        <v>46</v>
      </c>
      <c r="AA693">
        <v>62833</v>
      </c>
      <c r="AB693" t="s">
        <v>985</v>
      </c>
      <c r="AC693" t="s">
        <v>68</v>
      </c>
      <c r="AD693" t="s">
        <v>38</v>
      </c>
      <c r="AE693" t="s">
        <v>49</v>
      </c>
      <c r="AF693" t="s">
        <v>50</v>
      </c>
      <c r="AG693">
        <v>.9999999999999999999999999999999999999996</v>
      </c>
      <c r="AH693">
        <v>0</v>
      </c>
      <c r="AI693" t="s">
        <v>51</v>
      </c>
      <c r="AJ693" t="s">
        <v>51</v>
      </c>
      <c r="AK693" t="s">
        <v>51</v>
      </c>
    </row>
    <row r="694" spans="1:37" x14ac:dyDescent="0.2">
      <c r="A694">
        <v>62827</v>
      </c>
      <c r="B694" t="s">
        <v>37</v>
      </c>
      <c r="C694" t="s">
        <v>38</v>
      </c>
      <c r="D694" t="s">
        <v>641</v>
      </c>
      <c r="E694" t="s">
        <v>40</v>
      </c>
      <c r="G694" s="4">
        <v>43948.022349537037</v>
      </c>
      <c r="H694" s="4">
        <v>43948.022361111111</v>
      </c>
      <c r="I694" t="s">
        <v>50</v>
      </c>
      <c r="J694" s="5">
        <v>.9999999999999999999999999999999999999996</v>
      </c>
      <c r="K694" t="s">
        <v>38</v>
      </c>
      <c r="M694">
        <v>62828</v>
      </c>
      <c r="N694" t="s">
        <v>648</v>
      </c>
      <c r="O694" t="s">
        <v>649</v>
      </c>
      <c r="P694" t="s">
        <v>38</v>
      </c>
      <c r="Q694" t="s">
        <v>50</v>
      </c>
      <c r="R694">
        <v>0</v>
      </c>
      <c r="S694" t="s">
        <v>45</v>
      </c>
      <c r="T694" t="str" s="2">
        <f>=HYPERLINK("http://demo.enginatics.com:80/ecc/user/applications/log/62827.log","http://demo.enginatics.com:80/ecc/user/applications/log/62827.log")</f>
        <v>"http://demo.enginatics.com:80/ecc/user/applications/log/62827.log")</v>
      </c>
      <c r="U694">
        <v>62829</v>
      </c>
      <c r="V694" t="s">
        <v>38</v>
      </c>
      <c r="W694" t="s">
        <v>50</v>
      </c>
      <c r="X694">
        <v>0</v>
      </c>
      <c r="Y694">
        <v>0</v>
      </c>
      <c r="Z694" t="s">
        <v>46</v>
      </c>
      <c r="AA694">
        <v>62830</v>
      </c>
      <c r="AB694" t="s">
        <v>986</v>
      </c>
      <c r="AC694" t="s">
        <v>68</v>
      </c>
      <c r="AD694" t="s">
        <v>38</v>
      </c>
      <c r="AE694" t="s">
        <v>49</v>
      </c>
      <c r="AF694" t="s">
        <v>50</v>
      </c>
      <c r="AG694">
        <v>0</v>
      </c>
      <c r="AH694">
        <v>0</v>
      </c>
      <c r="AI694" t="s">
        <v>51</v>
      </c>
      <c r="AJ694" t="s">
        <v>51</v>
      </c>
      <c r="AK694" t="s">
        <v>51</v>
      </c>
    </row>
    <row r="695" spans="1:37" x14ac:dyDescent="0.2">
      <c r="A695">
        <v>62805</v>
      </c>
      <c r="B695" t="s">
        <v>37</v>
      </c>
      <c r="C695" t="s">
        <v>38</v>
      </c>
      <c r="D695" t="s">
        <v>651</v>
      </c>
      <c r="E695" t="s">
        <v>40</v>
      </c>
      <c r="G695" s="4">
        <v>43948.01525462963</v>
      </c>
      <c r="H695" s="4">
        <v>43948.015324074074</v>
      </c>
      <c r="I695" t="s">
        <v>75</v>
      </c>
      <c r="J695" s="5">
        <v>6</v>
      </c>
      <c r="K695" t="s">
        <v>38</v>
      </c>
      <c r="M695">
        <v>62824</v>
      </c>
      <c r="N695" t="s">
        <v>653</v>
      </c>
      <c r="O695" t="s">
        <v>654</v>
      </c>
      <c r="P695" t="s">
        <v>38</v>
      </c>
      <c r="Q695" t="s">
        <v>44</v>
      </c>
      <c r="R695">
        <v>4</v>
      </c>
      <c r="S695" t="s">
        <v>45</v>
      </c>
      <c r="T695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695">
        <v>62825</v>
      </c>
      <c r="V695" t="s">
        <v>38</v>
      </c>
      <c r="W695" t="s">
        <v>44</v>
      </c>
      <c r="X695">
        <v>4</v>
      </c>
      <c r="Y695">
        <v>0</v>
      </c>
      <c r="Z695" t="s">
        <v>46</v>
      </c>
      <c r="AA695">
        <v>62826</v>
      </c>
      <c r="AB695" t="s">
        <v>655</v>
      </c>
      <c r="AC695" t="s">
        <v>48</v>
      </c>
      <c r="AD695" t="s">
        <v>38</v>
      </c>
      <c r="AE695" t="s">
        <v>49</v>
      </c>
      <c r="AF695" t="s">
        <v>44</v>
      </c>
      <c r="AG695">
        <v>4</v>
      </c>
      <c r="AH695">
        <v>3</v>
      </c>
      <c r="AI695" t="s">
        <v>51</v>
      </c>
      <c r="AJ695" t="s">
        <v>51</v>
      </c>
      <c r="AK695" t="s">
        <v>51</v>
      </c>
    </row>
    <row r="696" spans="1:37" x14ac:dyDescent="0.2">
      <c r="A696">
        <v>62805</v>
      </c>
      <c r="B696" t="s">
        <v>37</v>
      </c>
      <c r="C696" t="s">
        <v>38</v>
      </c>
      <c r="D696" t="s">
        <v>651</v>
      </c>
      <c r="E696" t="s">
        <v>40</v>
      </c>
      <c r="G696" s="4">
        <v>43948.01525462963</v>
      </c>
      <c r="H696" s="4">
        <v>43948.015324074074</v>
      </c>
      <c r="I696" t="s">
        <v>75</v>
      </c>
      <c r="J696" s="5">
        <v>6</v>
      </c>
      <c r="K696" t="s">
        <v>38</v>
      </c>
      <c r="M696">
        <v>62821</v>
      </c>
      <c r="N696" t="s">
        <v>656</v>
      </c>
      <c r="O696" t="s">
        <v>657</v>
      </c>
      <c r="P696" t="s">
        <v>38</v>
      </c>
      <c r="Q696" t="s">
        <v>50</v>
      </c>
      <c r="R696">
        <v>.9999999999999999999999999999999999999996</v>
      </c>
      <c r="S696" t="s">
        <v>45</v>
      </c>
      <c r="T696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696">
        <v>62822</v>
      </c>
      <c r="V696" t="s">
        <v>38</v>
      </c>
      <c r="W696" t="s">
        <v>50</v>
      </c>
      <c r="X696">
        <v>.9999999999999999999999999999999999999996</v>
      </c>
      <c r="Y696">
        <v>0</v>
      </c>
      <c r="Z696" t="s">
        <v>46</v>
      </c>
      <c r="AA696">
        <v>62823</v>
      </c>
      <c r="AB696" t="s">
        <v>658</v>
      </c>
      <c r="AC696" t="s">
        <v>48</v>
      </c>
      <c r="AD696" t="s">
        <v>38</v>
      </c>
      <c r="AE696" t="s">
        <v>49</v>
      </c>
      <c r="AF696" t="s">
        <v>50</v>
      </c>
      <c r="AG696">
        <v>.9999999999999999999999999999999999999996</v>
      </c>
      <c r="AH696">
        <v>1</v>
      </c>
      <c r="AI696" t="s">
        <v>51</v>
      </c>
      <c r="AJ696" t="s">
        <v>51</v>
      </c>
      <c r="AK696" t="s">
        <v>51</v>
      </c>
    </row>
    <row r="697" spans="1:37" x14ac:dyDescent="0.2">
      <c r="A697">
        <v>62805</v>
      </c>
      <c r="B697" t="s">
        <v>37</v>
      </c>
      <c r="C697" t="s">
        <v>38</v>
      </c>
      <c r="D697" t="s">
        <v>651</v>
      </c>
      <c r="E697" t="s">
        <v>40</v>
      </c>
      <c r="G697" s="4">
        <v>43948.01525462963</v>
      </c>
      <c r="H697" s="4">
        <v>43948.015324074074</v>
      </c>
      <c r="I697" t="s">
        <v>75</v>
      </c>
      <c r="J697" s="5">
        <v>6</v>
      </c>
      <c r="K697" t="s">
        <v>38</v>
      </c>
      <c r="M697">
        <v>62818</v>
      </c>
      <c r="N697" t="s">
        <v>659</v>
      </c>
      <c r="O697" t="s">
        <v>660</v>
      </c>
      <c r="P697" t="s">
        <v>38</v>
      </c>
      <c r="Q697" t="s">
        <v>50</v>
      </c>
      <c r="R697">
        <v>0</v>
      </c>
      <c r="S697" t="s">
        <v>45</v>
      </c>
      <c r="T697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697">
        <v>62819</v>
      </c>
      <c r="V697" t="s">
        <v>38</v>
      </c>
      <c r="W697" t="s">
        <v>50</v>
      </c>
      <c r="X697">
        <v>0</v>
      </c>
      <c r="Y697">
        <v>0</v>
      </c>
      <c r="Z697" t="s">
        <v>46</v>
      </c>
      <c r="AA697">
        <v>62820</v>
      </c>
      <c r="AB697" t="s">
        <v>661</v>
      </c>
      <c r="AC697" t="s">
        <v>48</v>
      </c>
      <c r="AD697" t="s">
        <v>38</v>
      </c>
      <c r="AE697" t="s">
        <v>49</v>
      </c>
      <c r="AF697" t="s">
        <v>50</v>
      </c>
      <c r="AG697">
        <v>0</v>
      </c>
      <c r="AH697">
        <v>0</v>
      </c>
      <c r="AI697" t="s">
        <v>51</v>
      </c>
      <c r="AJ697" t="s">
        <v>51</v>
      </c>
      <c r="AK697" t="s">
        <v>51</v>
      </c>
    </row>
    <row r="698" spans="1:37" x14ac:dyDescent="0.2">
      <c r="A698">
        <v>62805</v>
      </c>
      <c r="B698" t="s">
        <v>37</v>
      </c>
      <c r="C698" t="s">
        <v>38</v>
      </c>
      <c r="D698" t="s">
        <v>651</v>
      </c>
      <c r="E698" t="s">
        <v>40</v>
      </c>
      <c r="G698" s="4">
        <v>43948.01525462963</v>
      </c>
      <c r="H698" s="4">
        <v>43948.015324074074</v>
      </c>
      <c r="I698" t="s">
        <v>75</v>
      </c>
      <c r="J698" s="5">
        <v>6</v>
      </c>
      <c r="K698" t="s">
        <v>38</v>
      </c>
      <c r="M698">
        <v>62815</v>
      </c>
      <c r="N698" t="s">
        <v>662</v>
      </c>
      <c r="O698" t="s">
        <v>663</v>
      </c>
      <c r="P698" t="s">
        <v>38</v>
      </c>
      <c r="Q698" t="s">
        <v>50</v>
      </c>
      <c r="R698">
        <v>0</v>
      </c>
      <c r="S698" t="s">
        <v>45</v>
      </c>
      <c r="T698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698">
        <v>62816</v>
      </c>
      <c r="V698" t="s">
        <v>38</v>
      </c>
      <c r="W698" t="s">
        <v>50</v>
      </c>
      <c r="X698">
        <v>0</v>
      </c>
      <c r="Y698">
        <v>0</v>
      </c>
      <c r="Z698" t="s">
        <v>46</v>
      </c>
      <c r="AA698">
        <v>62817</v>
      </c>
      <c r="AB698" t="s">
        <v>664</v>
      </c>
      <c r="AC698" t="s">
        <v>48</v>
      </c>
      <c r="AD698" t="s">
        <v>38</v>
      </c>
      <c r="AE698" t="s">
        <v>49</v>
      </c>
      <c r="AF698" t="s">
        <v>50</v>
      </c>
      <c r="AG698">
        <v>0</v>
      </c>
      <c r="AH698">
        <v>0</v>
      </c>
      <c r="AI698" t="s">
        <v>51</v>
      </c>
      <c r="AJ698" t="s">
        <v>51</v>
      </c>
      <c r="AK698" t="s">
        <v>51</v>
      </c>
    </row>
    <row r="699" spans="1:37" x14ac:dyDescent="0.2">
      <c r="A699">
        <v>62805</v>
      </c>
      <c r="B699" t="s">
        <v>37</v>
      </c>
      <c r="C699" t="s">
        <v>38</v>
      </c>
      <c r="D699" t="s">
        <v>651</v>
      </c>
      <c r="E699" t="s">
        <v>40</v>
      </c>
      <c r="G699" s="4">
        <v>43948.01525462963</v>
      </c>
      <c r="H699" s="4">
        <v>43948.015324074074</v>
      </c>
      <c r="I699" t="s">
        <v>75</v>
      </c>
      <c r="J699" s="5">
        <v>6</v>
      </c>
      <c r="K699" t="s">
        <v>38</v>
      </c>
      <c r="M699">
        <v>62812</v>
      </c>
      <c r="N699" t="s">
        <v>665</v>
      </c>
      <c r="O699" t="s">
        <v>666</v>
      </c>
      <c r="P699" t="s">
        <v>38</v>
      </c>
      <c r="Q699" t="s">
        <v>50</v>
      </c>
      <c r="R699">
        <v>.9999999999999999999999999999999999999996</v>
      </c>
      <c r="S699" t="s">
        <v>45</v>
      </c>
      <c r="T699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699">
        <v>62813</v>
      </c>
      <c r="V699" t="s">
        <v>38</v>
      </c>
      <c r="W699" t="s">
        <v>50</v>
      </c>
      <c r="X699">
        <v>.9999999999999999999999999999999999999996</v>
      </c>
      <c r="Y699">
        <v>0</v>
      </c>
      <c r="Z699" t="s">
        <v>46</v>
      </c>
      <c r="AA699">
        <v>62814</v>
      </c>
      <c r="AB699" t="s">
        <v>667</v>
      </c>
      <c r="AC699" t="s">
        <v>48</v>
      </c>
      <c r="AD699" t="s">
        <v>38</v>
      </c>
      <c r="AE699" t="s">
        <v>49</v>
      </c>
      <c r="AF699" t="s">
        <v>50</v>
      </c>
      <c r="AG699">
        <v>.9999999999999999999999999999999999999996</v>
      </c>
      <c r="AH699">
        <v>0</v>
      </c>
      <c r="AI699" t="s">
        <v>51</v>
      </c>
      <c r="AJ699" t="s">
        <v>51</v>
      </c>
      <c r="AK699" t="s">
        <v>51</v>
      </c>
    </row>
    <row r="700" spans="1:37" x14ac:dyDescent="0.2">
      <c r="A700">
        <v>62805</v>
      </c>
      <c r="B700" t="s">
        <v>37</v>
      </c>
      <c r="C700" t="s">
        <v>38</v>
      </c>
      <c r="D700" t="s">
        <v>651</v>
      </c>
      <c r="E700" t="s">
        <v>40</v>
      </c>
      <c r="G700" s="4">
        <v>43948.01525462963</v>
      </c>
      <c r="H700" s="4">
        <v>43948.015324074074</v>
      </c>
      <c r="I700" t="s">
        <v>75</v>
      </c>
      <c r="J700" s="5">
        <v>6</v>
      </c>
      <c r="K700" t="s">
        <v>38</v>
      </c>
      <c r="M700">
        <v>62809</v>
      </c>
      <c r="N700" t="s">
        <v>668</v>
      </c>
      <c r="O700" t="s">
        <v>669</v>
      </c>
      <c r="P700" t="s">
        <v>38</v>
      </c>
      <c r="Q700" t="s">
        <v>50</v>
      </c>
      <c r="R700">
        <v>0</v>
      </c>
      <c r="S700" t="s">
        <v>45</v>
      </c>
      <c r="T700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700">
        <v>62810</v>
      </c>
      <c r="V700" t="s">
        <v>38</v>
      </c>
      <c r="W700" t="s">
        <v>50</v>
      </c>
      <c r="X700">
        <v>0</v>
      </c>
      <c r="Y700">
        <v>0</v>
      </c>
      <c r="Z700" t="s">
        <v>46</v>
      </c>
      <c r="AA700">
        <v>62811</v>
      </c>
      <c r="AB700" t="s">
        <v>670</v>
      </c>
      <c r="AC700" t="s">
        <v>48</v>
      </c>
      <c r="AD700" t="s">
        <v>38</v>
      </c>
      <c r="AE700" t="s">
        <v>49</v>
      </c>
      <c r="AF700" t="s">
        <v>50</v>
      </c>
      <c r="AG700">
        <v>0</v>
      </c>
      <c r="AH700">
        <v>0</v>
      </c>
      <c r="AI700" t="s">
        <v>51</v>
      </c>
      <c r="AJ700" t="s">
        <v>51</v>
      </c>
      <c r="AK700" t="s">
        <v>51</v>
      </c>
    </row>
    <row r="701" spans="1:37" x14ac:dyDescent="0.2">
      <c r="A701">
        <v>62805</v>
      </c>
      <c r="B701" t="s">
        <v>37</v>
      </c>
      <c r="C701" t="s">
        <v>38</v>
      </c>
      <c r="D701" t="s">
        <v>651</v>
      </c>
      <c r="E701" t="s">
        <v>40</v>
      </c>
      <c r="G701" s="4">
        <v>43948.01525462963</v>
      </c>
      <c r="H701" s="4">
        <v>43948.015324074074</v>
      </c>
      <c r="I701" t="s">
        <v>75</v>
      </c>
      <c r="J701" s="5">
        <v>6</v>
      </c>
      <c r="K701" t="s">
        <v>38</v>
      </c>
      <c r="M701">
        <v>62806</v>
      </c>
      <c r="N701" t="s">
        <v>671</v>
      </c>
      <c r="O701" t="s">
        <v>672</v>
      </c>
      <c r="P701" t="s">
        <v>38</v>
      </c>
      <c r="Q701" t="s">
        <v>50</v>
      </c>
      <c r="R701">
        <v>0</v>
      </c>
      <c r="S701" t="s">
        <v>45</v>
      </c>
      <c r="T701" t="str" s="2">
        <f>=HYPERLINK("http://demo.enginatics.com:80/ecc/user/applications/log/62805.log","http://demo.enginatics.com:80/ecc/user/applications/log/62805.log")</f>
        <v>"http://demo.enginatics.com:80/ecc/user/applications/log/62805.log")</v>
      </c>
      <c r="U701">
        <v>62807</v>
      </c>
      <c r="V701" t="s">
        <v>38</v>
      </c>
      <c r="W701" t="s">
        <v>50</v>
      </c>
      <c r="X701">
        <v>0</v>
      </c>
      <c r="Y701">
        <v>0</v>
      </c>
      <c r="Z701" t="s">
        <v>46</v>
      </c>
      <c r="AA701">
        <v>62808</v>
      </c>
      <c r="AB701" t="s">
        <v>673</v>
      </c>
      <c r="AC701" t="s">
        <v>48</v>
      </c>
      <c r="AD701" t="s">
        <v>38</v>
      </c>
      <c r="AE701" t="s">
        <v>49</v>
      </c>
      <c r="AF701" t="s">
        <v>50</v>
      </c>
      <c r="AG701">
        <v>0</v>
      </c>
      <c r="AH701">
        <v>0</v>
      </c>
      <c r="AI701" t="s">
        <v>51</v>
      </c>
      <c r="AJ701" t="s">
        <v>51</v>
      </c>
      <c r="AK701" t="s">
        <v>51</v>
      </c>
    </row>
    <row r="702" spans="1:37" x14ac:dyDescent="0.2">
      <c r="A702">
        <v>62632</v>
      </c>
      <c r="B702" t="s">
        <v>37</v>
      </c>
      <c r="C702" t="s">
        <v>38</v>
      </c>
      <c r="D702" t="s">
        <v>674</v>
      </c>
      <c r="E702" t="s">
        <v>40</v>
      </c>
      <c r="G702" s="4">
        <v>43948.009560185185</v>
      </c>
      <c r="H702" s="4">
        <v>43948.010231481481</v>
      </c>
      <c r="I702" t="s">
        <v>987</v>
      </c>
      <c r="J702" s="5">
        <v>57.99999999999999999999999999999999999997</v>
      </c>
      <c r="K702" t="s">
        <v>38</v>
      </c>
      <c r="M702">
        <v>62802</v>
      </c>
      <c r="N702" t="s">
        <v>676</v>
      </c>
      <c r="O702" t="s">
        <v>677</v>
      </c>
      <c r="P702" t="s">
        <v>38</v>
      </c>
      <c r="Q702" t="s">
        <v>78</v>
      </c>
      <c r="R702">
        <v>5</v>
      </c>
      <c r="S702" t="s">
        <v>45</v>
      </c>
      <c r="T70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2">
        <v>62803</v>
      </c>
      <c r="V702" t="s">
        <v>38</v>
      </c>
      <c r="W702" t="s">
        <v>78</v>
      </c>
      <c r="X702">
        <v>5</v>
      </c>
      <c r="Y702">
        <v>0</v>
      </c>
      <c r="Z702" t="s">
        <v>46</v>
      </c>
      <c r="AA702">
        <v>62804</v>
      </c>
      <c r="AB702" t="s">
        <v>678</v>
      </c>
      <c r="AC702" t="s">
        <v>48</v>
      </c>
      <c r="AD702" t="s">
        <v>38</v>
      </c>
      <c r="AE702" t="s">
        <v>988</v>
      </c>
      <c r="AF702" t="s">
        <v>78</v>
      </c>
      <c r="AG702">
        <v>5</v>
      </c>
      <c r="AH702">
        <v>0</v>
      </c>
      <c r="AI702" t="s">
        <v>989</v>
      </c>
      <c r="AJ702" t="s">
        <v>51</v>
      </c>
      <c r="AK702" t="s">
        <v>989</v>
      </c>
    </row>
    <row r="703" spans="1:37" x14ac:dyDescent="0.2">
      <c r="A703">
        <v>62632</v>
      </c>
      <c r="B703" t="s">
        <v>37</v>
      </c>
      <c r="C703" t="s">
        <v>38</v>
      </c>
      <c r="D703" t="s">
        <v>674</v>
      </c>
      <c r="E703" t="s">
        <v>40</v>
      </c>
      <c r="G703" s="4">
        <v>43948.009560185185</v>
      </c>
      <c r="H703" s="4">
        <v>43948.010231481481</v>
      </c>
      <c r="I703" t="s">
        <v>987</v>
      </c>
      <c r="J703" s="5">
        <v>57.99999999999999999999999999999999999997</v>
      </c>
      <c r="K703" t="s">
        <v>38</v>
      </c>
      <c r="M703">
        <v>62799</v>
      </c>
      <c r="N703" t="s">
        <v>681</v>
      </c>
      <c r="O703" t="s">
        <v>682</v>
      </c>
      <c r="P703" t="s">
        <v>38</v>
      </c>
      <c r="Q703" t="s">
        <v>75</v>
      </c>
      <c r="R703">
        <v>6</v>
      </c>
      <c r="S703" t="s">
        <v>45</v>
      </c>
      <c r="T70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3">
        <v>62800</v>
      </c>
      <c r="V703" t="s">
        <v>38</v>
      </c>
      <c r="W703" t="s">
        <v>75</v>
      </c>
      <c r="X703">
        <v>6</v>
      </c>
      <c r="Y703">
        <v>0</v>
      </c>
      <c r="Z703" t="s">
        <v>46</v>
      </c>
      <c r="AA703">
        <v>62801</v>
      </c>
      <c r="AB703" t="s">
        <v>683</v>
      </c>
      <c r="AC703" t="s">
        <v>48</v>
      </c>
      <c r="AD703" t="s">
        <v>38</v>
      </c>
      <c r="AE703" t="s">
        <v>990</v>
      </c>
      <c r="AF703" t="s">
        <v>75</v>
      </c>
      <c r="AG703">
        <v>6</v>
      </c>
      <c r="AH703">
        <v>0</v>
      </c>
      <c r="AI703" t="s">
        <v>991</v>
      </c>
      <c r="AJ703" t="s">
        <v>51</v>
      </c>
      <c r="AK703" t="s">
        <v>991</v>
      </c>
    </row>
    <row r="704" spans="1:37" x14ac:dyDescent="0.2">
      <c r="A704">
        <v>62632</v>
      </c>
      <c r="B704" t="s">
        <v>37</v>
      </c>
      <c r="C704" t="s">
        <v>38</v>
      </c>
      <c r="D704" t="s">
        <v>674</v>
      </c>
      <c r="E704" t="s">
        <v>40</v>
      </c>
      <c r="G704" s="4">
        <v>43948.009560185185</v>
      </c>
      <c r="H704" s="4">
        <v>43948.010231481481</v>
      </c>
      <c r="I704" t="s">
        <v>987</v>
      </c>
      <c r="J704" s="5">
        <v>57.99999999999999999999999999999999999997</v>
      </c>
      <c r="K704" t="s">
        <v>38</v>
      </c>
      <c r="M704">
        <v>62796</v>
      </c>
      <c r="N704" t="s">
        <v>686</v>
      </c>
      <c r="O704" t="s">
        <v>687</v>
      </c>
      <c r="P704" t="s">
        <v>38</v>
      </c>
      <c r="Q704" t="s">
        <v>78</v>
      </c>
      <c r="R704">
        <v>5</v>
      </c>
      <c r="S704" t="s">
        <v>45</v>
      </c>
      <c r="T70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4">
        <v>62797</v>
      </c>
      <c r="V704" t="s">
        <v>38</v>
      </c>
      <c r="W704" t="s">
        <v>78</v>
      </c>
      <c r="X704">
        <v>5</v>
      </c>
      <c r="Y704">
        <v>0</v>
      </c>
      <c r="Z704" t="s">
        <v>46</v>
      </c>
      <c r="AA704">
        <v>62798</v>
      </c>
      <c r="AB704" t="s">
        <v>688</v>
      </c>
      <c r="AC704" t="s">
        <v>48</v>
      </c>
      <c r="AD704" t="s">
        <v>38</v>
      </c>
      <c r="AE704" t="s">
        <v>689</v>
      </c>
      <c r="AF704" t="s">
        <v>78</v>
      </c>
      <c r="AG704">
        <v>5</v>
      </c>
      <c r="AH704">
        <v>0</v>
      </c>
      <c r="AI704" t="s">
        <v>690</v>
      </c>
      <c r="AJ704" t="s">
        <v>51</v>
      </c>
      <c r="AK704" t="s">
        <v>690</v>
      </c>
    </row>
    <row r="705" spans="1:37" x14ac:dyDescent="0.2">
      <c r="A705">
        <v>62632</v>
      </c>
      <c r="B705" t="s">
        <v>37</v>
      </c>
      <c r="C705" t="s">
        <v>38</v>
      </c>
      <c r="D705" t="s">
        <v>674</v>
      </c>
      <c r="E705" t="s">
        <v>40</v>
      </c>
      <c r="G705" s="4">
        <v>43948.009560185185</v>
      </c>
      <c r="H705" s="4">
        <v>43948.010231481481</v>
      </c>
      <c r="I705" t="s">
        <v>987</v>
      </c>
      <c r="J705" s="5">
        <v>57.99999999999999999999999999999999999997</v>
      </c>
      <c r="K705" t="s">
        <v>38</v>
      </c>
      <c r="M705">
        <v>62792</v>
      </c>
      <c r="N705" t="s">
        <v>691</v>
      </c>
      <c r="O705" t="s">
        <v>692</v>
      </c>
      <c r="P705" t="s">
        <v>38</v>
      </c>
      <c r="Q705" t="s">
        <v>693</v>
      </c>
      <c r="R705">
        <v>19.99999999999999999999999999999999999996</v>
      </c>
      <c r="S705" t="s">
        <v>45</v>
      </c>
      <c r="T70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5">
        <v>62793</v>
      </c>
      <c r="V705" t="s">
        <v>38</v>
      </c>
      <c r="W705" t="s">
        <v>693</v>
      </c>
      <c r="X705">
        <v>19.99999999999999999999999999999999999996</v>
      </c>
      <c r="Y705">
        <v>0</v>
      </c>
      <c r="Z705" t="s">
        <v>46</v>
      </c>
      <c r="AA705">
        <v>62795</v>
      </c>
      <c r="AB705" t="s">
        <v>694</v>
      </c>
      <c r="AC705" t="s">
        <v>103</v>
      </c>
      <c r="AD705" t="s">
        <v>38</v>
      </c>
      <c r="AE705" t="s">
        <v>992</v>
      </c>
      <c r="AF705" t="s">
        <v>300</v>
      </c>
      <c r="AG705">
        <v>10.00000000000000000000000000000000000002</v>
      </c>
      <c r="AH705">
        <v>7</v>
      </c>
      <c r="AI705" t="s">
        <v>993</v>
      </c>
      <c r="AJ705" t="s">
        <v>51</v>
      </c>
      <c r="AK705" t="s">
        <v>993</v>
      </c>
    </row>
    <row r="706" spans="1:37" x14ac:dyDescent="0.2">
      <c r="A706">
        <v>62632</v>
      </c>
      <c r="B706" t="s">
        <v>37</v>
      </c>
      <c r="C706" t="s">
        <v>38</v>
      </c>
      <c r="D706" t="s">
        <v>674</v>
      </c>
      <c r="E706" t="s">
        <v>40</v>
      </c>
      <c r="G706" s="4">
        <v>43948.009560185185</v>
      </c>
      <c r="H706" s="4">
        <v>43948.010231481481</v>
      </c>
      <c r="I706" t="s">
        <v>987</v>
      </c>
      <c r="J706" s="5">
        <v>57.99999999999999999999999999999999999997</v>
      </c>
      <c r="K706" t="s">
        <v>38</v>
      </c>
      <c r="M706">
        <v>62792</v>
      </c>
      <c r="N706" t="s">
        <v>691</v>
      </c>
      <c r="O706" t="s">
        <v>692</v>
      </c>
      <c r="P706" t="s">
        <v>38</v>
      </c>
      <c r="Q706" t="s">
        <v>693</v>
      </c>
      <c r="R706">
        <v>19.99999999999999999999999999999999999996</v>
      </c>
      <c r="S706" t="s">
        <v>45</v>
      </c>
      <c r="T70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6">
        <v>62793</v>
      </c>
      <c r="V706" t="s">
        <v>38</v>
      </c>
      <c r="W706" t="s">
        <v>693</v>
      </c>
      <c r="X706">
        <v>19.99999999999999999999999999999999999996</v>
      </c>
      <c r="Y706">
        <v>0</v>
      </c>
      <c r="Z706" t="s">
        <v>46</v>
      </c>
      <c r="AA706">
        <v>62794</v>
      </c>
      <c r="AB706" t="s">
        <v>697</v>
      </c>
      <c r="AC706" t="s">
        <v>48</v>
      </c>
      <c r="AD706" t="s">
        <v>38</v>
      </c>
      <c r="AE706" t="s">
        <v>992</v>
      </c>
      <c r="AF706" t="s">
        <v>300</v>
      </c>
      <c r="AG706">
        <v>10.00000000000000000000000000000000000002</v>
      </c>
      <c r="AH706">
        <v>9</v>
      </c>
      <c r="AI706" t="s">
        <v>993</v>
      </c>
      <c r="AJ706" t="s">
        <v>51</v>
      </c>
      <c r="AK706" t="s">
        <v>993</v>
      </c>
    </row>
    <row r="707" spans="1:37" x14ac:dyDescent="0.2">
      <c r="A707">
        <v>62632</v>
      </c>
      <c r="B707" t="s">
        <v>37</v>
      </c>
      <c r="C707" t="s">
        <v>38</v>
      </c>
      <c r="D707" t="s">
        <v>674</v>
      </c>
      <c r="E707" t="s">
        <v>40</v>
      </c>
      <c r="G707" s="4">
        <v>43948.009560185185</v>
      </c>
      <c r="H707" s="4">
        <v>43948.010231481481</v>
      </c>
      <c r="I707" t="s">
        <v>987</v>
      </c>
      <c r="J707" s="5">
        <v>57.99999999999999999999999999999999999997</v>
      </c>
      <c r="K707" t="s">
        <v>38</v>
      </c>
      <c r="M707">
        <v>62788</v>
      </c>
      <c r="N707" t="s">
        <v>698</v>
      </c>
      <c r="O707" t="s">
        <v>699</v>
      </c>
      <c r="P707" t="s">
        <v>38</v>
      </c>
      <c r="Q707" t="s">
        <v>238</v>
      </c>
      <c r="R707">
        <v>9.00000000000000000000000000000000000003</v>
      </c>
      <c r="S707" t="s">
        <v>45</v>
      </c>
      <c r="T70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7">
        <v>62789</v>
      </c>
      <c r="V707" t="s">
        <v>38</v>
      </c>
      <c r="W707" t="s">
        <v>238</v>
      </c>
      <c r="X707">
        <v>9.00000000000000000000000000000000000003</v>
      </c>
      <c r="Y707">
        <v>0</v>
      </c>
      <c r="Z707" t="s">
        <v>46</v>
      </c>
      <c r="AA707">
        <v>62791</v>
      </c>
      <c r="AB707" t="s">
        <v>700</v>
      </c>
      <c r="AC707" t="s">
        <v>103</v>
      </c>
      <c r="AD707" t="s">
        <v>38</v>
      </c>
      <c r="AE707" t="s">
        <v>701</v>
      </c>
      <c r="AF707" t="s">
        <v>78</v>
      </c>
      <c r="AG707">
        <v>5</v>
      </c>
      <c r="AH707">
        <v>0</v>
      </c>
      <c r="AI707" t="s">
        <v>994</v>
      </c>
      <c r="AJ707" t="s">
        <v>51</v>
      </c>
      <c r="AK707" t="s">
        <v>703</v>
      </c>
    </row>
    <row r="708" spans="1:37" x14ac:dyDescent="0.2">
      <c r="A708">
        <v>62632</v>
      </c>
      <c r="B708" t="s">
        <v>37</v>
      </c>
      <c r="C708" t="s">
        <v>38</v>
      </c>
      <c r="D708" t="s">
        <v>674</v>
      </c>
      <c r="E708" t="s">
        <v>40</v>
      </c>
      <c r="G708" s="4">
        <v>43948.009560185185</v>
      </c>
      <c r="H708" s="4">
        <v>43948.010231481481</v>
      </c>
      <c r="I708" t="s">
        <v>987</v>
      </c>
      <c r="J708" s="5">
        <v>57.99999999999999999999999999999999999997</v>
      </c>
      <c r="K708" t="s">
        <v>38</v>
      </c>
      <c r="M708">
        <v>62788</v>
      </c>
      <c r="N708" t="s">
        <v>698</v>
      </c>
      <c r="O708" t="s">
        <v>699</v>
      </c>
      <c r="P708" t="s">
        <v>38</v>
      </c>
      <c r="Q708" t="s">
        <v>238</v>
      </c>
      <c r="R708">
        <v>9.00000000000000000000000000000000000003</v>
      </c>
      <c r="S708" t="s">
        <v>45</v>
      </c>
      <c r="T70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8">
        <v>62789</v>
      </c>
      <c r="V708" t="s">
        <v>38</v>
      </c>
      <c r="W708" t="s">
        <v>238</v>
      </c>
      <c r="X708">
        <v>9.00000000000000000000000000000000000003</v>
      </c>
      <c r="Y708">
        <v>0</v>
      </c>
      <c r="Z708" t="s">
        <v>46</v>
      </c>
      <c r="AA708">
        <v>62790</v>
      </c>
      <c r="AB708" t="s">
        <v>704</v>
      </c>
      <c r="AC708" t="s">
        <v>48</v>
      </c>
      <c r="AD708" t="s">
        <v>38</v>
      </c>
      <c r="AE708" t="s">
        <v>701</v>
      </c>
      <c r="AF708" t="s">
        <v>88</v>
      </c>
      <c r="AG708">
        <v>2</v>
      </c>
      <c r="AH708">
        <v>0</v>
      </c>
      <c r="AI708" t="s">
        <v>703</v>
      </c>
      <c r="AJ708" t="s">
        <v>51</v>
      </c>
      <c r="AK708" t="s">
        <v>703</v>
      </c>
    </row>
    <row r="709" spans="1:37" x14ac:dyDescent="0.2">
      <c r="A709">
        <v>62632</v>
      </c>
      <c r="B709" t="s">
        <v>37</v>
      </c>
      <c r="C709" t="s">
        <v>38</v>
      </c>
      <c r="D709" t="s">
        <v>674</v>
      </c>
      <c r="E709" t="s">
        <v>40</v>
      </c>
      <c r="G709" s="4">
        <v>43948.009560185185</v>
      </c>
      <c r="H709" s="4">
        <v>43948.010231481481</v>
      </c>
      <c r="I709" t="s">
        <v>987</v>
      </c>
      <c r="J709" s="5">
        <v>57.99999999999999999999999999999999999997</v>
      </c>
      <c r="K709" t="s">
        <v>38</v>
      </c>
      <c r="M709">
        <v>62633</v>
      </c>
      <c r="N709" t="s">
        <v>705</v>
      </c>
      <c r="O709" t="s">
        <v>706</v>
      </c>
      <c r="P709" t="s">
        <v>38</v>
      </c>
      <c r="Q709" t="s">
        <v>313</v>
      </c>
      <c r="R709">
        <v>13</v>
      </c>
      <c r="S709" t="s">
        <v>45</v>
      </c>
      <c r="T70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09">
        <v>62634</v>
      </c>
      <c r="V709" t="s">
        <v>38</v>
      </c>
      <c r="W709" t="s">
        <v>313</v>
      </c>
      <c r="X709">
        <v>13</v>
      </c>
      <c r="Y709">
        <v>0</v>
      </c>
      <c r="Z709" t="s">
        <v>46</v>
      </c>
      <c r="AA709">
        <v>62787</v>
      </c>
      <c r="AB709" t="s">
        <v>995</v>
      </c>
      <c r="AC709" t="s">
        <v>103</v>
      </c>
      <c r="AD709" t="s">
        <v>38</v>
      </c>
      <c r="AE709" t="s">
        <v>49</v>
      </c>
      <c r="AF709" t="s">
        <v>50</v>
      </c>
      <c r="AG709">
        <v>0</v>
      </c>
      <c r="AH709">
        <v>0</v>
      </c>
      <c r="AI709" t="s">
        <v>51</v>
      </c>
      <c r="AJ709" t="s">
        <v>51</v>
      </c>
      <c r="AK709" t="s">
        <v>51</v>
      </c>
    </row>
    <row r="710" spans="1:37" x14ac:dyDescent="0.2">
      <c r="A710">
        <v>62632</v>
      </c>
      <c r="B710" t="s">
        <v>37</v>
      </c>
      <c r="C710" t="s">
        <v>38</v>
      </c>
      <c r="D710" t="s">
        <v>674</v>
      </c>
      <c r="E710" t="s">
        <v>40</v>
      </c>
      <c r="G710" s="4">
        <v>43948.009560185185</v>
      </c>
      <c r="H710" s="4">
        <v>43948.010231481481</v>
      </c>
      <c r="I710" t="s">
        <v>987</v>
      </c>
      <c r="J710" s="5">
        <v>57.99999999999999999999999999999999999997</v>
      </c>
      <c r="K710" t="s">
        <v>38</v>
      </c>
      <c r="M710">
        <v>62633</v>
      </c>
      <c r="N710" t="s">
        <v>705</v>
      </c>
      <c r="O710" t="s">
        <v>706</v>
      </c>
      <c r="P710" t="s">
        <v>38</v>
      </c>
      <c r="Q710" t="s">
        <v>313</v>
      </c>
      <c r="R710">
        <v>13</v>
      </c>
      <c r="S710" t="s">
        <v>45</v>
      </c>
      <c r="T71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0">
        <v>62634</v>
      </c>
      <c r="V710" t="s">
        <v>38</v>
      </c>
      <c r="W710" t="s">
        <v>313</v>
      </c>
      <c r="X710">
        <v>13</v>
      </c>
      <c r="Y710">
        <v>0</v>
      </c>
      <c r="Z710" t="s">
        <v>46</v>
      </c>
      <c r="AA710">
        <v>62786</v>
      </c>
      <c r="AB710" t="s">
        <v>996</v>
      </c>
      <c r="AC710" t="s">
        <v>103</v>
      </c>
      <c r="AD710" t="s">
        <v>38</v>
      </c>
      <c r="AE710" t="s">
        <v>49</v>
      </c>
      <c r="AF710" t="s">
        <v>50</v>
      </c>
      <c r="AG710">
        <v>0</v>
      </c>
      <c r="AH710">
        <v>0</v>
      </c>
      <c r="AI710" t="s">
        <v>51</v>
      </c>
      <c r="AJ710" t="s">
        <v>51</v>
      </c>
      <c r="AK710" t="s">
        <v>51</v>
      </c>
    </row>
    <row r="711" spans="1:37" x14ac:dyDescent="0.2">
      <c r="A711">
        <v>62632</v>
      </c>
      <c r="B711" t="s">
        <v>37</v>
      </c>
      <c r="C711" t="s">
        <v>38</v>
      </c>
      <c r="D711" t="s">
        <v>674</v>
      </c>
      <c r="E711" t="s">
        <v>40</v>
      </c>
      <c r="G711" s="4">
        <v>43948.009560185185</v>
      </c>
      <c r="H711" s="4">
        <v>43948.010231481481</v>
      </c>
      <c r="I711" t="s">
        <v>987</v>
      </c>
      <c r="J711" s="5">
        <v>57.99999999999999999999999999999999999997</v>
      </c>
      <c r="K711" t="s">
        <v>38</v>
      </c>
      <c r="M711">
        <v>62633</v>
      </c>
      <c r="N711" t="s">
        <v>705</v>
      </c>
      <c r="O711" t="s">
        <v>706</v>
      </c>
      <c r="P711" t="s">
        <v>38</v>
      </c>
      <c r="Q711" t="s">
        <v>313</v>
      </c>
      <c r="R711">
        <v>13</v>
      </c>
      <c r="S711" t="s">
        <v>45</v>
      </c>
      <c r="T71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1">
        <v>62634</v>
      </c>
      <c r="V711" t="s">
        <v>38</v>
      </c>
      <c r="W711" t="s">
        <v>313</v>
      </c>
      <c r="X711">
        <v>13</v>
      </c>
      <c r="Y711">
        <v>0</v>
      </c>
      <c r="Z711" t="s">
        <v>46</v>
      </c>
      <c r="AA711">
        <v>62785</v>
      </c>
      <c r="AB711" t="s">
        <v>997</v>
      </c>
      <c r="AC711" t="s">
        <v>103</v>
      </c>
      <c r="AD711" t="s">
        <v>38</v>
      </c>
      <c r="AE711" t="s">
        <v>49</v>
      </c>
      <c r="AF711" t="s">
        <v>50</v>
      </c>
      <c r="AG711">
        <v>0</v>
      </c>
      <c r="AH711">
        <v>0</v>
      </c>
      <c r="AI711" t="s">
        <v>51</v>
      </c>
      <c r="AJ711" t="s">
        <v>51</v>
      </c>
      <c r="AK711" t="s">
        <v>51</v>
      </c>
    </row>
    <row r="712" spans="1:37" x14ac:dyDescent="0.2">
      <c r="A712">
        <v>62632</v>
      </c>
      <c r="B712" t="s">
        <v>37</v>
      </c>
      <c r="C712" t="s">
        <v>38</v>
      </c>
      <c r="D712" t="s">
        <v>674</v>
      </c>
      <c r="E712" t="s">
        <v>40</v>
      </c>
      <c r="G712" s="4">
        <v>43948.009560185185</v>
      </c>
      <c r="H712" s="4">
        <v>43948.010231481481</v>
      </c>
      <c r="I712" t="s">
        <v>987</v>
      </c>
      <c r="J712" s="5">
        <v>57.99999999999999999999999999999999999997</v>
      </c>
      <c r="K712" t="s">
        <v>38</v>
      </c>
      <c r="M712">
        <v>62633</v>
      </c>
      <c r="N712" t="s">
        <v>705</v>
      </c>
      <c r="O712" t="s">
        <v>706</v>
      </c>
      <c r="P712" t="s">
        <v>38</v>
      </c>
      <c r="Q712" t="s">
        <v>313</v>
      </c>
      <c r="R712">
        <v>13</v>
      </c>
      <c r="S712" t="s">
        <v>45</v>
      </c>
      <c r="T71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2">
        <v>62634</v>
      </c>
      <c r="V712" t="s">
        <v>38</v>
      </c>
      <c r="W712" t="s">
        <v>313</v>
      </c>
      <c r="X712">
        <v>13</v>
      </c>
      <c r="Y712">
        <v>0</v>
      </c>
      <c r="Z712" t="s">
        <v>46</v>
      </c>
      <c r="AA712">
        <v>62784</v>
      </c>
      <c r="AB712" t="s">
        <v>998</v>
      </c>
      <c r="AC712" t="s">
        <v>103</v>
      </c>
      <c r="AD712" t="s">
        <v>38</v>
      </c>
      <c r="AE712" t="s">
        <v>49</v>
      </c>
      <c r="AF712" t="s">
        <v>50</v>
      </c>
      <c r="AG712">
        <v>0</v>
      </c>
      <c r="AH712">
        <v>0</v>
      </c>
      <c r="AI712" t="s">
        <v>51</v>
      </c>
      <c r="AJ712" t="s">
        <v>51</v>
      </c>
      <c r="AK712" t="s">
        <v>51</v>
      </c>
    </row>
    <row r="713" spans="1:37" x14ac:dyDescent="0.2">
      <c r="A713">
        <v>62632</v>
      </c>
      <c r="B713" t="s">
        <v>37</v>
      </c>
      <c r="C713" t="s">
        <v>38</v>
      </c>
      <c r="D713" t="s">
        <v>674</v>
      </c>
      <c r="E713" t="s">
        <v>40</v>
      </c>
      <c r="G713" s="4">
        <v>43948.009560185185</v>
      </c>
      <c r="H713" s="4">
        <v>43948.010231481481</v>
      </c>
      <c r="I713" t="s">
        <v>987</v>
      </c>
      <c r="J713" s="5">
        <v>57.99999999999999999999999999999999999997</v>
      </c>
      <c r="K713" t="s">
        <v>38</v>
      </c>
      <c r="M713">
        <v>62633</v>
      </c>
      <c r="N713" t="s">
        <v>705</v>
      </c>
      <c r="O713" t="s">
        <v>706</v>
      </c>
      <c r="P713" t="s">
        <v>38</v>
      </c>
      <c r="Q713" t="s">
        <v>313</v>
      </c>
      <c r="R713">
        <v>13</v>
      </c>
      <c r="S713" t="s">
        <v>45</v>
      </c>
      <c r="T71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3">
        <v>62634</v>
      </c>
      <c r="V713" t="s">
        <v>38</v>
      </c>
      <c r="W713" t="s">
        <v>313</v>
      </c>
      <c r="X713">
        <v>13</v>
      </c>
      <c r="Y713">
        <v>0</v>
      </c>
      <c r="Z713" t="s">
        <v>46</v>
      </c>
      <c r="AA713">
        <v>62783</v>
      </c>
      <c r="AB713" t="s">
        <v>999</v>
      </c>
      <c r="AC713" t="s">
        <v>103</v>
      </c>
      <c r="AD713" t="s">
        <v>38</v>
      </c>
      <c r="AE713" t="s">
        <v>49</v>
      </c>
      <c r="AF713" t="s">
        <v>50</v>
      </c>
      <c r="AG713">
        <v>0</v>
      </c>
      <c r="AH713">
        <v>0</v>
      </c>
      <c r="AI713" t="s">
        <v>51</v>
      </c>
      <c r="AJ713" t="s">
        <v>51</v>
      </c>
      <c r="AK713" t="s">
        <v>51</v>
      </c>
    </row>
    <row r="714" spans="1:37" x14ac:dyDescent="0.2">
      <c r="A714">
        <v>62632</v>
      </c>
      <c r="B714" t="s">
        <v>37</v>
      </c>
      <c r="C714" t="s">
        <v>38</v>
      </c>
      <c r="D714" t="s">
        <v>674</v>
      </c>
      <c r="E714" t="s">
        <v>40</v>
      </c>
      <c r="G714" s="4">
        <v>43948.009560185185</v>
      </c>
      <c r="H714" s="4">
        <v>43948.010231481481</v>
      </c>
      <c r="I714" t="s">
        <v>987</v>
      </c>
      <c r="J714" s="5">
        <v>57.99999999999999999999999999999999999997</v>
      </c>
      <c r="K714" t="s">
        <v>38</v>
      </c>
      <c r="M714">
        <v>62633</v>
      </c>
      <c r="N714" t="s">
        <v>705</v>
      </c>
      <c r="O714" t="s">
        <v>706</v>
      </c>
      <c r="P714" t="s">
        <v>38</v>
      </c>
      <c r="Q714" t="s">
        <v>313</v>
      </c>
      <c r="R714">
        <v>13</v>
      </c>
      <c r="S714" t="s">
        <v>45</v>
      </c>
      <c r="T71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4">
        <v>62634</v>
      </c>
      <c r="V714" t="s">
        <v>38</v>
      </c>
      <c r="W714" t="s">
        <v>313</v>
      </c>
      <c r="X714">
        <v>13</v>
      </c>
      <c r="Y714">
        <v>0</v>
      </c>
      <c r="Z714" t="s">
        <v>46</v>
      </c>
      <c r="AA714">
        <v>62782</v>
      </c>
      <c r="AB714" t="s">
        <v>1000</v>
      </c>
      <c r="AC714" t="s">
        <v>103</v>
      </c>
      <c r="AD714" t="s">
        <v>38</v>
      </c>
      <c r="AE714" t="s">
        <v>49</v>
      </c>
      <c r="AF714" t="s">
        <v>50</v>
      </c>
      <c r="AG714">
        <v>0</v>
      </c>
      <c r="AH714">
        <v>0</v>
      </c>
      <c r="AI714" t="s">
        <v>51</v>
      </c>
      <c r="AJ714" t="s">
        <v>51</v>
      </c>
      <c r="AK714" t="s">
        <v>51</v>
      </c>
    </row>
    <row r="715" spans="1:37" x14ac:dyDescent="0.2">
      <c r="A715">
        <v>62632</v>
      </c>
      <c r="B715" t="s">
        <v>37</v>
      </c>
      <c r="C715" t="s">
        <v>38</v>
      </c>
      <c r="D715" t="s">
        <v>674</v>
      </c>
      <c r="E715" t="s">
        <v>40</v>
      </c>
      <c r="G715" s="4">
        <v>43948.009560185185</v>
      </c>
      <c r="H715" s="4">
        <v>43948.010231481481</v>
      </c>
      <c r="I715" t="s">
        <v>987</v>
      </c>
      <c r="J715" s="5">
        <v>57.99999999999999999999999999999999999997</v>
      </c>
      <c r="K715" t="s">
        <v>38</v>
      </c>
      <c r="M715">
        <v>62633</v>
      </c>
      <c r="N715" t="s">
        <v>705</v>
      </c>
      <c r="O715" t="s">
        <v>706</v>
      </c>
      <c r="P715" t="s">
        <v>38</v>
      </c>
      <c r="Q715" t="s">
        <v>313</v>
      </c>
      <c r="R715">
        <v>13</v>
      </c>
      <c r="S715" t="s">
        <v>45</v>
      </c>
      <c r="T71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5">
        <v>62634</v>
      </c>
      <c r="V715" t="s">
        <v>38</v>
      </c>
      <c r="W715" t="s">
        <v>313</v>
      </c>
      <c r="X715">
        <v>13</v>
      </c>
      <c r="Y715">
        <v>0</v>
      </c>
      <c r="Z715" t="s">
        <v>46</v>
      </c>
      <c r="AA715">
        <v>62781</v>
      </c>
      <c r="AB715" t="s">
        <v>1001</v>
      </c>
      <c r="AC715" t="s">
        <v>103</v>
      </c>
      <c r="AD715" t="s">
        <v>38</v>
      </c>
      <c r="AE715" t="s">
        <v>49</v>
      </c>
      <c r="AF715" t="s">
        <v>50</v>
      </c>
      <c r="AG715">
        <v>0</v>
      </c>
      <c r="AH715">
        <v>0</v>
      </c>
      <c r="AI715" t="s">
        <v>51</v>
      </c>
      <c r="AJ715" t="s">
        <v>51</v>
      </c>
      <c r="AK715" t="s">
        <v>51</v>
      </c>
    </row>
    <row r="716" spans="1:37" x14ac:dyDescent="0.2">
      <c r="A716">
        <v>62632</v>
      </c>
      <c r="B716" t="s">
        <v>37</v>
      </c>
      <c r="C716" t="s">
        <v>38</v>
      </c>
      <c r="D716" t="s">
        <v>674</v>
      </c>
      <c r="E716" t="s">
        <v>40</v>
      </c>
      <c r="G716" s="4">
        <v>43948.009560185185</v>
      </c>
      <c r="H716" s="4">
        <v>43948.010231481481</v>
      </c>
      <c r="I716" t="s">
        <v>987</v>
      </c>
      <c r="J716" s="5">
        <v>57.99999999999999999999999999999999999997</v>
      </c>
      <c r="K716" t="s">
        <v>38</v>
      </c>
      <c r="M716">
        <v>62633</v>
      </c>
      <c r="N716" t="s">
        <v>705</v>
      </c>
      <c r="O716" t="s">
        <v>706</v>
      </c>
      <c r="P716" t="s">
        <v>38</v>
      </c>
      <c r="Q716" t="s">
        <v>313</v>
      </c>
      <c r="R716">
        <v>13</v>
      </c>
      <c r="S716" t="s">
        <v>45</v>
      </c>
      <c r="T71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6">
        <v>62634</v>
      </c>
      <c r="V716" t="s">
        <v>38</v>
      </c>
      <c r="W716" t="s">
        <v>313</v>
      </c>
      <c r="X716">
        <v>13</v>
      </c>
      <c r="Y716">
        <v>0</v>
      </c>
      <c r="Z716" t="s">
        <v>46</v>
      </c>
      <c r="AA716">
        <v>62780</v>
      </c>
      <c r="AB716" t="s">
        <v>1002</v>
      </c>
      <c r="AC716" t="s">
        <v>103</v>
      </c>
      <c r="AD716" t="s">
        <v>38</v>
      </c>
      <c r="AE716" t="s">
        <v>49</v>
      </c>
      <c r="AF716" t="s">
        <v>50</v>
      </c>
      <c r="AG716">
        <v>0</v>
      </c>
      <c r="AH716">
        <v>0</v>
      </c>
      <c r="AI716" t="s">
        <v>51</v>
      </c>
      <c r="AJ716" t="s">
        <v>51</v>
      </c>
      <c r="AK716" t="s">
        <v>51</v>
      </c>
    </row>
    <row r="717" spans="1:37" x14ac:dyDescent="0.2">
      <c r="A717">
        <v>62632</v>
      </c>
      <c r="B717" t="s">
        <v>37</v>
      </c>
      <c r="C717" t="s">
        <v>38</v>
      </c>
      <c r="D717" t="s">
        <v>674</v>
      </c>
      <c r="E717" t="s">
        <v>40</v>
      </c>
      <c r="G717" s="4">
        <v>43948.009560185185</v>
      </c>
      <c r="H717" s="4">
        <v>43948.010231481481</v>
      </c>
      <c r="I717" t="s">
        <v>987</v>
      </c>
      <c r="J717" s="5">
        <v>57.99999999999999999999999999999999999997</v>
      </c>
      <c r="K717" t="s">
        <v>38</v>
      </c>
      <c r="M717">
        <v>62633</v>
      </c>
      <c r="N717" t="s">
        <v>705</v>
      </c>
      <c r="O717" t="s">
        <v>706</v>
      </c>
      <c r="P717" t="s">
        <v>38</v>
      </c>
      <c r="Q717" t="s">
        <v>313</v>
      </c>
      <c r="R717">
        <v>13</v>
      </c>
      <c r="S717" t="s">
        <v>45</v>
      </c>
      <c r="T71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7">
        <v>62634</v>
      </c>
      <c r="V717" t="s">
        <v>38</v>
      </c>
      <c r="W717" t="s">
        <v>313</v>
      </c>
      <c r="X717">
        <v>13</v>
      </c>
      <c r="Y717">
        <v>0</v>
      </c>
      <c r="Z717" t="s">
        <v>46</v>
      </c>
      <c r="AA717">
        <v>62779</v>
      </c>
      <c r="AB717" t="s">
        <v>1003</v>
      </c>
      <c r="AC717" t="s">
        <v>103</v>
      </c>
      <c r="AD717" t="s">
        <v>38</v>
      </c>
      <c r="AE717" t="s">
        <v>49</v>
      </c>
      <c r="AF717" t="s">
        <v>50</v>
      </c>
      <c r="AG717">
        <v>0</v>
      </c>
      <c r="AH717">
        <v>0</v>
      </c>
      <c r="AI717" t="s">
        <v>51</v>
      </c>
      <c r="AJ717" t="s">
        <v>51</v>
      </c>
      <c r="AK717" t="s">
        <v>51</v>
      </c>
    </row>
    <row r="718" spans="1:37" x14ac:dyDescent="0.2">
      <c r="A718">
        <v>62632</v>
      </c>
      <c r="B718" t="s">
        <v>37</v>
      </c>
      <c r="C718" t="s">
        <v>38</v>
      </c>
      <c r="D718" t="s">
        <v>674</v>
      </c>
      <c r="E718" t="s">
        <v>40</v>
      </c>
      <c r="G718" s="4">
        <v>43948.009560185185</v>
      </c>
      <c r="H718" s="4">
        <v>43948.010231481481</v>
      </c>
      <c r="I718" t="s">
        <v>987</v>
      </c>
      <c r="J718" s="5">
        <v>57.99999999999999999999999999999999999997</v>
      </c>
      <c r="K718" t="s">
        <v>38</v>
      </c>
      <c r="M718">
        <v>62633</v>
      </c>
      <c r="N718" t="s">
        <v>705</v>
      </c>
      <c r="O718" t="s">
        <v>706</v>
      </c>
      <c r="P718" t="s">
        <v>38</v>
      </c>
      <c r="Q718" t="s">
        <v>313</v>
      </c>
      <c r="R718">
        <v>13</v>
      </c>
      <c r="S718" t="s">
        <v>45</v>
      </c>
      <c r="T71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8">
        <v>62634</v>
      </c>
      <c r="V718" t="s">
        <v>38</v>
      </c>
      <c r="W718" t="s">
        <v>313</v>
      </c>
      <c r="X718">
        <v>13</v>
      </c>
      <c r="Y718">
        <v>0</v>
      </c>
      <c r="Z718" t="s">
        <v>46</v>
      </c>
      <c r="AA718">
        <v>62778</v>
      </c>
      <c r="AB718" t="s">
        <v>1004</v>
      </c>
      <c r="AC718" t="s">
        <v>103</v>
      </c>
      <c r="AD718" t="s">
        <v>38</v>
      </c>
      <c r="AE718" t="s">
        <v>49</v>
      </c>
      <c r="AF718" t="s">
        <v>50</v>
      </c>
      <c r="AG718">
        <v>.9999999999999999999999999999999999999996</v>
      </c>
      <c r="AH718">
        <v>0</v>
      </c>
      <c r="AI718" t="s">
        <v>51</v>
      </c>
      <c r="AJ718" t="s">
        <v>51</v>
      </c>
      <c r="AK718" t="s">
        <v>51</v>
      </c>
    </row>
    <row r="719" spans="1:37" x14ac:dyDescent="0.2">
      <c r="A719">
        <v>62632</v>
      </c>
      <c r="B719" t="s">
        <v>37</v>
      </c>
      <c r="C719" t="s">
        <v>38</v>
      </c>
      <c r="D719" t="s">
        <v>674</v>
      </c>
      <c r="E719" t="s">
        <v>40</v>
      </c>
      <c r="G719" s="4">
        <v>43948.009560185185</v>
      </c>
      <c r="H719" s="4">
        <v>43948.010231481481</v>
      </c>
      <c r="I719" t="s">
        <v>987</v>
      </c>
      <c r="J719" s="5">
        <v>57.99999999999999999999999999999999999997</v>
      </c>
      <c r="K719" t="s">
        <v>38</v>
      </c>
      <c r="M719">
        <v>62633</v>
      </c>
      <c r="N719" t="s">
        <v>705</v>
      </c>
      <c r="O719" t="s">
        <v>706</v>
      </c>
      <c r="P719" t="s">
        <v>38</v>
      </c>
      <c r="Q719" t="s">
        <v>313</v>
      </c>
      <c r="R719">
        <v>13</v>
      </c>
      <c r="S719" t="s">
        <v>45</v>
      </c>
      <c r="T71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19">
        <v>62634</v>
      </c>
      <c r="V719" t="s">
        <v>38</v>
      </c>
      <c r="W719" t="s">
        <v>313</v>
      </c>
      <c r="X719">
        <v>13</v>
      </c>
      <c r="Y719">
        <v>0</v>
      </c>
      <c r="Z719" t="s">
        <v>46</v>
      </c>
      <c r="AA719">
        <v>62777</v>
      </c>
      <c r="AB719" t="s">
        <v>1005</v>
      </c>
      <c r="AC719" t="s">
        <v>103</v>
      </c>
      <c r="AD719" t="s">
        <v>38</v>
      </c>
      <c r="AE719" t="s">
        <v>49</v>
      </c>
      <c r="AF719" t="s">
        <v>50</v>
      </c>
      <c r="AG719">
        <v>0</v>
      </c>
      <c r="AH719">
        <v>0</v>
      </c>
      <c r="AI719" t="s">
        <v>51</v>
      </c>
      <c r="AJ719" t="s">
        <v>51</v>
      </c>
      <c r="AK719" t="s">
        <v>51</v>
      </c>
    </row>
    <row r="720" spans="1:37" x14ac:dyDescent="0.2">
      <c r="A720">
        <v>62632</v>
      </c>
      <c r="B720" t="s">
        <v>37</v>
      </c>
      <c r="C720" t="s">
        <v>38</v>
      </c>
      <c r="D720" t="s">
        <v>674</v>
      </c>
      <c r="E720" t="s">
        <v>40</v>
      </c>
      <c r="G720" s="4">
        <v>43948.009560185185</v>
      </c>
      <c r="H720" s="4">
        <v>43948.010231481481</v>
      </c>
      <c r="I720" t="s">
        <v>987</v>
      </c>
      <c r="J720" s="5">
        <v>57.99999999999999999999999999999999999997</v>
      </c>
      <c r="K720" t="s">
        <v>38</v>
      </c>
      <c r="M720">
        <v>62633</v>
      </c>
      <c r="N720" t="s">
        <v>705</v>
      </c>
      <c r="O720" t="s">
        <v>706</v>
      </c>
      <c r="P720" t="s">
        <v>38</v>
      </c>
      <c r="Q720" t="s">
        <v>313</v>
      </c>
      <c r="R720">
        <v>13</v>
      </c>
      <c r="S720" t="s">
        <v>45</v>
      </c>
      <c r="T72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0">
        <v>62634</v>
      </c>
      <c r="V720" t="s">
        <v>38</v>
      </c>
      <c r="W720" t="s">
        <v>313</v>
      </c>
      <c r="X720">
        <v>13</v>
      </c>
      <c r="Y720">
        <v>0</v>
      </c>
      <c r="Z720" t="s">
        <v>46</v>
      </c>
      <c r="AA720">
        <v>62776</v>
      </c>
      <c r="AB720" t="s">
        <v>1006</v>
      </c>
      <c r="AC720" t="s">
        <v>103</v>
      </c>
      <c r="AD720" t="s">
        <v>38</v>
      </c>
      <c r="AE720" t="s">
        <v>49</v>
      </c>
      <c r="AF720" t="s">
        <v>50</v>
      </c>
      <c r="AG720">
        <v>0</v>
      </c>
      <c r="AH720">
        <v>0</v>
      </c>
      <c r="AI720" t="s">
        <v>51</v>
      </c>
      <c r="AJ720" t="s">
        <v>51</v>
      </c>
      <c r="AK720" t="s">
        <v>51</v>
      </c>
    </row>
    <row r="721" spans="1:37" x14ac:dyDescent="0.2">
      <c r="A721">
        <v>62632</v>
      </c>
      <c r="B721" t="s">
        <v>37</v>
      </c>
      <c r="C721" t="s">
        <v>38</v>
      </c>
      <c r="D721" t="s">
        <v>674</v>
      </c>
      <c r="E721" t="s">
        <v>40</v>
      </c>
      <c r="G721" s="4">
        <v>43948.009560185185</v>
      </c>
      <c r="H721" s="4">
        <v>43948.010231481481</v>
      </c>
      <c r="I721" t="s">
        <v>987</v>
      </c>
      <c r="J721" s="5">
        <v>57.99999999999999999999999999999999999997</v>
      </c>
      <c r="K721" t="s">
        <v>38</v>
      </c>
      <c r="M721">
        <v>62633</v>
      </c>
      <c r="N721" t="s">
        <v>705</v>
      </c>
      <c r="O721" t="s">
        <v>706</v>
      </c>
      <c r="P721" t="s">
        <v>38</v>
      </c>
      <c r="Q721" t="s">
        <v>313</v>
      </c>
      <c r="R721">
        <v>13</v>
      </c>
      <c r="S721" t="s">
        <v>45</v>
      </c>
      <c r="T72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1">
        <v>62634</v>
      </c>
      <c r="V721" t="s">
        <v>38</v>
      </c>
      <c r="W721" t="s">
        <v>313</v>
      </c>
      <c r="X721">
        <v>13</v>
      </c>
      <c r="Y721">
        <v>0</v>
      </c>
      <c r="Z721" t="s">
        <v>46</v>
      </c>
      <c r="AA721">
        <v>62775</v>
      </c>
      <c r="AB721" t="s">
        <v>1007</v>
      </c>
      <c r="AC721" t="s">
        <v>103</v>
      </c>
      <c r="AD721" t="s">
        <v>38</v>
      </c>
      <c r="AE721" t="s">
        <v>49</v>
      </c>
      <c r="AF721" t="s">
        <v>50</v>
      </c>
      <c r="AG721">
        <v>0</v>
      </c>
      <c r="AH721">
        <v>0</v>
      </c>
      <c r="AI721" t="s">
        <v>51</v>
      </c>
      <c r="AJ721" t="s">
        <v>51</v>
      </c>
      <c r="AK721" t="s">
        <v>51</v>
      </c>
    </row>
    <row r="722" spans="1:37" x14ac:dyDescent="0.2">
      <c r="A722">
        <v>62632</v>
      </c>
      <c r="B722" t="s">
        <v>37</v>
      </c>
      <c r="C722" t="s">
        <v>38</v>
      </c>
      <c r="D722" t="s">
        <v>674</v>
      </c>
      <c r="E722" t="s">
        <v>40</v>
      </c>
      <c r="G722" s="4">
        <v>43948.009560185185</v>
      </c>
      <c r="H722" s="4">
        <v>43948.010231481481</v>
      </c>
      <c r="I722" t="s">
        <v>987</v>
      </c>
      <c r="J722" s="5">
        <v>57.99999999999999999999999999999999999997</v>
      </c>
      <c r="K722" t="s">
        <v>38</v>
      </c>
      <c r="M722">
        <v>62633</v>
      </c>
      <c r="N722" t="s">
        <v>705</v>
      </c>
      <c r="O722" t="s">
        <v>706</v>
      </c>
      <c r="P722" t="s">
        <v>38</v>
      </c>
      <c r="Q722" t="s">
        <v>313</v>
      </c>
      <c r="R722">
        <v>13</v>
      </c>
      <c r="S722" t="s">
        <v>45</v>
      </c>
      <c r="T72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2">
        <v>62634</v>
      </c>
      <c r="V722" t="s">
        <v>38</v>
      </c>
      <c r="W722" t="s">
        <v>313</v>
      </c>
      <c r="X722">
        <v>13</v>
      </c>
      <c r="Y722">
        <v>0</v>
      </c>
      <c r="Z722" t="s">
        <v>46</v>
      </c>
      <c r="AA722">
        <v>62774</v>
      </c>
      <c r="AB722" t="s">
        <v>1008</v>
      </c>
      <c r="AC722" t="s">
        <v>103</v>
      </c>
      <c r="AD722" t="s">
        <v>38</v>
      </c>
      <c r="AE722" t="s">
        <v>49</v>
      </c>
      <c r="AF722" t="s">
        <v>50</v>
      </c>
      <c r="AG722">
        <v>0</v>
      </c>
      <c r="AH722">
        <v>0</v>
      </c>
      <c r="AI722" t="s">
        <v>51</v>
      </c>
      <c r="AJ722" t="s">
        <v>51</v>
      </c>
      <c r="AK722" t="s">
        <v>51</v>
      </c>
    </row>
    <row r="723" spans="1:37" x14ac:dyDescent="0.2">
      <c r="A723">
        <v>62632</v>
      </c>
      <c r="B723" t="s">
        <v>37</v>
      </c>
      <c r="C723" t="s">
        <v>38</v>
      </c>
      <c r="D723" t="s">
        <v>674</v>
      </c>
      <c r="E723" t="s">
        <v>40</v>
      </c>
      <c r="G723" s="4">
        <v>43948.009560185185</v>
      </c>
      <c r="H723" s="4">
        <v>43948.010231481481</v>
      </c>
      <c r="I723" t="s">
        <v>987</v>
      </c>
      <c r="J723" s="5">
        <v>57.99999999999999999999999999999999999997</v>
      </c>
      <c r="K723" t="s">
        <v>38</v>
      </c>
      <c r="M723">
        <v>62633</v>
      </c>
      <c r="N723" t="s">
        <v>705</v>
      </c>
      <c r="O723" t="s">
        <v>706</v>
      </c>
      <c r="P723" t="s">
        <v>38</v>
      </c>
      <c r="Q723" t="s">
        <v>313</v>
      </c>
      <c r="R723">
        <v>13</v>
      </c>
      <c r="S723" t="s">
        <v>45</v>
      </c>
      <c r="T72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3">
        <v>62634</v>
      </c>
      <c r="V723" t="s">
        <v>38</v>
      </c>
      <c r="W723" t="s">
        <v>313</v>
      </c>
      <c r="X723">
        <v>13</v>
      </c>
      <c r="Y723">
        <v>0</v>
      </c>
      <c r="Z723" t="s">
        <v>46</v>
      </c>
      <c r="AA723">
        <v>62773</v>
      </c>
      <c r="AB723" t="s">
        <v>1009</v>
      </c>
      <c r="AC723" t="s">
        <v>103</v>
      </c>
      <c r="AD723" t="s">
        <v>38</v>
      </c>
      <c r="AE723" t="s">
        <v>49</v>
      </c>
      <c r="AF723" t="s">
        <v>50</v>
      </c>
      <c r="AG723">
        <v>0</v>
      </c>
      <c r="AH723">
        <v>0</v>
      </c>
      <c r="AI723" t="s">
        <v>51</v>
      </c>
      <c r="AJ723" t="s">
        <v>51</v>
      </c>
      <c r="AK723" t="s">
        <v>51</v>
      </c>
    </row>
    <row r="724" spans="1:37" x14ac:dyDescent="0.2">
      <c r="A724">
        <v>62632</v>
      </c>
      <c r="B724" t="s">
        <v>37</v>
      </c>
      <c r="C724" t="s">
        <v>38</v>
      </c>
      <c r="D724" t="s">
        <v>674</v>
      </c>
      <c r="E724" t="s">
        <v>40</v>
      </c>
      <c r="G724" s="4">
        <v>43948.009560185185</v>
      </c>
      <c r="H724" s="4">
        <v>43948.010231481481</v>
      </c>
      <c r="I724" t="s">
        <v>987</v>
      </c>
      <c r="J724" s="5">
        <v>57.99999999999999999999999999999999999997</v>
      </c>
      <c r="K724" t="s">
        <v>38</v>
      </c>
      <c r="M724">
        <v>62633</v>
      </c>
      <c r="N724" t="s">
        <v>705</v>
      </c>
      <c r="O724" t="s">
        <v>706</v>
      </c>
      <c r="P724" t="s">
        <v>38</v>
      </c>
      <c r="Q724" t="s">
        <v>313</v>
      </c>
      <c r="R724">
        <v>13</v>
      </c>
      <c r="S724" t="s">
        <v>45</v>
      </c>
      <c r="T72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4">
        <v>62634</v>
      </c>
      <c r="V724" t="s">
        <v>38</v>
      </c>
      <c r="W724" t="s">
        <v>313</v>
      </c>
      <c r="X724">
        <v>13</v>
      </c>
      <c r="Y724">
        <v>0</v>
      </c>
      <c r="Z724" t="s">
        <v>46</v>
      </c>
      <c r="AA724">
        <v>62772</v>
      </c>
      <c r="AB724" t="s">
        <v>1010</v>
      </c>
      <c r="AC724" t="s">
        <v>103</v>
      </c>
      <c r="AD724" t="s">
        <v>38</v>
      </c>
      <c r="AE724" t="s">
        <v>49</v>
      </c>
      <c r="AF724" t="s">
        <v>50</v>
      </c>
      <c r="AG724">
        <v>0</v>
      </c>
      <c r="AH724">
        <v>0</v>
      </c>
      <c r="AI724" t="s">
        <v>51</v>
      </c>
      <c r="AJ724" t="s">
        <v>51</v>
      </c>
      <c r="AK724" t="s">
        <v>51</v>
      </c>
    </row>
    <row r="725" spans="1:37" x14ac:dyDescent="0.2">
      <c r="A725">
        <v>62632</v>
      </c>
      <c r="B725" t="s">
        <v>37</v>
      </c>
      <c r="C725" t="s">
        <v>38</v>
      </c>
      <c r="D725" t="s">
        <v>674</v>
      </c>
      <c r="E725" t="s">
        <v>40</v>
      </c>
      <c r="G725" s="4">
        <v>43948.009560185185</v>
      </c>
      <c r="H725" s="4">
        <v>43948.010231481481</v>
      </c>
      <c r="I725" t="s">
        <v>987</v>
      </c>
      <c r="J725" s="5">
        <v>57.99999999999999999999999999999999999997</v>
      </c>
      <c r="K725" t="s">
        <v>38</v>
      </c>
      <c r="M725">
        <v>62633</v>
      </c>
      <c r="N725" t="s">
        <v>705</v>
      </c>
      <c r="O725" t="s">
        <v>706</v>
      </c>
      <c r="P725" t="s">
        <v>38</v>
      </c>
      <c r="Q725" t="s">
        <v>313</v>
      </c>
      <c r="R725">
        <v>13</v>
      </c>
      <c r="S725" t="s">
        <v>45</v>
      </c>
      <c r="T72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5">
        <v>62634</v>
      </c>
      <c r="V725" t="s">
        <v>38</v>
      </c>
      <c r="W725" t="s">
        <v>313</v>
      </c>
      <c r="X725">
        <v>13</v>
      </c>
      <c r="Y725">
        <v>0</v>
      </c>
      <c r="Z725" t="s">
        <v>46</v>
      </c>
      <c r="AA725">
        <v>62771</v>
      </c>
      <c r="AB725" t="s">
        <v>1011</v>
      </c>
      <c r="AC725" t="s">
        <v>103</v>
      </c>
      <c r="AD725" t="s">
        <v>38</v>
      </c>
      <c r="AE725" t="s">
        <v>49</v>
      </c>
      <c r="AF725" t="s">
        <v>50</v>
      </c>
      <c r="AG725">
        <v>0</v>
      </c>
      <c r="AH725">
        <v>0</v>
      </c>
      <c r="AI725" t="s">
        <v>51</v>
      </c>
      <c r="AJ725" t="s">
        <v>51</v>
      </c>
      <c r="AK725" t="s">
        <v>51</v>
      </c>
    </row>
    <row r="726" spans="1:37" x14ac:dyDescent="0.2">
      <c r="A726">
        <v>62632</v>
      </c>
      <c r="B726" t="s">
        <v>37</v>
      </c>
      <c r="C726" t="s">
        <v>38</v>
      </c>
      <c r="D726" t="s">
        <v>674</v>
      </c>
      <c r="E726" t="s">
        <v>40</v>
      </c>
      <c r="G726" s="4">
        <v>43948.009560185185</v>
      </c>
      <c r="H726" s="4">
        <v>43948.010231481481</v>
      </c>
      <c r="I726" t="s">
        <v>987</v>
      </c>
      <c r="J726" s="5">
        <v>57.99999999999999999999999999999999999997</v>
      </c>
      <c r="K726" t="s">
        <v>38</v>
      </c>
      <c r="M726">
        <v>62633</v>
      </c>
      <c r="N726" t="s">
        <v>705</v>
      </c>
      <c r="O726" t="s">
        <v>706</v>
      </c>
      <c r="P726" t="s">
        <v>38</v>
      </c>
      <c r="Q726" t="s">
        <v>313</v>
      </c>
      <c r="R726">
        <v>13</v>
      </c>
      <c r="S726" t="s">
        <v>45</v>
      </c>
      <c r="T72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6">
        <v>62634</v>
      </c>
      <c r="V726" t="s">
        <v>38</v>
      </c>
      <c r="W726" t="s">
        <v>313</v>
      </c>
      <c r="X726">
        <v>13</v>
      </c>
      <c r="Y726">
        <v>0</v>
      </c>
      <c r="Z726" t="s">
        <v>46</v>
      </c>
      <c r="AA726">
        <v>62770</v>
      </c>
      <c r="AB726" t="s">
        <v>1012</v>
      </c>
      <c r="AC726" t="s">
        <v>103</v>
      </c>
      <c r="AD726" t="s">
        <v>38</v>
      </c>
      <c r="AE726" t="s">
        <v>49</v>
      </c>
      <c r="AF726" t="s">
        <v>50</v>
      </c>
      <c r="AG726">
        <v>0</v>
      </c>
      <c r="AH726">
        <v>0</v>
      </c>
      <c r="AI726" t="s">
        <v>51</v>
      </c>
      <c r="AJ726" t="s">
        <v>51</v>
      </c>
      <c r="AK726" t="s">
        <v>51</v>
      </c>
    </row>
    <row r="727" spans="1:37" x14ac:dyDescent="0.2">
      <c r="A727">
        <v>62632</v>
      </c>
      <c r="B727" t="s">
        <v>37</v>
      </c>
      <c r="C727" t="s">
        <v>38</v>
      </c>
      <c r="D727" t="s">
        <v>674</v>
      </c>
      <c r="E727" t="s">
        <v>40</v>
      </c>
      <c r="G727" s="4">
        <v>43948.009560185185</v>
      </c>
      <c r="H727" s="4">
        <v>43948.010231481481</v>
      </c>
      <c r="I727" t="s">
        <v>987</v>
      </c>
      <c r="J727" s="5">
        <v>57.99999999999999999999999999999999999997</v>
      </c>
      <c r="K727" t="s">
        <v>38</v>
      </c>
      <c r="M727">
        <v>62633</v>
      </c>
      <c r="N727" t="s">
        <v>705</v>
      </c>
      <c r="O727" t="s">
        <v>706</v>
      </c>
      <c r="P727" t="s">
        <v>38</v>
      </c>
      <c r="Q727" t="s">
        <v>313</v>
      </c>
      <c r="R727">
        <v>13</v>
      </c>
      <c r="S727" t="s">
        <v>45</v>
      </c>
      <c r="T72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7">
        <v>62634</v>
      </c>
      <c r="V727" t="s">
        <v>38</v>
      </c>
      <c r="W727" t="s">
        <v>313</v>
      </c>
      <c r="X727">
        <v>13</v>
      </c>
      <c r="Y727">
        <v>0</v>
      </c>
      <c r="Z727" t="s">
        <v>46</v>
      </c>
      <c r="AA727">
        <v>62769</v>
      </c>
      <c r="AB727" t="s">
        <v>1013</v>
      </c>
      <c r="AC727" t="s">
        <v>103</v>
      </c>
      <c r="AD727" t="s">
        <v>38</v>
      </c>
      <c r="AE727" t="s">
        <v>49</v>
      </c>
      <c r="AF727" t="s">
        <v>50</v>
      </c>
      <c r="AG727">
        <v>0</v>
      </c>
      <c r="AH727">
        <v>0</v>
      </c>
      <c r="AI727" t="s">
        <v>51</v>
      </c>
      <c r="AJ727" t="s">
        <v>51</v>
      </c>
      <c r="AK727" t="s">
        <v>51</v>
      </c>
    </row>
    <row r="728" spans="1:37" x14ac:dyDescent="0.2">
      <c r="A728">
        <v>62632</v>
      </c>
      <c r="B728" t="s">
        <v>37</v>
      </c>
      <c r="C728" t="s">
        <v>38</v>
      </c>
      <c r="D728" t="s">
        <v>674</v>
      </c>
      <c r="E728" t="s">
        <v>40</v>
      </c>
      <c r="G728" s="4">
        <v>43948.009560185185</v>
      </c>
      <c r="H728" s="4">
        <v>43948.010231481481</v>
      </c>
      <c r="I728" t="s">
        <v>987</v>
      </c>
      <c r="J728" s="5">
        <v>57.99999999999999999999999999999999999997</v>
      </c>
      <c r="K728" t="s">
        <v>38</v>
      </c>
      <c r="M728">
        <v>62633</v>
      </c>
      <c r="N728" t="s">
        <v>705</v>
      </c>
      <c r="O728" t="s">
        <v>706</v>
      </c>
      <c r="P728" t="s">
        <v>38</v>
      </c>
      <c r="Q728" t="s">
        <v>313</v>
      </c>
      <c r="R728">
        <v>13</v>
      </c>
      <c r="S728" t="s">
        <v>45</v>
      </c>
      <c r="T72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8">
        <v>62634</v>
      </c>
      <c r="V728" t="s">
        <v>38</v>
      </c>
      <c r="W728" t="s">
        <v>313</v>
      </c>
      <c r="X728">
        <v>13</v>
      </c>
      <c r="Y728">
        <v>0</v>
      </c>
      <c r="Z728" t="s">
        <v>46</v>
      </c>
      <c r="AA728">
        <v>62768</v>
      </c>
      <c r="AB728" t="s">
        <v>1014</v>
      </c>
      <c r="AC728" t="s">
        <v>103</v>
      </c>
      <c r="AD728" t="s">
        <v>38</v>
      </c>
      <c r="AE728" t="s">
        <v>49</v>
      </c>
      <c r="AF728" t="s">
        <v>50</v>
      </c>
      <c r="AG728">
        <v>0</v>
      </c>
      <c r="AH728">
        <v>0</v>
      </c>
      <c r="AI728" t="s">
        <v>51</v>
      </c>
      <c r="AJ728" t="s">
        <v>51</v>
      </c>
      <c r="AK728" t="s">
        <v>51</v>
      </c>
    </row>
    <row r="729" spans="1:37" x14ac:dyDescent="0.2">
      <c r="A729">
        <v>62632</v>
      </c>
      <c r="B729" t="s">
        <v>37</v>
      </c>
      <c r="C729" t="s">
        <v>38</v>
      </c>
      <c r="D729" t="s">
        <v>674</v>
      </c>
      <c r="E729" t="s">
        <v>40</v>
      </c>
      <c r="G729" s="4">
        <v>43948.009560185185</v>
      </c>
      <c r="H729" s="4">
        <v>43948.010231481481</v>
      </c>
      <c r="I729" t="s">
        <v>987</v>
      </c>
      <c r="J729" s="5">
        <v>57.99999999999999999999999999999999999997</v>
      </c>
      <c r="K729" t="s">
        <v>38</v>
      </c>
      <c r="M729">
        <v>62633</v>
      </c>
      <c r="N729" t="s">
        <v>705</v>
      </c>
      <c r="O729" t="s">
        <v>706</v>
      </c>
      <c r="P729" t="s">
        <v>38</v>
      </c>
      <c r="Q729" t="s">
        <v>313</v>
      </c>
      <c r="R729">
        <v>13</v>
      </c>
      <c r="S729" t="s">
        <v>45</v>
      </c>
      <c r="T72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29">
        <v>62634</v>
      </c>
      <c r="V729" t="s">
        <v>38</v>
      </c>
      <c r="W729" t="s">
        <v>313</v>
      </c>
      <c r="X729">
        <v>13</v>
      </c>
      <c r="Y729">
        <v>0</v>
      </c>
      <c r="Z729" t="s">
        <v>46</v>
      </c>
      <c r="AA729">
        <v>62767</v>
      </c>
      <c r="AB729" t="s">
        <v>1015</v>
      </c>
      <c r="AC729" t="s">
        <v>103</v>
      </c>
      <c r="AD729" t="s">
        <v>38</v>
      </c>
      <c r="AE729" t="s">
        <v>49</v>
      </c>
      <c r="AF729" t="s">
        <v>50</v>
      </c>
      <c r="AG729">
        <v>0</v>
      </c>
      <c r="AH729">
        <v>0</v>
      </c>
      <c r="AI729" t="s">
        <v>51</v>
      </c>
      <c r="AJ729" t="s">
        <v>51</v>
      </c>
      <c r="AK729" t="s">
        <v>51</v>
      </c>
    </row>
    <row r="730" spans="1:37" x14ac:dyDescent="0.2">
      <c r="A730">
        <v>62632</v>
      </c>
      <c r="B730" t="s">
        <v>37</v>
      </c>
      <c r="C730" t="s">
        <v>38</v>
      </c>
      <c r="D730" t="s">
        <v>674</v>
      </c>
      <c r="E730" t="s">
        <v>40</v>
      </c>
      <c r="G730" s="4">
        <v>43948.009560185185</v>
      </c>
      <c r="H730" s="4">
        <v>43948.010231481481</v>
      </c>
      <c r="I730" t="s">
        <v>987</v>
      </c>
      <c r="J730" s="5">
        <v>57.99999999999999999999999999999999999997</v>
      </c>
      <c r="K730" t="s">
        <v>38</v>
      </c>
      <c r="M730">
        <v>62633</v>
      </c>
      <c r="N730" t="s">
        <v>705</v>
      </c>
      <c r="O730" t="s">
        <v>706</v>
      </c>
      <c r="P730" t="s">
        <v>38</v>
      </c>
      <c r="Q730" t="s">
        <v>313</v>
      </c>
      <c r="R730">
        <v>13</v>
      </c>
      <c r="S730" t="s">
        <v>45</v>
      </c>
      <c r="T73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0">
        <v>62634</v>
      </c>
      <c r="V730" t="s">
        <v>38</v>
      </c>
      <c r="W730" t="s">
        <v>313</v>
      </c>
      <c r="X730">
        <v>13</v>
      </c>
      <c r="Y730">
        <v>0</v>
      </c>
      <c r="Z730" t="s">
        <v>46</v>
      </c>
      <c r="AA730">
        <v>62766</v>
      </c>
      <c r="AB730" t="s">
        <v>1016</v>
      </c>
      <c r="AC730" t="s">
        <v>103</v>
      </c>
      <c r="AD730" t="s">
        <v>38</v>
      </c>
      <c r="AE730" t="s">
        <v>49</v>
      </c>
      <c r="AF730" t="s">
        <v>50</v>
      </c>
      <c r="AG730">
        <v>0</v>
      </c>
      <c r="AH730">
        <v>0</v>
      </c>
      <c r="AI730" t="s">
        <v>51</v>
      </c>
      <c r="AJ730" t="s">
        <v>51</v>
      </c>
      <c r="AK730" t="s">
        <v>51</v>
      </c>
    </row>
    <row r="731" spans="1:37" x14ac:dyDescent="0.2">
      <c r="A731">
        <v>62632</v>
      </c>
      <c r="B731" t="s">
        <v>37</v>
      </c>
      <c r="C731" t="s">
        <v>38</v>
      </c>
      <c r="D731" t="s">
        <v>674</v>
      </c>
      <c r="E731" t="s">
        <v>40</v>
      </c>
      <c r="G731" s="4">
        <v>43948.009560185185</v>
      </c>
      <c r="H731" s="4">
        <v>43948.010231481481</v>
      </c>
      <c r="I731" t="s">
        <v>987</v>
      </c>
      <c r="J731" s="5">
        <v>57.99999999999999999999999999999999999997</v>
      </c>
      <c r="K731" t="s">
        <v>38</v>
      </c>
      <c r="M731">
        <v>62633</v>
      </c>
      <c r="N731" t="s">
        <v>705</v>
      </c>
      <c r="O731" t="s">
        <v>706</v>
      </c>
      <c r="P731" t="s">
        <v>38</v>
      </c>
      <c r="Q731" t="s">
        <v>313</v>
      </c>
      <c r="R731">
        <v>13</v>
      </c>
      <c r="S731" t="s">
        <v>45</v>
      </c>
      <c r="T73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1">
        <v>62634</v>
      </c>
      <c r="V731" t="s">
        <v>38</v>
      </c>
      <c r="W731" t="s">
        <v>313</v>
      </c>
      <c r="X731">
        <v>13</v>
      </c>
      <c r="Y731">
        <v>0</v>
      </c>
      <c r="Z731" t="s">
        <v>46</v>
      </c>
      <c r="AA731">
        <v>62765</v>
      </c>
      <c r="AB731" t="s">
        <v>1017</v>
      </c>
      <c r="AC731" t="s">
        <v>103</v>
      </c>
      <c r="AD731" t="s">
        <v>38</v>
      </c>
      <c r="AE731" t="s">
        <v>49</v>
      </c>
      <c r="AF731" t="s">
        <v>50</v>
      </c>
      <c r="AG731">
        <v>0</v>
      </c>
      <c r="AH731">
        <v>0</v>
      </c>
      <c r="AI731" t="s">
        <v>51</v>
      </c>
      <c r="AJ731" t="s">
        <v>51</v>
      </c>
      <c r="AK731" t="s">
        <v>51</v>
      </c>
    </row>
    <row r="732" spans="1:37" x14ac:dyDescent="0.2">
      <c r="A732">
        <v>62632</v>
      </c>
      <c r="B732" t="s">
        <v>37</v>
      </c>
      <c r="C732" t="s">
        <v>38</v>
      </c>
      <c r="D732" t="s">
        <v>674</v>
      </c>
      <c r="E732" t="s">
        <v>40</v>
      </c>
      <c r="G732" s="4">
        <v>43948.009560185185</v>
      </c>
      <c r="H732" s="4">
        <v>43948.010231481481</v>
      </c>
      <c r="I732" t="s">
        <v>987</v>
      </c>
      <c r="J732" s="5">
        <v>57.99999999999999999999999999999999999997</v>
      </c>
      <c r="K732" t="s">
        <v>38</v>
      </c>
      <c r="M732">
        <v>62633</v>
      </c>
      <c r="N732" t="s">
        <v>705</v>
      </c>
      <c r="O732" t="s">
        <v>706</v>
      </c>
      <c r="P732" t="s">
        <v>38</v>
      </c>
      <c r="Q732" t="s">
        <v>313</v>
      </c>
      <c r="R732">
        <v>13</v>
      </c>
      <c r="S732" t="s">
        <v>45</v>
      </c>
      <c r="T73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2">
        <v>62634</v>
      </c>
      <c r="V732" t="s">
        <v>38</v>
      </c>
      <c r="W732" t="s">
        <v>313</v>
      </c>
      <c r="X732">
        <v>13</v>
      </c>
      <c r="Y732">
        <v>0</v>
      </c>
      <c r="Z732" t="s">
        <v>46</v>
      </c>
      <c r="AA732">
        <v>62764</v>
      </c>
      <c r="AB732" t="s">
        <v>1018</v>
      </c>
      <c r="AC732" t="s">
        <v>103</v>
      </c>
      <c r="AD732" t="s">
        <v>38</v>
      </c>
      <c r="AE732" t="s">
        <v>49</v>
      </c>
      <c r="AF732" t="s">
        <v>50</v>
      </c>
      <c r="AG732">
        <v>0</v>
      </c>
      <c r="AH732">
        <v>0</v>
      </c>
      <c r="AI732" t="s">
        <v>51</v>
      </c>
      <c r="AJ732" t="s">
        <v>51</v>
      </c>
      <c r="AK732" t="s">
        <v>51</v>
      </c>
    </row>
    <row r="733" spans="1:37" x14ac:dyDescent="0.2">
      <c r="A733">
        <v>62632</v>
      </c>
      <c r="B733" t="s">
        <v>37</v>
      </c>
      <c r="C733" t="s">
        <v>38</v>
      </c>
      <c r="D733" t="s">
        <v>674</v>
      </c>
      <c r="E733" t="s">
        <v>40</v>
      </c>
      <c r="G733" s="4">
        <v>43948.009560185185</v>
      </c>
      <c r="H733" s="4">
        <v>43948.010231481481</v>
      </c>
      <c r="I733" t="s">
        <v>987</v>
      </c>
      <c r="J733" s="5">
        <v>57.99999999999999999999999999999999999997</v>
      </c>
      <c r="K733" t="s">
        <v>38</v>
      </c>
      <c r="M733">
        <v>62633</v>
      </c>
      <c r="N733" t="s">
        <v>705</v>
      </c>
      <c r="O733" t="s">
        <v>706</v>
      </c>
      <c r="P733" t="s">
        <v>38</v>
      </c>
      <c r="Q733" t="s">
        <v>313</v>
      </c>
      <c r="R733">
        <v>13</v>
      </c>
      <c r="S733" t="s">
        <v>45</v>
      </c>
      <c r="T73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3">
        <v>62634</v>
      </c>
      <c r="V733" t="s">
        <v>38</v>
      </c>
      <c r="W733" t="s">
        <v>313</v>
      </c>
      <c r="X733">
        <v>13</v>
      </c>
      <c r="Y733">
        <v>0</v>
      </c>
      <c r="Z733" t="s">
        <v>46</v>
      </c>
      <c r="AA733">
        <v>62763</v>
      </c>
      <c r="AB733" t="s">
        <v>1019</v>
      </c>
      <c r="AC733" t="s">
        <v>103</v>
      </c>
      <c r="AD733" t="s">
        <v>38</v>
      </c>
      <c r="AE733" t="s">
        <v>49</v>
      </c>
      <c r="AF733" t="s">
        <v>50</v>
      </c>
      <c r="AG733">
        <v>0</v>
      </c>
      <c r="AH733">
        <v>0</v>
      </c>
      <c r="AI733" t="s">
        <v>51</v>
      </c>
      <c r="AJ733" t="s">
        <v>51</v>
      </c>
      <c r="AK733" t="s">
        <v>51</v>
      </c>
    </row>
    <row r="734" spans="1:37" x14ac:dyDescent="0.2">
      <c r="A734">
        <v>62632</v>
      </c>
      <c r="B734" t="s">
        <v>37</v>
      </c>
      <c r="C734" t="s">
        <v>38</v>
      </c>
      <c r="D734" t="s">
        <v>674</v>
      </c>
      <c r="E734" t="s">
        <v>40</v>
      </c>
      <c r="G734" s="4">
        <v>43948.009560185185</v>
      </c>
      <c r="H734" s="4">
        <v>43948.010231481481</v>
      </c>
      <c r="I734" t="s">
        <v>987</v>
      </c>
      <c r="J734" s="5">
        <v>57.99999999999999999999999999999999999997</v>
      </c>
      <c r="K734" t="s">
        <v>38</v>
      </c>
      <c r="M734">
        <v>62633</v>
      </c>
      <c r="N734" t="s">
        <v>705</v>
      </c>
      <c r="O734" t="s">
        <v>706</v>
      </c>
      <c r="P734" t="s">
        <v>38</v>
      </c>
      <c r="Q734" t="s">
        <v>313</v>
      </c>
      <c r="R734">
        <v>13</v>
      </c>
      <c r="S734" t="s">
        <v>45</v>
      </c>
      <c r="T73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4">
        <v>62634</v>
      </c>
      <c r="V734" t="s">
        <v>38</v>
      </c>
      <c r="W734" t="s">
        <v>313</v>
      </c>
      <c r="X734">
        <v>13</v>
      </c>
      <c r="Y734">
        <v>0</v>
      </c>
      <c r="Z734" t="s">
        <v>46</v>
      </c>
      <c r="AA734">
        <v>62762</v>
      </c>
      <c r="AB734" t="s">
        <v>1020</v>
      </c>
      <c r="AC734" t="s">
        <v>103</v>
      </c>
      <c r="AD734" t="s">
        <v>38</v>
      </c>
      <c r="AE734" t="s">
        <v>49</v>
      </c>
      <c r="AF734" t="s">
        <v>50</v>
      </c>
      <c r="AG734">
        <v>0</v>
      </c>
      <c r="AH734">
        <v>0</v>
      </c>
      <c r="AI734" t="s">
        <v>51</v>
      </c>
      <c r="AJ734" t="s">
        <v>51</v>
      </c>
      <c r="AK734" t="s">
        <v>51</v>
      </c>
    </row>
    <row r="735" spans="1:37" x14ac:dyDescent="0.2">
      <c r="A735">
        <v>62632</v>
      </c>
      <c r="B735" t="s">
        <v>37</v>
      </c>
      <c r="C735" t="s">
        <v>38</v>
      </c>
      <c r="D735" t="s">
        <v>674</v>
      </c>
      <c r="E735" t="s">
        <v>40</v>
      </c>
      <c r="G735" s="4">
        <v>43948.009560185185</v>
      </c>
      <c r="H735" s="4">
        <v>43948.010231481481</v>
      </c>
      <c r="I735" t="s">
        <v>987</v>
      </c>
      <c r="J735" s="5">
        <v>57.99999999999999999999999999999999999997</v>
      </c>
      <c r="K735" t="s">
        <v>38</v>
      </c>
      <c r="M735">
        <v>62633</v>
      </c>
      <c r="N735" t="s">
        <v>705</v>
      </c>
      <c r="O735" t="s">
        <v>706</v>
      </c>
      <c r="P735" t="s">
        <v>38</v>
      </c>
      <c r="Q735" t="s">
        <v>313</v>
      </c>
      <c r="R735">
        <v>13</v>
      </c>
      <c r="S735" t="s">
        <v>45</v>
      </c>
      <c r="T73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5">
        <v>62634</v>
      </c>
      <c r="V735" t="s">
        <v>38</v>
      </c>
      <c r="W735" t="s">
        <v>313</v>
      </c>
      <c r="X735">
        <v>13</v>
      </c>
      <c r="Y735">
        <v>0</v>
      </c>
      <c r="Z735" t="s">
        <v>46</v>
      </c>
      <c r="AA735">
        <v>62761</v>
      </c>
      <c r="AB735" t="s">
        <v>1021</v>
      </c>
      <c r="AC735" t="s">
        <v>103</v>
      </c>
      <c r="AD735" t="s">
        <v>38</v>
      </c>
      <c r="AE735" t="s">
        <v>49</v>
      </c>
      <c r="AF735" t="s">
        <v>50</v>
      </c>
      <c r="AG735">
        <v>0</v>
      </c>
      <c r="AH735">
        <v>0</v>
      </c>
      <c r="AI735" t="s">
        <v>51</v>
      </c>
      <c r="AJ735" t="s">
        <v>51</v>
      </c>
      <c r="AK735" t="s">
        <v>51</v>
      </c>
    </row>
    <row r="736" spans="1:37" x14ac:dyDescent="0.2">
      <c r="A736">
        <v>62632</v>
      </c>
      <c r="B736" t="s">
        <v>37</v>
      </c>
      <c r="C736" t="s">
        <v>38</v>
      </c>
      <c r="D736" t="s">
        <v>674</v>
      </c>
      <c r="E736" t="s">
        <v>40</v>
      </c>
      <c r="G736" s="4">
        <v>43948.009560185185</v>
      </c>
      <c r="H736" s="4">
        <v>43948.010231481481</v>
      </c>
      <c r="I736" t="s">
        <v>987</v>
      </c>
      <c r="J736" s="5">
        <v>57.99999999999999999999999999999999999997</v>
      </c>
      <c r="K736" t="s">
        <v>38</v>
      </c>
      <c r="M736">
        <v>62633</v>
      </c>
      <c r="N736" t="s">
        <v>705</v>
      </c>
      <c r="O736" t="s">
        <v>706</v>
      </c>
      <c r="P736" t="s">
        <v>38</v>
      </c>
      <c r="Q736" t="s">
        <v>313</v>
      </c>
      <c r="R736">
        <v>13</v>
      </c>
      <c r="S736" t="s">
        <v>45</v>
      </c>
      <c r="T73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6">
        <v>62634</v>
      </c>
      <c r="V736" t="s">
        <v>38</v>
      </c>
      <c r="W736" t="s">
        <v>313</v>
      </c>
      <c r="X736">
        <v>13</v>
      </c>
      <c r="Y736">
        <v>0</v>
      </c>
      <c r="Z736" t="s">
        <v>46</v>
      </c>
      <c r="AA736">
        <v>62760</v>
      </c>
      <c r="AB736" t="s">
        <v>1022</v>
      </c>
      <c r="AC736" t="s">
        <v>103</v>
      </c>
      <c r="AD736" t="s">
        <v>38</v>
      </c>
      <c r="AE736" t="s">
        <v>49</v>
      </c>
      <c r="AF736" t="s">
        <v>50</v>
      </c>
      <c r="AG736">
        <v>0</v>
      </c>
      <c r="AH736">
        <v>0</v>
      </c>
      <c r="AI736" t="s">
        <v>51</v>
      </c>
      <c r="AJ736" t="s">
        <v>51</v>
      </c>
      <c r="AK736" t="s">
        <v>51</v>
      </c>
    </row>
    <row r="737" spans="1:37" x14ac:dyDescent="0.2">
      <c r="A737">
        <v>62632</v>
      </c>
      <c r="B737" t="s">
        <v>37</v>
      </c>
      <c r="C737" t="s">
        <v>38</v>
      </c>
      <c r="D737" t="s">
        <v>674</v>
      </c>
      <c r="E737" t="s">
        <v>40</v>
      </c>
      <c r="G737" s="4">
        <v>43948.009560185185</v>
      </c>
      <c r="H737" s="4">
        <v>43948.010231481481</v>
      </c>
      <c r="I737" t="s">
        <v>987</v>
      </c>
      <c r="J737" s="5">
        <v>57.99999999999999999999999999999999999997</v>
      </c>
      <c r="K737" t="s">
        <v>38</v>
      </c>
      <c r="M737">
        <v>62633</v>
      </c>
      <c r="N737" t="s">
        <v>705</v>
      </c>
      <c r="O737" t="s">
        <v>706</v>
      </c>
      <c r="P737" t="s">
        <v>38</v>
      </c>
      <c r="Q737" t="s">
        <v>313</v>
      </c>
      <c r="R737">
        <v>13</v>
      </c>
      <c r="S737" t="s">
        <v>45</v>
      </c>
      <c r="T73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7">
        <v>62634</v>
      </c>
      <c r="V737" t="s">
        <v>38</v>
      </c>
      <c r="W737" t="s">
        <v>313</v>
      </c>
      <c r="X737">
        <v>13</v>
      </c>
      <c r="Y737">
        <v>0</v>
      </c>
      <c r="Z737" t="s">
        <v>46</v>
      </c>
      <c r="AA737">
        <v>62759</v>
      </c>
      <c r="AB737" t="s">
        <v>1023</v>
      </c>
      <c r="AC737" t="s">
        <v>103</v>
      </c>
      <c r="AD737" t="s">
        <v>38</v>
      </c>
      <c r="AE737" t="s">
        <v>49</v>
      </c>
      <c r="AF737" t="s">
        <v>50</v>
      </c>
      <c r="AG737">
        <v>0</v>
      </c>
      <c r="AH737">
        <v>0</v>
      </c>
      <c r="AI737" t="s">
        <v>51</v>
      </c>
      <c r="AJ737" t="s">
        <v>51</v>
      </c>
      <c r="AK737" t="s">
        <v>51</v>
      </c>
    </row>
    <row r="738" spans="1:37" x14ac:dyDescent="0.2">
      <c r="A738">
        <v>62632</v>
      </c>
      <c r="B738" t="s">
        <v>37</v>
      </c>
      <c r="C738" t="s">
        <v>38</v>
      </c>
      <c r="D738" t="s">
        <v>674</v>
      </c>
      <c r="E738" t="s">
        <v>40</v>
      </c>
      <c r="G738" s="4">
        <v>43948.009560185185</v>
      </c>
      <c r="H738" s="4">
        <v>43948.010231481481</v>
      </c>
      <c r="I738" t="s">
        <v>987</v>
      </c>
      <c r="J738" s="5">
        <v>57.99999999999999999999999999999999999997</v>
      </c>
      <c r="K738" t="s">
        <v>38</v>
      </c>
      <c r="M738">
        <v>62633</v>
      </c>
      <c r="N738" t="s">
        <v>705</v>
      </c>
      <c r="O738" t="s">
        <v>706</v>
      </c>
      <c r="P738" t="s">
        <v>38</v>
      </c>
      <c r="Q738" t="s">
        <v>313</v>
      </c>
      <c r="R738">
        <v>13</v>
      </c>
      <c r="S738" t="s">
        <v>45</v>
      </c>
      <c r="T73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8">
        <v>62634</v>
      </c>
      <c r="V738" t="s">
        <v>38</v>
      </c>
      <c r="W738" t="s">
        <v>313</v>
      </c>
      <c r="X738">
        <v>13</v>
      </c>
      <c r="Y738">
        <v>0</v>
      </c>
      <c r="Z738" t="s">
        <v>46</v>
      </c>
      <c r="AA738">
        <v>62758</v>
      </c>
      <c r="AB738" t="s">
        <v>1024</v>
      </c>
      <c r="AC738" t="s">
        <v>103</v>
      </c>
      <c r="AD738" t="s">
        <v>38</v>
      </c>
      <c r="AE738" t="s">
        <v>49</v>
      </c>
      <c r="AF738" t="s">
        <v>50</v>
      </c>
      <c r="AG738">
        <v>0</v>
      </c>
      <c r="AH738">
        <v>0</v>
      </c>
      <c r="AI738" t="s">
        <v>51</v>
      </c>
      <c r="AJ738" t="s">
        <v>51</v>
      </c>
      <c r="AK738" t="s">
        <v>51</v>
      </c>
    </row>
    <row r="739" spans="1:37" x14ac:dyDescent="0.2">
      <c r="A739">
        <v>62632</v>
      </c>
      <c r="B739" t="s">
        <v>37</v>
      </c>
      <c r="C739" t="s">
        <v>38</v>
      </c>
      <c r="D739" t="s">
        <v>674</v>
      </c>
      <c r="E739" t="s">
        <v>40</v>
      </c>
      <c r="G739" s="4">
        <v>43948.009560185185</v>
      </c>
      <c r="H739" s="4">
        <v>43948.010231481481</v>
      </c>
      <c r="I739" t="s">
        <v>987</v>
      </c>
      <c r="J739" s="5">
        <v>57.99999999999999999999999999999999999997</v>
      </c>
      <c r="K739" t="s">
        <v>38</v>
      </c>
      <c r="M739">
        <v>62633</v>
      </c>
      <c r="N739" t="s">
        <v>705</v>
      </c>
      <c r="O739" t="s">
        <v>706</v>
      </c>
      <c r="P739" t="s">
        <v>38</v>
      </c>
      <c r="Q739" t="s">
        <v>313</v>
      </c>
      <c r="R739">
        <v>13</v>
      </c>
      <c r="S739" t="s">
        <v>45</v>
      </c>
      <c r="T73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39">
        <v>62634</v>
      </c>
      <c r="V739" t="s">
        <v>38</v>
      </c>
      <c r="W739" t="s">
        <v>313</v>
      </c>
      <c r="X739">
        <v>13</v>
      </c>
      <c r="Y739">
        <v>0</v>
      </c>
      <c r="Z739" t="s">
        <v>46</v>
      </c>
      <c r="AA739">
        <v>62757</v>
      </c>
      <c r="AB739" t="s">
        <v>1025</v>
      </c>
      <c r="AC739" t="s">
        <v>103</v>
      </c>
      <c r="AD739" t="s">
        <v>38</v>
      </c>
      <c r="AE739" t="s">
        <v>49</v>
      </c>
      <c r="AF739" t="s">
        <v>50</v>
      </c>
      <c r="AG739">
        <v>0</v>
      </c>
      <c r="AH739">
        <v>0</v>
      </c>
      <c r="AI739" t="s">
        <v>51</v>
      </c>
      <c r="AJ739" t="s">
        <v>51</v>
      </c>
      <c r="AK739" t="s">
        <v>51</v>
      </c>
    </row>
    <row r="740" spans="1:37" x14ac:dyDescent="0.2">
      <c r="A740">
        <v>62632</v>
      </c>
      <c r="B740" t="s">
        <v>37</v>
      </c>
      <c r="C740" t="s">
        <v>38</v>
      </c>
      <c r="D740" t="s">
        <v>674</v>
      </c>
      <c r="E740" t="s">
        <v>40</v>
      </c>
      <c r="G740" s="4">
        <v>43948.009560185185</v>
      </c>
      <c r="H740" s="4">
        <v>43948.010231481481</v>
      </c>
      <c r="I740" t="s">
        <v>987</v>
      </c>
      <c r="J740" s="5">
        <v>57.99999999999999999999999999999999999997</v>
      </c>
      <c r="K740" t="s">
        <v>38</v>
      </c>
      <c r="M740">
        <v>62633</v>
      </c>
      <c r="N740" t="s">
        <v>705</v>
      </c>
      <c r="O740" t="s">
        <v>706</v>
      </c>
      <c r="P740" t="s">
        <v>38</v>
      </c>
      <c r="Q740" t="s">
        <v>313</v>
      </c>
      <c r="R740">
        <v>13</v>
      </c>
      <c r="S740" t="s">
        <v>45</v>
      </c>
      <c r="T74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0">
        <v>62634</v>
      </c>
      <c r="V740" t="s">
        <v>38</v>
      </c>
      <c r="W740" t="s">
        <v>313</v>
      </c>
      <c r="X740">
        <v>13</v>
      </c>
      <c r="Y740">
        <v>0</v>
      </c>
      <c r="Z740" t="s">
        <v>46</v>
      </c>
      <c r="AA740">
        <v>62756</v>
      </c>
      <c r="AB740" t="s">
        <v>1026</v>
      </c>
      <c r="AC740" t="s">
        <v>103</v>
      </c>
      <c r="AD740" t="s">
        <v>38</v>
      </c>
      <c r="AE740" t="s">
        <v>49</v>
      </c>
      <c r="AF740" t="s">
        <v>50</v>
      </c>
      <c r="AG740">
        <v>0</v>
      </c>
      <c r="AH740">
        <v>0</v>
      </c>
      <c r="AI740" t="s">
        <v>51</v>
      </c>
      <c r="AJ740" t="s">
        <v>51</v>
      </c>
      <c r="AK740" t="s">
        <v>51</v>
      </c>
    </row>
    <row r="741" spans="1:37" x14ac:dyDescent="0.2">
      <c r="A741">
        <v>62632</v>
      </c>
      <c r="B741" t="s">
        <v>37</v>
      </c>
      <c r="C741" t="s">
        <v>38</v>
      </c>
      <c r="D741" t="s">
        <v>674</v>
      </c>
      <c r="E741" t="s">
        <v>40</v>
      </c>
      <c r="G741" s="4">
        <v>43948.009560185185</v>
      </c>
      <c r="H741" s="4">
        <v>43948.010231481481</v>
      </c>
      <c r="I741" t="s">
        <v>987</v>
      </c>
      <c r="J741" s="5">
        <v>57.99999999999999999999999999999999999997</v>
      </c>
      <c r="K741" t="s">
        <v>38</v>
      </c>
      <c r="M741">
        <v>62633</v>
      </c>
      <c r="N741" t="s">
        <v>705</v>
      </c>
      <c r="O741" t="s">
        <v>706</v>
      </c>
      <c r="P741" t="s">
        <v>38</v>
      </c>
      <c r="Q741" t="s">
        <v>313</v>
      </c>
      <c r="R741">
        <v>13</v>
      </c>
      <c r="S741" t="s">
        <v>45</v>
      </c>
      <c r="T74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1">
        <v>62634</v>
      </c>
      <c r="V741" t="s">
        <v>38</v>
      </c>
      <c r="W741" t="s">
        <v>313</v>
      </c>
      <c r="X741">
        <v>13</v>
      </c>
      <c r="Y741">
        <v>0</v>
      </c>
      <c r="Z741" t="s">
        <v>46</v>
      </c>
      <c r="AA741">
        <v>62755</v>
      </c>
      <c r="AB741" t="s">
        <v>1027</v>
      </c>
      <c r="AC741" t="s">
        <v>103</v>
      </c>
      <c r="AD741" t="s">
        <v>38</v>
      </c>
      <c r="AE741" t="s">
        <v>49</v>
      </c>
      <c r="AF741" t="s">
        <v>50</v>
      </c>
      <c r="AG741">
        <v>0</v>
      </c>
      <c r="AH741">
        <v>0</v>
      </c>
      <c r="AI741" t="s">
        <v>51</v>
      </c>
      <c r="AJ741" t="s">
        <v>51</v>
      </c>
      <c r="AK741" t="s">
        <v>51</v>
      </c>
    </row>
    <row r="742" spans="1:37" x14ac:dyDescent="0.2">
      <c r="A742">
        <v>62632</v>
      </c>
      <c r="B742" t="s">
        <v>37</v>
      </c>
      <c r="C742" t="s">
        <v>38</v>
      </c>
      <c r="D742" t="s">
        <v>674</v>
      </c>
      <c r="E742" t="s">
        <v>40</v>
      </c>
      <c r="G742" s="4">
        <v>43948.009560185185</v>
      </c>
      <c r="H742" s="4">
        <v>43948.010231481481</v>
      </c>
      <c r="I742" t="s">
        <v>987</v>
      </c>
      <c r="J742" s="5">
        <v>57.99999999999999999999999999999999999997</v>
      </c>
      <c r="K742" t="s">
        <v>38</v>
      </c>
      <c r="M742">
        <v>62633</v>
      </c>
      <c r="N742" t="s">
        <v>705</v>
      </c>
      <c r="O742" t="s">
        <v>706</v>
      </c>
      <c r="P742" t="s">
        <v>38</v>
      </c>
      <c r="Q742" t="s">
        <v>313</v>
      </c>
      <c r="R742">
        <v>13</v>
      </c>
      <c r="S742" t="s">
        <v>45</v>
      </c>
      <c r="T74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2">
        <v>62634</v>
      </c>
      <c r="V742" t="s">
        <v>38</v>
      </c>
      <c r="W742" t="s">
        <v>313</v>
      </c>
      <c r="X742">
        <v>13</v>
      </c>
      <c r="Y742">
        <v>0</v>
      </c>
      <c r="Z742" t="s">
        <v>46</v>
      </c>
      <c r="AA742">
        <v>62754</v>
      </c>
      <c r="AB742" t="s">
        <v>1028</v>
      </c>
      <c r="AC742" t="s">
        <v>103</v>
      </c>
      <c r="AD742" t="s">
        <v>38</v>
      </c>
      <c r="AE742" t="s">
        <v>49</v>
      </c>
      <c r="AF742" t="s">
        <v>50</v>
      </c>
      <c r="AG742">
        <v>0</v>
      </c>
      <c r="AH742">
        <v>0</v>
      </c>
      <c r="AI742" t="s">
        <v>51</v>
      </c>
      <c r="AJ742" t="s">
        <v>51</v>
      </c>
      <c r="AK742" t="s">
        <v>51</v>
      </c>
    </row>
    <row r="743" spans="1:37" x14ac:dyDescent="0.2">
      <c r="A743">
        <v>62632</v>
      </c>
      <c r="B743" t="s">
        <v>37</v>
      </c>
      <c r="C743" t="s">
        <v>38</v>
      </c>
      <c r="D743" t="s">
        <v>674</v>
      </c>
      <c r="E743" t="s">
        <v>40</v>
      </c>
      <c r="G743" s="4">
        <v>43948.009560185185</v>
      </c>
      <c r="H743" s="4">
        <v>43948.010231481481</v>
      </c>
      <c r="I743" t="s">
        <v>987</v>
      </c>
      <c r="J743" s="5">
        <v>57.99999999999999999999999999999999999997</v>
      </c>
      <c r="K743" t="s">
        <v>38</v>
      </c>
      <c r="M743">
        <v>62633</v>
      </c>
      <c r="N743" t="s">
        <v>705</v>
      </c>
      <c r="O743" t="s">
        <v>706</v>
      </c>
      <c r="P743" t="s">
        <v>38</v>
      </c>
      <c r="Q743" t="s">
        <v>313</v>
      </c>
      <c r="R743">
        <v>13</v>
      </c>
      <c r="S743" t="s">
        <v>45</v>
      </c>
      <c r="T74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3">
        <v>62634</v>
      </c>
      <c r="V743" t="s">
        <v>38</v>
      </c>
      <c r="W743" t="s">
        <v>313</v>
      </c>
      <c r="X743">
        <v>13</v>
      </c>
      <c r="Y743">
        <v>0</v>
      </c>
      <c r="Z743" t="s">
        <v>46</v>
      </c>
      <c r="AA743">
        <v>62753</v>
      </c>
      <c r="AB743" t="s">
        <v>1029</v>
      </c>
      <c r="AC743" t="s">
        <v>103</v>
      </c>
      <c r="AD743" t="s">
        <v>38</v>
      </c>
      <c r="AE743" t="s">
        <v>49</v>
      </c>
      <c r="AF743" t="s">
        <v>50</v>
      </c>
      <c r="AG743">
        <v>0</v>
      </c>
      <c r="AH743">
        <v>0</v>
      </c>
      <c r="AI743" t="s">
        <v>51</v>
      </c>
      <c r="AJ743" t="s">
        <v>51</v>
      </c>
      <c r="AK743" t="s">
        <v>51</v>
      </c>
    </row>
    <row r="744" spans="1:37" x14ac:dyDescent="0.2">
      <c r="A744">
        <v>62632</v>
      </c>
      <c r="B744" t="s">
        <v>37</v>
      </c>
      <c r="C744" t="s">
        <v>38</v>
      </c>
      <c r="D744" t="s">
        <v>674</v>
      </c>
      <c r="E744" t="s">
        <v>40</v>
      </c>
      <c r="G744" s="4">
        <v>43948.009560185185</v>
      </c>
      <c r="H744" s="4">
        <v>43948.010231481481</v>
      </c>
      <c r="I744" t="s">
        <v>987</v>
      </c>
      <c r="J744" s="5">
        <v>57.99999999999999999999999999999999999997</v>
      </c>
      <c r="K744" t="s">
        <v>38</v>
      </c>
      <c r="M744">
        <v>62633</v>
      </c>
      <c r="N744" t="s">
        <v>705</v>
      </c>
      <c r="O744" t="s">
        <v>706</v>
      </c>
      <c r="P744" t="s">
        <v>38</v>
      </c>
      <c r="Q744" t="s">
        <v>313</v>
      </c>
      <c r="R744">
        <v>13</v>
      </c>
      <c r="S744" t="s">
        <v>45</v>
      </c>
      <c r="T74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4">
        <v>62634</v>
      </c>
      <c r="V744" t="s">
        <v>38</v>
      </c>
      <c r="W744" t="s">
        <v>313</v>
      </c>
      <c r="X744">
        <v>13</v>
      </c>
      <c r="Y744">
        <v>0</v>
      </c>
      <c r="Z744" t="s">
        <v>46</v>
      </c>
      <c r="AA744">
        <v>62752</v>
      </c>
      <c r="AB744" t="s">
        <v>1030</v>
      </c>
      <c r="AC744" t="s">
        <v>103</v>
      </c>
      <c r="AD744" t="s">
        <v>38</v>
      </c>
      <c r="AE744" t="s">
        <v>49</v>
      </c>
      <c r="AF744" t="s">
        <v>50</v>
      </c>
      <c r="AG744">
        <v>0</v>
      </c>
      <c r="AH744">
        <v>0</v>
      </c>
      <c r="AI744" t="s">
        <v>51</v>
      </c>
      <c r="AJ744" t="s">
        <v>51</v>
      </c>
      <c r="AK744" t="s">
        <v>51</v>
      </c>
    </row>
    <row r="745" spans="1:37" x14ac:dyDescent="0.2">
      <c r="A745">
        <v>62632</v>
      </c>
      <c r="B745" t="s">
        <v>37</v>
      </c>
      <c r="C745" t="s">
        <v>38</v>
      </c>
      <c r="D745" t="s">
        <v>674</v>
      </c>
      <c r="E745" t="s">
        <v>40</v>
      </c>
      <c r="G745" s="4">
        <v>43948.009560185185</v>
      </c>
      <c r="H745" s="4">
        <v>43948.010231481481</v>
      </c>
      <c r="I745" t="s">
        <v>987</v>
      </c>
      <c r="J745" s="5">
        <v>57.99999999999999999999999999999999999997</v>
      </c>
      <c r="K745" t="s">
        <v>38</v>
      </c>
      <c r="M745">
        <v>62633</v>
      </c>
      <c r="N745" t="s">
        <v>705</v>
      </c>
      <c r="O745" t="s">
        <v>706</v>
      </c>
      <c r="P745" t="s">
        <v>38</v>
      </c>
      <c r="Q745" t="s">
        <v>313</v>
      </c>
      <c r="R745">
        <v>13</v>
      </c>
      <c r="S745" t="s">
        <v>45</v>
      </c>
      <c r="T74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5">
        <v>62634</v>
      </c>
      <c r="V745" t="s">
        <v>38</v>
      </c>
      <c r="W745" t="s">
        <v>313</v>
      </c>
      <c r="X745">
        <v>13</v>
      </c>
      <c r="Y745">
        <v>0</v>
      </c>
      <c r="Z745" t="s">
        <v>46</v>
      </c>
      <c r="AA745">
        <v>62751</v>
      </c>
      <c r="AB745" t="s">
        <v>1031</v>
      </c>
      <c r="AC745" t="s">
        <v>103</v>
      </c>
      <c r="AD745" t="s">
        <v>38</v>
      </c>
      <c r="AE745" t="s">
        <v>49</v>
      </c>
      <c r="AF745" t="s">
        <v>50</v>
      </c>
      <c r="AG745">
        <v>0</v>
      </c>
      <c r="AH745">
        <v>0</v>
      </c>
      <c r="AI745" t="s">
        <v>51</v>
      </c>
      <c r="AJ745" t="s">
        <v>51</v>
      </c>
      <c r="AK745" t="s">
        <v>51</v>
      </c>
    </row>
    <row r="746" spans="1:37" x14ac:dyDescent="0.2">
      <c r="A746">
        <v>62632</v>
      </c>
      <c r="B746" t="s">
        <v>37</v>
      </c>
      <c r="C746" t="s">
        <v>38</v>
      </c>
      <c r="D746" t="s">
        <v>674</v>
      </c>
      <c r="E746" t="s">
        <v>40</v>
      </c>
      <c r="G746" s="4">
        <v>43948.009560185185</v>
      </c>
      <c r="H746" s="4">
        <v>43948.010231481481</v>
      </c>
      <c r="I746" t="s">
        <v>987</v>
      </c>
      <c r="J746" s="5">
        <v>57.99999999999999999999999999999999999997</v>
      </c>
      <c r="K746" t="s">
        <v>38</v>
      </c>
      <c r="M746">
        <v>62633</v>
      </c>
      <c r="N746" t="s">
        <v>705</v>
      </c>
      <c r="O746" t="s">
        <v>706</v>
      </c>
      <c r="P746" t="s">
        <v>38</v>
      </c>
      <c r="Q746" t="s">
        <v>313</v>
      </c>
      <c r="R746">
        <v>13</v>
      </c>
      <c r="S746" t="s">
        <v>45</v>
      </c>
      <c r="T74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6">
        <v>62634</v>
      </c>
      <c r="V746" t="s">
        <v>38</v>
      </c>
      <c r="W746" t="s">
        <v>313</v>
      </c>
      <c r="X746">
        <v>13</v>
      </c>
      <c r="Y746">
        <v>0</v>
      </c>
      <c r="Z746" t="s">
        <v>46</v>
      </c>
      <c r="AA746">
        <v>62750</v>
      </c>
      <c r="AB746" t="s">
        <v>1032</v>
      </c>
      <c r="AC746" t="s">
        <v>103</v>
      </c>
      <c r="AD746" t="s">
        <v>38</v>
      </c>
      <c r="AE746" t="s">
        <v>49</v>
      </c>
      <c r="AF746" t="s">
        <v>50</v>
      </c>
      <c r="AG746">
        <v>0</v>
      </c>
      <c r="AH746">
        <v>0</v>
      </c>
      <c r="AI746" t="s">
        <v>51</v>
      </c>
      <c r="AJ746" t="s">
        <v>51</v>
      </c>
      <c r="AK746" t="s">
        <v>51</v>
      </c>
    </row>
    <row r="747" spans="1:37" x14ac:dyDescent="0.2">
      <c r="A747">
        <v>62632</v>
      </c>
      <c r="B747" t="s">
        <v>37</v>
      </c>
      <c r="C747" t="s">
        <v>38</v>
      </c>
      <c r="D747" t="s">
        <v>674</v>
      </c>
      <c r="E747" t="s">
        <v>40</v>
      </c>
      <c r="G747" s="4">
        <v>43948.009560185185</v>
      </c>
      <c r="H747" s="4">
        <v>43948.010231481481</v>
      </c>
      <c r="I747" t="s">
        <v>987</v>
      </c>
      <c r="J747" s="5">
        <v>57.99999999999999999999999999999999999997</v>
      </c>
      <c r="K747" t="s">
        <v>38</v>
      </c>
      <c r="M747">
        <v>62633</v>
      </c>
      <c r="N747" t="s">
        <v>705</v>
      </c>
      <c r="O747" t="s">
        <v>706</v>
      </c>
      <c r="P747" t="s">
        <v>38</v>
      </c>
      <c r="Q747" t="s">
        <v>313</v>
      </c>
      <c r="R747">
        <v>13</v>
      </c>
      <c r="S747" t="s">
        <v>45</v>
      </c>
      <c r="T74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7">
        <v>62634</v>
      </c>
      <c r="V747" t="s">
        <v>38</v>
      </c>
      <c r="W747" t="s">
        <v>313</v>
      </c>
      <c r="X747">
        <v>13</v>
      </c>
      <c r="Y747">
        <v>0</v>
      </c>
      <c r="Z747" t="s">
        <v>46</v>
      </c>
      <c r="AA747">
        <v>62749</v>
      </c>
      <c r="AB747" t="s">
        <v>1033</v>
      </c>
      <c r="AC747" t="s">
        <v>103</v>
      </c>
      <c r="AD747" t="s">
        <v>38</v>
      </c>
      <c r="AE747" t="s">
        <v>49</v>
      </c>
      <c r="AF747" t="s">
        <v>50</v>
      </c>
      <c r="AG747">
        <v>0</v>
      </c>
      <c r="AH747">
        <v>0</v>
      </c>
      <c r="AI747" t="s">
        <v>51</v>
      </c>
      <c r="AJ747" t="s">
        <v>51</v>
      </c>
      <c r="AK747" t="s">
        <v>51</v>
      </c>
    </row>
    <row r="748" spans="1:37" x14ac:dyDescent="0.2">
      <c r="A748">
        <v>62632</v>
      </c>
      <c r="B748" t="s">
        <v>37</v>
      </c>
      <c r="C748" t="s">
        <v>38</v>
      </c>
      <c r="D748" t="s">
        <v>674</v>
      </c>
      <c r="E748" t="s">
        <v>40</v>
      </c>
      <c r="G748" s="4">
        <v>43948.009560185185</v>
      </c>
      <c r="H748" s="4">
        <v>43948.010231481481</v>
      </c>
      <c r="I748" t="s">
        <v>987</v>
      </c>
      <c r="J748" s="5">
        <v>57.99999999999999999999999999999999999997</v>
      </c>
      <c r="K748" t="s">
        <v>38</v>
      </c>
      <c r="M748">
        <v>62633</v>
      </c>
      <c r="N748" t="s">
        <v>705</v>
      </c>
      <c r="O748" t="s">
        <v>706</v>
      </c>
      <c r="P748" t="s">
        <v>38</v>
      </c>
      <c r="Q748" t="s">
        <v>313</v>
      </c>
      <c r="R748">
        <v>13</v>
      </c>
      <c r="S748" t="s">
        <v>45</v>
      </c>
      <c r="T74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8">
        <v>62634</v>
      </c>
      <c r="V748" t="s">
        <v>38</v>
      </c>
      <c r="W748" t="s">
        <v>313</v>
      </c>
      <c r="X748">
        <v>13</v>
      </c>
      <c r="Y748">
        <v>0</v>
      </c>
      <c r="Z748" t="s">
        <v>46</v>
      </c>
      <c r="AA748">
        <v>62748</v>
      </c>
      <c r="AB748" t="s">
        <v>1034</v>
      </c>
      <c r="AC748" t="s">
        <v>103</v>
      </c>
      <c r="AD748" t="s">
        <v>38</v>
      </c>
      <c r="AE748" t="s">
        <v>49</v>
      </c>
      <c r="AF748" t="s">
        <v>50</v>
      </c>
      <c r="AG748">
        <v>0</v>
      </c>
      <c r="AH748">
        <v>0</v>
      </c>
      <c r="AI748" t="s">
        <v>51</v>
      </c>
      <c r="AJ748" t="s">
        <v>51</v>
      </c>
      <c r="AK748" t="s">
        <v>51</v>
      </c>
    </row>
    <row r="749" spans="1:37" x14ac:dyDescent="0.2">
      <c r="A749">
        <v>62632</v>
      </c>
      <c r="B749" t="s">
        <v>37</v>
      </c>
      <c r="C749" t="s">
        <v>38</v>
      </c>
      <c r="D749" t="s">
        <v>674</v>
      </c>
      <c r="E749" t="s">
        <v>40</v>
      </c>
      <c r="G749" s="4">
        <v>43948.009560185185</v>
      </c>
      <c r="H749" s="4">
        <v>43948.010231481481</v>
      </c>
      <c r="I749" t="s">
        <v>987</v>
      </c>
      <c r="J749" s="5">
        <v>57.99999999999999999999999999999999999997</v>
      </c>
      <c r="K749" t="s">
        <v>38</v>
      </c>
      <c r="M749">
        <v>62633</v>
      </c>
      <c r="N749" t="s">
        <v>705</v>
      </c>
      <c r="O749" t="s">
        <v>706</v>
      </c>
      <c r="P749" t="s">
        <v>38</v>
      </c>
      <c r="Q749" t="s">
        <v>313</v>
      </c>
      <c r="R749">
        <v>13</v>
      </c>
      <c r="S749" t="s">
        <v>45</v>
      </c>
      <c r="T74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49">
        <v>62634</v>
      </c>
      <c r="V749" t="s">
        <v>38</v>
      </c>
      <c r="W749" t="s">
        <v>313</v>
      </c>
      <c r="X749">
        <v>13</v>
      </c>
      <c r="Y749">
        <v>0</v>
      </c>
      <c r="Z749" t="s">
        <v>46</v>
      </c>
      <c r="AA749">
        <v>62747</v>
      </c>
      <c r="AB749" t="s">
        <v>1035</v>
      </c>
      <c r="AC749" t="s">
        <v>103</v>
      </c>
      <c r="AD749" t="s">
        <v>38</v>
      </c>
      <c r="AE749" t="s">
        <v>49</v>
      </c>
      <c r="AF749" t="s">
        <v>50</v>
      </c>
      <c r="AG749">
        <v>0</v>
      </c>
      <c r="AH749">
        <v>0</v>
      </c>
      <c r="AI749" t="s">
        <v>51</v>
      </c>
      <c r="AJ749" t="s">
        <v>51</v>
      </c>
      <c r="AK749" t="s">
        <v>51</v>
      </c>
    </row>
    <row r="750" spans="1:37" x14ac:dyDescent="0.2">
      <c r="A750">
        <v>62632</v>
      </c>
      <c r="B750" t="s">
        <v>37</v>
      </c>
      <c r="C750" t="s">
        <v>38</v>
      </c>
      <c r="D750" t="s">
        <v>674</v>
      </c>
      <c r="E750" t="s">
        <v>40</v>
      </c>
      <c r="G750" s="4">
        <v>43948.009560185185</v>
      </c>
      <c r="H750" s="4">
        <v>43948.010231481481</v>
      </c>
      <c r="I750" t="s">
        <v>987</v>
      </c>
      <c r="J750" s="5">
        <v>57.99999999999999999999999999999999999997</v>
      </c>
      <c r="K750" t="s">
        <v>38</v>
      </c>
      <c r="M750">
        <v>62633</v>
      </c>
      <c r="N750" t="s">
        <v>705</v>
      </c>
      <c r="O750" t="s">
        <v>706</v>
      </c>
      <c r="P750" t="s">
        <v>38</v>
      </c>
      <c r="Q750" t="s">
        <v>313</v>
      </c>
      <c r="R750">
        <v>13</v>
      </c>
      <c r="S750" t="s">
        <v>45</v>
      </c>
      <c r="T75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0">
        <v>62634</v>
      </c>
      <c r="V750" t="s">
        <v>38</v>
      </c>
      <c r="W750" t="s">
        <v>313</v>
      </c>
      <c r="X750">
        <v>13</v>
      </c>
      <c r="Y750">
        <v>0</v>
      </c>
      <c r="Z750" t="s">
        <v>46</v>
      </c>
      <c r="AA750">
        <v>62746</v>
      </c>
      <c r="AB750" t="s">
        <v>1036</v>
      </c>
      <c r="AC750" t="s">
        <v>103</v>
      </c>
      <c r="AD750" t="s">
        <v>38</v>
      </c>
      <c r="AE750" t="s">
        <v>49</v>
      </c>
      <c r="AF750" t="s">
        <v>50</v>
      </c>
      <c r="AG750">
        <v>0</v>
      </c>
      <c r="AH750">
        <v>0</v>
      </c>
      <c r="AI750" t="s">
        <v>51</v>
      </c>
      <c r="AJ750" t="s">
        <v>51</v>
      </c>
      <c r="AK750" t="s">
        <v>51</v>
      </c>
    </row>
    <row r="751" spans="1:37" x14ac:dyDescent="0.2">
      <c r="A751">
        <v>62632</v>
      </c>
      <c r="B751" t="s">
        <v>37</v>
      </c>
      <c r="C751" t="s">
        <v>38</v>
      </c>
      <c r="D751" t="s">
        <v>674</v>
      </c>
      <c r="E751" t="s">
        <v>40</v>
      </c>
      <c r="G751" s="4">
        <v>43948.009560185185</v>
      </c>
      <c r="H751" s="4">
        <v>43948.010231481481</v>
      </c>
      <c r="I751" t="s">
        <v>987</v>
      </c>
      <c r="J751" s="5">
        <v>57.99999999999999999999999999999999999997</v>
      </c>
      <c r="K751" t="s">
        <v>38</v>
      </c>
      <c r="M751">
        <v>62633</v>
      </c>
      <c r="N751" t="s">
        <v>705</v>
      </c>
      <c r="O751" t="s">
        <v>706</v>
      </c>
      <c r="P751" t="s">
        <v>38</v>
      </c>
      <c r="Q751" t="s">
        <v>313</v>
      </c>
      <c r="R751">
        <v>13</v>
      </c>
      <c r="S751" t="s">
        <v>45</v>
      </c>
      <c r="T75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1">
        <v>62634</v>
      </c>
      <c r="V751" t="s">
        <v>38</v>
      </c>
      <c r="W751" t="s">
        <v>313</v>
      </c>
      <c r="X751">
        <v>13</v>
      </c>
      <c r="Y751">
        <v>0</v>
      </c>
      <c r="Z751" t="s">
        <v>46</v>
      </c>
      <c r="AA751">
        <v>62745</v>
      </c>
      <c r="AB751" t="s">
        <v>1037</v>
      </c>
      <c r="AC751" t="s">
        <v>103</v>
      </c>
      <c r="AD751" t="s">
        <v>38</v>
      </c>
      <c r="AE751" t="s">
        <v>49</v>
      </c>
      <c r="AF751" t="s">
        <v>50</v>
      </c>
      <c r="AG751">
        <v>0</v>
      </c>
      <c r="AH751">
        <v>0</v>
      </c>
      <c r="AI751" t="s">
        <v>51</v>
      </c>
      <c r="AJ751" t="s">
        <v>51</v>
      </c>
      <c r="AK751" t="s">
        <v>51</v>
      </c>
    </row>
    <row r="752" spans="1:37" x14ac:dyDescent="0.2">
      <c r="A752">
        <v>62632</v>
      </c>
      <c r="B752" t="s">
        <v>37</v>
      </c>
      <c r="C752" t="s">
        <v>38</v>
      </c>
      <c r="D752" t="s">
        <v>674</v>
      </c>
      <c r="E752" t="s">
        <v>40</v>
      </c>
      <c r="G752" s="4">
        <v>43948.009560185185</v>
      </c>
      <c r="H752" s="4">
        <v>43948.010231481481</v>
      </c>
      <c r="I752" t="s">
        <v>987</v>
      </c>
      <c r="J752" s="5">
        <v>57.99999999999999999999999999999999999997</v>
      </c>
      <c r="K752" t="s">
        <v>38</v>
      </c>
      <c r="M752">
        <v>62633</v>
      </c>
      <c r="N752" t="s">
        <v>705</v>
      </c>
      <c r="O752" t="s">
        <v>706</v>
      </c>
      <c r="P752" t="s">
        <v>38</v>
      </c>
      <c r="Q752" t="s">
        <v>313</v>
      </c>
      <c r="R752">
        <v>13</v>
      </c>
      <c r="S752" t="s">
        <v>45</v>
      </c>
      <c r="T75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2">
        <v>62634</v>
      </c>
      <c r="V752" t="s">
        <v>38</v>
      </c>
      <c r="W752" t="s">
        <v>313</v>
      </c>
      <c r="X752">
        <v>13</v>
      </c>
      <c r="Y752">
        <v>0</v>
      </c>
      <c r="Z752" t="s">
        <v>46</v>
      </c>
      <c r="AA752">
        <v>62744</v>
      </c>
      <c r="AB752" t="s">
        <v>1038</v>
      </c>
      <c r="AC752" t="s">
        <v>103</v>
      </c>
      <c r="AD752" t="s">
        <v>38</v>
      </c>
      <c r="AE752" t="s">
        <v>49</v>
      </c>
      <c r="AF752" t="s">
        <v>50</v>
      </c>
      <c r="AG752">
        <v>0</v>
      </c>
      <c r="AH752">
        <v>0</v>
      </c>
      <c r="AI752" t="s">
        <v>51</v>
      </c>
      <c r="AJ752" t="s">
        <v>51</v>
      </c>
      <c r="AK752" t="s">
        <v>51</v>
      </c>
    </row>
    <row r="753" spans="1:37" x14ac:dyDescent="0.2">
      <c r="A753">
        <v>62632</v>
      </c>
      <c r="B753" t="s">
        <v>37</v>
      </c>
      <c r="C753" t="s">
        <v>38</v>
      </c>
      <c r="D753" t="s">
        <v>674</v>
      </c>
      <c r="E753" t="s">
        <v>40</v>
      </c>
      <c r="G753" s="4">
        <v>43948.009560185185</v>
      </c>
      <c r="H753" s="4">
        <v>43948.010231481481</v>
      </c>
      <c r="I753" t="s">
        <v>987</v>
      </c>
      <c r="J753" s="5">
        <v>57.99999999999999999999999999999999999997</v>
      </c>
      <c r="K753" t="s">
        <v>38</v>
      </c>
      <c r="M753">
        <v>62633</v>
      </c>
      <c r="N753" t="s">
        <v>705</v>
      </c>
      <c r="O753" t="s">
        <v>706</v>
      </c>
      <c r="P753" t="s">
        <v>38</v>
      </c>
      <c r="Q753" t="s">
        <v>313</v>
      </c>
      <c r="R753">
        <v>13</v>
      </c>
      <c r="S753" t="s">
        <v>45</v>
      </c>
      <c r="T75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3">
        <v>62634</v>
      </c>
      <c r="V753" t="s">
        <v>38</v>
      </c>
      <c r="W753" t="s">
        <v>313</v>
      </c>
      <c r="X753">
        <v>13</v>
      </c>
      <c r="Y753">
        <v>0</v>
      </c>
      <c r="Z753" t="s">
        <v>46</v>
      </c>
      <c r="AA753">
        <v>62743</v>
      </c>
      <c r="AB753" t="s">
        <v>1039</v>
      </c>
      <c r="AC753" t="s">
        <v>103</v>
      </c>
      <c r="AD753" t="s">
        <v>38</v>
      </c>
      <c r="AE753" t="s">
        <v>49</v>
      </c>
      <c r="AF753" t="s">
        <v>50</v>
      </c>
      <c r="AG753">
        <v>0</v>
      </c>
      <c r="AH753">
        <v>0</v>
      </c>
      <c r="AI753" t="s">
        <v>51</v>
      </c>
      <c r="AJ753" t="s">
        <v>51</v>
      </c>
      <c r="AK753" t="s">
        <v>51</v>
      </c>
    </row>
    <row r="754" spans="1:37" x14ac:dyDescent="0.2">
      <c r="A754">
        <v>62632</v>
      </c>
      <c r="B754" t="s">
        <v>37</v>
      </c>
      <c r="C754" t="s">
        <v>38</v>
      </c>
      <c r="D754" t="s">
        <v>674</v>
      </c>
      <c r="E754" t="s">
        <v>40</v>
      </c>
      <c r="G754" s="4">
        <v>43948.009560185185</v>
      </c>
      <c r="H754" s="4">
        <v>43948.010231481481</v>
      </c>
      <c r="I754" t="s">
        <v>987</v>
      </c>
      <c r="J754" s="5">
        <v>57.99999999999999999999999999999999999997</v>
      </c>
      <c r="K754" t="s">
        <v>38</v>
      </c>
      <c r="M754">
        <v>62633</v>
      </c>
      <c r="N754" t="s">
        <v>705</v>
      </c>
      <c r="O754" t="s">
        <v>706</v>
      </c>
      <c r="P754" t="s">
        <v>38</v>
      </c>
      <c r="Q754" t="s">
        <v>313</v>
      </c>
      <c r="R754">
        <v>13</v>
      </c>
      <c r="S754" t="s">
        <v>45</v>
      </c>
      <c r="T75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4">
        <v>62634</v>
      </c>
      <c r="V754" t="s">
        <v>38</v>
      </c>
      <c r="W754" t="s">
        <v>313</v>
      </c>
      <c r="X754">
        <v>13</v>
      </c>
      <c r="Y754">
        <v>0</v>
      </c>
      <c r="Z754" t="s">
        <v>46</v>
      </c>
      <c r="AA754">
        <v>62742</v>
      </c>
      <c r="AB754" t="s">
        <v>1040</v>
      </c>
      <c r="AC754" t="s">
        <v>103</v>
      </c>
      <c r="AD754" t="s">
        <v>38</v>
      </c>
      <c r="AE754" t="s">
        <v>49</v>
      </c>
      <c r="AF754" t="s">
        <v>50</v>
      </c>
      <c r="AG754">
        <v>0</v>
      </c>
      <c r="AH754">
        <v>0</v>
      </c>
      <c r="AI754" t="s">
        <v>51</v>
      </c>
      <c r="AJ754" t="s">
        <v>51</v>
      </c>
      <c r="AK754" t="s">
        <v>51</v>
      </c>
    </row>
    <row r="755" spans="1:37" x14ac:dyDescent="0.2">
      <c r="A755">
        <v>62632</v>
      </c>
      <c r="B755" t="s">
        <v>37</v>
      </c>
      <c r="C755" t="s">
        <v>38</v>
      </c>
      <c r="D755" t="s">
        <v>674</v>
      </c>
      <c r="E755" t="s">
        <v>40</v>
      </c>
      <c r="G755" s="4">
        <v>43948.009560185185</v>
      </c>
      <c r="H755" s="4">
        <v>43948.010231481481</v>
      </c>
      <c r="I755" t="s">
        <v>987</v>
      </c>
      <c r="J755" s="5">
        <v>57.99999999999999999999999999999999999997</v>
      </c>
      <c r="K755" t="s">
        <v>38</v>
      </c>
      <c r="M755">
        <v>62633</v>
      </c>
      <c r="N755" t="s">
        <v>705</v>
      </c>
      <c r="O755" t="s">
        <v>706</v>
      </c>
      <c r="P755" t="s">
        <v>38</v>
      </c>
      <c r="Q755" t="s">
        <v>313</v>
      </c>
      <c r="R755">
        <v>13</v>
      </c>
      <c r="S755" t="s">
        <v>45</v>
      </c>
      <c r="T75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5">
        <v>62634</v>
      </c>
      <c r="V755" t="s">
        <v>38</v>
      </c>
      <c r="W755" t="s">
        <v>313</v>
      </c>
      <c r="X755">
        <v>13</v>
      </c>
      <c r="Y755">
        <v>0</v>
      </c>
      <c r="Z755" t="s">
        <v>46</v>
      </c>
      <c r="AA755">
        <v>62741</v>
      </c>
      <c r="AB755" t="s">
        <v>1041</v>
      </c>
      <c r="AC755" t="s">
        <v>103</v>
      </c>
      <c r="AD755" t="s">
        <v>38</v>
      </c>
      <c r="AE755" t="s">
        <v>49</v>
      </c>
      <c r="AF755" t="s">
        <v>50</v>
      </c>
      <c r="AG755">
        <v>0</v>
      </c>
      <c r="AH755">
        <v>0</v>
      </c>
      <c r="AI755" t="s">
        <v>51</v>
      </c>
      <c r="AJ755" t="s">
        <v>51</v>
      </c>
      <c r="AK755" t="s">
        <v>51</v>
      </c>
    </row>
    <row r="756" spans="1:37" x14ac:dyDescent="0.2">
      <c r="A756">
        <v>62632</v>
      </c>
      <c r="B756" t="s">
        <v>37</v>
      </c>
      <c r="C756" t="s">
        <v>38</v>
      </c>
      <c r="D756" t="s">
        <v>674</v>
      </c>
      <c r="E756" t="s">
        <v>40</v>
      </c>
      <c r="G756" s="4">
        <v>43948.009560185185</v>
      </c>
      <c r="H756" s="4">
        <v>43948.010231481481</v>
      </c>
      <c r="I756" t="s">
        <v>987</v>
      </c>
      <c r="J756" s="5">
        <v>57.99999999999999999999999999999999999997</v>
      </c>
      <c r="K756" t="s">
        <v>38</v>
      </c>
      <c r="M756">
        <v>62633</v>
      </c>
      <c r="N756" t="s">
        <v>705</v>
      </c>
      <c r="O756" t="s">
        <v>706</v>
      </c>
      <c r="P756" t="s">
        <v>38</v>
      </c>
      <c r="Q756" t="s">
        <v>313</v>
      </c>
      <c r="R756">
        <v>13</v>
      </c>
      <c r="S756" t="s">
        <v>45</v>
      </c>
      <c r="T75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6">
        <v>62634</v>
      </c>
      <c r="V756" t="s">
        <v>38</v>
      </c>
      <c r="W756" t="s">
        <v>313</v>
      </c>
      <c r="X756">
        <v>13</v>
      </c>
      <c r="Y756">
        <v>0</v>
      </c>
      <c r="Z756" t="s">
        <v>46</v>
      </c>
      <c r="AA756">
        <v>62740</v>
      </c>
      <c r="AB756" t="s">
        <v>1042</v>
      </c>
      <c r="AC756" t="s">
        <v>103</v>
      </c>
      <c r="AD756" t="s">
        <v>38</v>
      </c>
      <c r="AE756" t="s">
        <v>49</v>
      </c>
      <c r="AF756" t="s">
        <v>50</v>
      </c>
      <c r="AG756">
        <v>0</v>
      </c>
      <c r="AH756">
        <v>0</v>
      </c>
      <c r="AI756" t="s">
        <v>51</v>
      </c>
      <c r="AJ756" t="s">
        <v>51</v>
      </c>
      <c r="AK756" t="s">
        <v>51</v>
      </c>
    </row>
    <row r="757" spans="1:37" x14ac:dyDescent="0.2">
      <c r="A757">
        <v>62632</v>
      </c>
      <c r="B757" t="s">
        <v>37</v>
      </c>
      <c r="C757" t="s">
        <v>38</v>
      </c>
      <c r="D757" t="s">
        <v>674</v>
      </c>
      <c r="E757" t="s">
        <v>40</v>
      </c>
      <c r="G757" s="4">
        <v>43948.009560185185</v>
      </c>
      <c r="H757" s="4">
        <v>43948.010231481481</v>
      </c>
      <c r="I757" t="s">
        <v>987</v>
      </c>
      <c r="J757" s="5">
        <v>57.99999999999999999999999999999999999997</v>
      </c>
      <c r="K757" t="s">
        <v>38</v>
      </c>
      <c r="M757">
        <v>62633</v>
      </c>
      <c r="N757" t="s">
        <v>705</v>
      </c>
      <c r="O757" t="s">
        <v>706</v>
      </c>
      <c r="P757" t="s">
        <v>38</v>
      </c>
      <c r="Q757" t="s">
        <v>313</v>
      </c>
      <c r="R757">
        <v>13</v>
      </c>
      <c r="S757" t="s">
        <v>45</v>
      </c>
      <c r="T75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7">
        <v>62634</v>
      </c>
      <c r="V757" t="s">
        <v>38</v>
      </c>
      <c r="W757" t="s">
        <v>313</v>
      </c>
      <c r="X757">
        <v>13</v>
      </c>
      <c r="Y757">
        <v>0</v>
      </c>
      <c r="Z757" t="s">
        <v>46</v>
      </c>
      <c r="AA757">
        <v>62739</v>
      </c>
      <c r="AB757" t="s">
        <v>1043</v>
      </c>
      <c r="AC757" t="s">
        <v>103</v>
      </c>
      <c r="AD757" t="s">
        <v>38</v>
      </c>
      <c r="AE757" t="s">
        <v>49</v>
      </c>
      <c r="AF757" t="s">
        <v>50</v>
      </c>
      <c r="AG757">
        <v>0</v>
      </c>
      <c r="AH757">
        <v>0</v>
      </c>
      <c r="AI757" t="s">
        <v>51</v>
      </c>
      <c r="AJ757" t="s">
        <v>51</v>
      </c>
      <c r="AK757" t="s">
        <v>51</v>
      </c>
    </row>
    <row r="758" spans="1:37" x14ac:dyDescent="0.2">
      <c r="A758">
        <v>62632</v>
      </c>
      <c r="B758" t="s">
        <v>37</v>
      </c>
      <c r="C758" t="s">
        <v>38</v>
      </c>
      <c r="D758" t="s">
        <v>674</v>
      </c>
      <c r="E758" t="s">
        <v>40</v>
      </c>
      <c r="G758" s="4">
        <v>43948.009560185185</v>
      </c>
      <c r="H758" s="4">
        <v>43948.010231481481</v>
      </c>
      <c r="I758" t="s">
        <v>987</v>
      </c>
      <c r="J758" s="5">
        <v>57.99999999999999999999999999999999999997</v>
      </c>
      <c r="K758" t="s">
        <v>38</v>
      </c>
      <c r="M758">
        <v>62633</v>
      </c>
      <c r="N758" t="s">
        <v>705</v>
      </c>
      <c r="O758" t="s">
        <v>706</v>
      </c>
      <c r="P758" t="s">
        <v>38</v>
      </c>
      <c r="Q758" t="s">
        <v>313</v>
      </c>
      <c r="R758">
        <v>13</v>
      </c>
      <c r="S758" t="s">
        <v>45</v>
      </c>
      <c r="T75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8">
        <v>62634</v>
      </c>
      <c r="V758" t="s">
        <v>38</v>
      </c>
      <c r="W758" t="s">
        <v>313</v>
      </c>
      <c r="X758">
        <v>13</v>
      </c>
      <c r="Y758">
        <v>0</v>
      </c>
      <c r="Z758" t="s">
        <v>46</v>
      </c>
      <c r="AA758">
        <v>62738</v>
      </c>
      <c r="AB758" t="s">
        <v>1044</v>
      </c>
      <c r="AC758" t="s">
        <v>103</v>
      </c>
      <c r="AD758" t="s">
        <v>38</v>
      </c>
      <c r="AE758" t="s">
        <v>49</v>
      </c>
      <c r="AF758" t="s">
        <v>50</v>
      </c>
      <c r="AG758">
        <v>0</v>
      </c>
      <c r="AH758">
        <v>0</v>
      </c>
      <c r="AI758" t="s">
        <v>51</v>
      </c>
      <c r="AJ758" t="s">
        <v>51</v>
      </c>
      <c r="AK758" t="s">
        <v>51</v>
      </c>
    </row>
    <row r="759" spans="1:37" x14ac:dyDescent="0.2">
      <c r="A759">
        <v>62632</v>
      </c>
      <c r="B759" t="s">
        <v>37</v>
      </c>
      <c r="C759" t="s">
        <v>38</v>
      </c>
      <c r="D759" t="s">
        <v>674</v>
      </c>
      <c r="E759" t="s">
        <v>40</v>
      </c>
      <c r="G759" s="4">
        <v>43948.009560185185</v>
      </c>
      <c r="H759" s="4">
        <v>43948.010231481481</v>
      </c>
      <c r="I759" t="s">
        <v>987</v>
      </c>
      <c r="J759" s="5">
        <v>57.99999999999999999999999999999999999997</v>
      </c>
      <c r="K759" t="s">
        <v>38</v>
      </c>
      <c r="M759">
        <v>62633</v>
      </c>
      <c r="N759" t="s">
        <v>705</v>
      </c>
      <c r="O759" t="s">
        <v>706</v>
      </c>
      <c r="P759" t="s">
        <v>38</v>
      </c>
      <c r="Q759" t="s">
        <v>313</v>
      </c>
      <c r="R759">
        <v>13</v>
      </c>
      <c r="S759" t="s">
        <v>45</v>
      </c>
      <c r="T75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59">
        <v>62634</v>
      </c>
      <c r="V759" t="s">
        <v>38</v>
      </c>
      <c r="W759" t="s">
        <v>313</v>
      </c>
      <c r="X759">
        <v>13</v>
      </c>
      <c r="Y759">
        <v>0</v>
      </c>
      <c r="Z759" t="s">
        <v>46</v>
      </c>
      <c r="AA759">
        <v>62737</v>
      </c>
      <c r="AB759" t="s">
        <v>1045</v>
      </c>
      <c r="AC759" t="s">
        <v>103</v>
      </c>
      <c r="AD759" t="s">
        <v>38</v>
      </c>
      <c r="AE759" t="s">
        <v>49</v>
      </c>
      <c r="AF759" t="s">
        <v>50</v>
      </c>
      <c r="AG759">
        <v>0</v>
      </c>
      <c r="AH759">
        <v>0</v>
      </c>
      <c r="AI759" t="s">
        <v>51</v>
      </c>
      <c r="AJ759" t="s">
        <v>51</v>
      </c>
      <c r="AK759" t="s">
        <v>51</v>
      </c>
    </row>
    <row r="760" spans="1:37" x14ac:dyDescent="0.2">
      <c r="A760">
        <v>62632</v>
      </c>
      <c r="B760" t="s">
        <v>37</v>
      </c>
      <c r="C760" t="s">
        <v>38</v>
      </c>
      <c r="D760" t="s">
        <v>674</v>
      </c>
      <c r="E760" t="s">
        <v>40</v>
      </c>
      <c r="G760" s="4">
        <v>43948.009560185185</v>
      </c>
      <c r="H760" s="4">
        <v>43948.010231481481</v>
      </c>
      <c r="I760" t="s">
        <v>987</v>
      </c>
      <c r="J760" s="5">
        <v>57.99999999999999999999999999999999999997</v>
      </c>
      <c r="K760" t="s">
        <v>38</v>
      </c>
      <c r="M760">
        <v>62633</v>
      </c>
      <c r="N760" t="s">
        <v>705</v>
      </c>
      <c r="O760" t="s">
        <v>706</v>
      </c>
      <c r="P760" t="s">
        <v>38</v>
      </c>
      <c r="Q760" t="s">
        <v>313</v>
      </c>
      <c r="R760">
        <v>13</v>
      </c>
      <c r="S760" t="s">
        <v>45</v>
      </c>
      <c r="T76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0">
        <v>62634</v>
      </c>
      <c r="V760" t="s">
        <v>38</v>
      </c>
      <c r="W760" t="s">
        <v>313</v>
      </c>
      <c r="X760">
        <v>13</v>
      </c>
      <c r="Y760">
        <v>0</v>
      </c>
      <c r="Z760" t="s">
        <v>46</v>
      </c>
      <c r="AA760">
        <v>62736</v>
      </c>
      <c r="AB760" t="s">
        <v>1046</v>
      </c>
      <c r="AC760" t="s">
        <v>103</v>
      </c>
      <c r="AD760" t="s">
        <v>38</v>
      </c>
      <c r="AE760" t="s">
        <v>49</v>
      </c>
      <c r="AF760" t="s">
        <v>50</v>
      </c>
      <c r="AG760">
        <v>0</v>
      </c>
      <c r="AH760">
        <v>0</v>
      </c>
      <c r="AI760" t="s">
        <v>51</v>
      </c>
      <c r="AJ760" t="s">
        <v>51</v>
      </c>
      <c r="AK760" t="s">
        <v>51</v>
      </c>
    </row>
    <row r="761" spans="1:37" x14ac:dyDescent="0.2">
      <c r="A761">
        <v>62632</v>
      </c>
      <c r="B761" t="s">
        <v>37</v>
      </c>
      <c r="C761" t="s">
        <v>38</v>
      </c>
      <c r="D761" t="s">
        <v>674</v>
      </c>
      <c r="E761" t="s">
        <v>40</v>
      </c>
      <c r="G761" s="4">
        <v>43948.009560185185</v>
      </c>
      <c r="H761" s="4">
        <v>43948.010231481481</v>
      </c>
      <c r="I761" t="s">
        <v>987</v>
      </c>
      <c r="J761" s="5">
        <v>57.99999999999999999999999999999999999997</v>
      </c>
      <c r="K761" t="s">
        <v>38</v>
      </c>
      <c r="M761">
        <v>62633</v>
      </c>
      <c r="N761" t="s">
        <v>705</v>
      </c>
      <c r="O761" t="s">
        <v>706</v>
      </c>
      <c r="P761" t="s">
        <v>38</v>
      </c>
      <c r="Q761" t="s">
        <v>313</v>
      </c>
      <c r="R761">
        <v>13</v>
      </c>
      <c r="S761" t="s">
        <v>45</v>
      </c>
      <c r="T76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1">
        <v>62634</v>
      </c>
      <c r="V761" t="s">
        <v>38</v>
      </c>
      <c r="W761" t="s">
        <v>313</v>
      </c>
      <c r="X761">
        <v>13</v>
      </c>
      <c r="Y761">
        <v>0</v>
      </c>
      <c r="Z761" t="s">
        <v>46</v>
      </c>
      <c r="AA761">
        <v>62735</v>
      </c>
      <c r="AB761" t="s">
        <v>1047</v>
      </c>
      <c r="AC761" t="s">
        <v>103</v>
      </c>
      <c r="AD761" t="s">
        <v>38</v>
      </c>
      <c r="AE761" t="s">
        <v>49</v>
      </c>
      <c r="AF761" t="s">
        <v>50</v>
      </c>
      <c r="AG761">
        <v>0</v>
      </c>
      <c r="AH761">
        <v>0</v>
      </c>
      <c r="AI761" t="s">
        <v>51</v>
      </c>
      <c r="AJ761" t="s">
        <v>51</v>
      </c>
      <c r="AK761" t="s">
        <v>51</v>
      </c>
    </row>
    <row r="762" spans="1:37" x14ac:dyDescent="0.2">
      <c r="A762">
        <v>62632</v>
      </c>
      <c r="B762" t="s">
        <v>37</v>
      </c>
      <c r="C762" t="s">
        <v>38</v>
      </c>
      <c r="D762" t="s">
        <v>674</v>
      </c>
      <c r="E762" t="s">
        <v>40</v>
      </c>
      <c r="G762" s="4">
        <v>43948.009560185185</v>
      </c>
      <c r="H762" s="4">
        <v>43948.010231481481</v>
      </c>
      <c r="I762" t="s">
        <v>987</v>
      </c>
      <c r="J762" s="5">
        <v>57.99999999999999999999999999999999999997</v>
      </c>
      <c r="K762" t="s">
        <v>38</v>
      </c>
      <c r="M762">
        <v>62633</v>
      </c>
      <c r="N762" t="s">
        <v>705</v>
      </c>
      <c r="O762" t="s">
        <v>706</v>
      </c>
      <c r="P762" t="s">
        <v>38</v>
      </c>
      <c r="Q762" t="s">
        <v>313</v>
      </c>
      <c r="R762">
        <v>13</v>
      </c>
      <c r="S762" t="s">
        <v>45</v>
      </c>
      <c r="T76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2">
        <v>62634</v>
      </c>
      <c r="V762" t="s">
        <v>38</v>
      </c>
      <c r="W762" t="s">
        <v>313</v>
      </c>
      <c r="X762">
        <v>13</v>
      </c>
      <c r="Y762">
        <v>0</v>
      </c>
      <c r="Z762" t="s">
        <v>46</v>
      </c>
      <c r="AA762">
        <v>62734</v>
      </c>
      <c r="AB762" t="s">
        <v>1048</v>
      </c>
      <c r="AC762" t="s">
        <v>103</v>
      </c>
      <c r="AD762" t="s">
        <v>38</v>
      </c>
      <c r="AE762" t="s">
        <v>49</v>
      </c>
      <c r="AF762" t="s">
        <v>50</v>
      </c>
      <c r="AG762">
        <v>.9999999999999999999999999999999999999996</v>
      </c>
      <c r="AH762">
        <v>0</v>
      </c>
      <c r="AI762" t="s">
        <v>51</v>
      </c>
      <c r="AJ762" t="s">
        <v>51</v>
      </c>
      <c r="AK762" t="s">
        <v>51</v>
      </c>
    </row>
    <row r="763" spans="1:37" x14ac:dyDescent="0.2">
      <c r="A763">
        <v>62632</v>
      </c>
      <c r="B763" t="s">
        <v>37</v>
      </c>
      <c r="C763" t="s">
        <v>38</v>
      </c>
      <c r="D763" t="s">
        <v>674</v>
      </c>
      <c r="E763" t="s">
        <v>40</v>
      </c>
      <c r="G763" s="4">
        <v>43948.009560185185</v>
      </c>
      <c r="H763" s="4">
        <v>43948.010231481481</v>
      </c>
      <c r="I763" t="s">
        <v>987</v>
      </c>
      <c r="J763" s="5">
        <v>57.99999999999999999999999999999999999997</v>
      </c>
      <c r="K763" t="s">
        <v>38</v>
      </c>
      <c r="M763">
        <v>62633</v>
      </c>
      <c r="N763" t="s">
        <v>705</v>
      </c>
      <c r="O763" t="s">
        <v>706</v>
      </c>
      <c r="P763" t="s">
        <v>38</v>
      </c>
      <c r="Q763" t="s">
        <v>313</v>
      </c>
      <c r="R763">
        <v>13</v>
      </c>
      <c r="S763" t="s">
        <v>45</v>
      </c>
      <c r="T76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3">
        <v>62634</v>
      </c>
      <c r="V763" t="s">
        <v>38</v>
      </c>
      <c r="W763" t="s">
        <v>313</v>
      </c>
      <c r="X763">
        <v>13</v>
      </c>
      <c r="Y763">
        <v>0</v>
      </c>
      <c r="Z763" t="s">
        <v>46</v>
      </c>
      <c r="AA763">
        <v>62733</v>
      </c>
      <c r="AB763" t="s">
        <v>1049</v>
      </c>
      <c r="AC763" t="s">
        <v>103</v>
      </c>
      <c r="AD763" t="s">
        <v>38</v>
      </c>
      <c r="AE763" t="s">
        <v>49</v>
      </c>
      <c r="AF763" t="s">
        <v>50</v>
      </c>
      <c r="AG763">
        <v>0</v>
      </c>
      <c r="AH763">
        <v>0</v>
      </c>
      <c r="AI763" t="s">
        <v>51</v>
      </c>
      <c r="AJ763" t="s">
        <v>51</v>
      </c>
      <c r="AK763" t="s">
        <v>51</v>
      </c>
    </row>
    <row r="764" spans="1:37" x14ac:dyDescent="0.2">
      <c r="A764">
        <v>62632</v>
      </c>
      <c r="B764" t="s">
        <v>37</v>
      </c>
      <c r="C764" t="s">
        <v>38</v>
      </c>
      <c r="D764" t="s">
        <v>674</v>
      </c>
      <c r="E764" t="s">
        <v>40</v>
      </c>
      <c r="G764" s="4">
        <v>43948.009560185185</v>
      </c>
      <c r="H764" s="4">
        <v>43948.010231481481</v>
      </c>
      <c r="I764" t="s">
        <v>987</v>
      </c>
      <c r="J764" s="5">
        <v>57.99999999999999999999999999999999999997</v>
      </c>
      <c r="K764" t="s">
        <v>38</v>
      </c>
      <c r="M764">
        <v>62633</v>
      </c>
      <c r="N764" t="s">
        <v>705</v>
      </c>
      <c r="O764" t="s">
        <v>706</v>
      </c>
      <c r="P764" t="s">
        <v>38</v>
      </c>
      <c r="Q764" t="s">
        <v>313</v>
      </c>
      <c r="R764">
        <v>13</v>
      </c>
      <c r="S764" t="s">
        <v>45</v>
      </c>
      <c r="T76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4">
        <v>62634</v>
      </c>
      <c r="V764" t="s">
        <v>38</v>
      </c>
      <c r="W764" t="s">
        <v>313</v>
      </c>
      <c r="X764">
        <v>13</v>
      </c>
      <c r="Y764">
        <v>0</v>
      </c>
      <c r="Z764" t="s">
        <v>46</v>
      </c>
      <c r="AA764">
        <v>62732</v>
      </c>
      <c r="AB764" t="s">
        <v>1050</v>
      </c>
      <c r="AC764" t="s">
        <v>103</v>
      </c>
      <c r="AD764" t="s">
        <v>38</v>
      </c>
      <c r="AE764" t="s">
        <v>49</v>
      </c>
      <c r="AF764" t="s">
        <v>50</v>
      </c>
      <c r="AG764">
        <v>0</v>
      </c>
      <c r="AH764">
        <v>0</v>
      </c>
      <c r="AI764" t="s">
        <v>51</v>
      </c>
      <c r="AJ764" t="s">
        <v>51</v>
      </c>
      <c r="AK764" t="s">
        <v>51</v>
      </c>
    </row>
    <row r="765" spans="1:37" x14ac:dyDescent="0.2">
      <c r="A765">
        <v>62632</v>
      </c>
      <c r="B765" t="s">
        <v>37</v>
      </c>
      <c r="C765" t="s">
        <v>38</v>
      </c>
      <c r="D765" t="s">
        <v>674</v>
      </c>
      <c r="E765" t="s">
        <v>40</v>
      </c>
      <c r="G765" s="4">
        <v>43948.009560185185</v>
      </c>
      <c r="H765" s="4">
        <v>43948.010231481481</v>
      </c>
      <c r="I765" t="s">
        <v>987</v>
      </c>
      <c r="J765" s="5">
        <v>57.99999999999999999999999999999999999997</v>
      </c>
      <c r="K765" t="s">
        <v>38</v>
      </c>
      <c r="M765">
        <v>62633</v>
      </c>
      <c r="N765" t="s">
        <v>705</v>
      </c>
      <c r="O765" t="s">
        <v>706</v>
      </c>
      <c r="P765" t="s">
        <v>38</v>
      </c>
      <c r="Q765" t="s">
        <v>313</v>
      </c>
      <c r="R765">
        <v>13</v>
      </c>
      <c r="S765" t="s">
        <v>45</v>
      </c>
      <c r="T76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5">
        <v>62634</v>
      </c>
      <c r="V765" t="s">
        <v>38</v>
      </c>
      <c r="W765" t="s">
        <v>313</v>
      </c>
      <c r="X765">
        <v>13</v>
      </c>
      <c r="Y765">
        <v>0</v>
      </c>
      <c r="Z765" t="s">
        <v>46</v>
      </c>
      <c r="AA765">
        <v>62731</v>
      </c>
      <c r="AB765" t="s">
        <v>1051</v>
      </c>
      <c r="AC765" t="s">
        <v>103</v>
      </c>
      <c r="AD765" t="s">
        <v>38</v>
      </c>
      <c r="AE765" t="s">
        <v>49</v>
      </c>
      <c r="AF765" t="s">
        <v>50</v>
      </c>
      <c r="AG765">
        <v>0</v>
      </c>
      <c r="AH765">
        <v>0</v>
      </c>
      <c r="AI765" t="s">
        <v>51</v>
      </c>
      <c r="AJ765" t="s">
        <v>51</v>
      </c>
      <c r="AK765" t="s">
        <v>51</v>
      </c>
    </row>
    <row r="766" spans="1:37" x14ac:dyDescent="0.2">
      <c r="A766">
        <v>62632</v>
      </c>
      <c r="B766" t="s">
        <v>37</v>
      </c>
      <c r="C766" t="s">
        <v>38</v>
      </c>
      <c r="D766" t="s">
        <v>674</v>
      </c>
      <c r="E766" t="s">
        <v>40</v>
      </c>
      <c r="G766" s="4">
        <v>43948.009560185185</v>
      </c>
      <c r="H766" s="4">
        <v>43948.010231481481</v>
      </c>
      <c r="I766" t="s">
        <v>987</v>
      </c>
      <c r="J766" s="5">
        <v>57.99999999999999999999999999999999999997</v>
      </c>
      <c r="K766" t="s">
        <v>38</v>
      </c>
      <c r="M766">
        <v>62633</v>
      </c>
      <c r="N766" t="s">
        <v>705</v>
      </c>
      <c r="O766" t="s">
        <v>706</v>
      </c>
      <c r="P766" t="s">
        <v>38</v>
      </c>
      <c r="Q766" t="s">
        <v>313</v>
      </c>
      <c r="R766">
        <v>13</v>
      </c>
      <c r="S766" t="s">
        <v>45</v>
      </c>
      <c r="T76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6">
        <v>62634</v>
      </c>
      <c r="V766" t="s">
        <v>38</v>
      </c>
      <c r="W766" t="s">
        <v>313</v>
      </c>
      <c r="X766">
        <v>13</v>
      </c>
      <c r="Y766">
        <v>0</v>
      </c>
      <c r="Z766" t="s">
        <v>46</v>
      </c>
      <c r="AA766">
        <v>62730</v>
      </c>
      <c r="AB766" t="s">
        <v>1052</v>
      </c>
      <c r="AC766" t="s">
        <v>103</v>
      </c>
      <c r="AD766" t="s">
        <v>38</v>
      </c>
      <c r="AE766" t="s">
        <v>49</v>
      </c>
      <c r="AF766" t="s">
        <v>50</v>
      </c>
      <c r="AG766">
        <v>0</v>
      </c>
      <c r="AH766">
        <v>0</v>
      </c>
      <c r="AI766" t="s">
        <v>51</v>
      </c>
      <c r="AJ766" t="s">
        <v>51</v>
      </c>
      <c r="AK766" t="s">
        <v>51</v>
      </c>
    </row>
    <row r="767" spans="1:37" x14ac:dyDescent="0.2">
      <c r="A767">
        <v>62632</v>
      </c>
      <c r="B767" t="s">
        <v>37</v>
      </c>
      <c r="C767" t="s">
        <v>38</v>
      </c>
      <c r="D767" t="s">
        <v>674</v>
      </c>
      <c r="E767" t="s">
        <v>40</v>
      </c>
      <c r="G767" s="4">
        <v>43948.009560185185</v>
      </c>
      <c r="H767" s="4">
        <v>43948.010231481481</v>
      </c>
      <c r="I767" t="s">
        <v>987</v>
      </c>
      <c r="J767" s="5">
        <v>57.99999999999999999999999999999999999997</v>
      </c>
      <c r="K767" t="s">
        <v>38</v>
      </c>
      <c r="M767">
        <v>62633</v>
      </c>
      <c r="N767" t="s">
        <v>705</v>
      </c>
      <c r="O767" t="s">
        <v>706</v>
      </c>
      <c r="P767" t="s">
        <v>38</v>
      </c>
      <c r="Q767" t="s">
        <v>313</v>
      </c>
      <c r="R767">
        <v>13</v>
      </c>
      <c r="S767" t="s">
        <v>45</v>
      </c>
      <c r="T76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7">
        <v>62634</v>
      </c>
      <c r="V767" t="s">
        <v>38</v>
      </c>
      <c r="W767" t="s">
        <v>313</v>
      </c>
      <c r="X767">
        <v>13</v>
      </c>
      <c r="Y767">
        <v>0</v>
      </c>
      <c r="Z767" t="s">
        <v>46</v>
      </c>
      <c r="AA767">
        <v>62729</v>
      </c>
      <c r="AB767" t="s">
        <v>1053</v>
      </c>
      <c r="AC767" t="s">
        <v>103</v>
      </c>
      <c r="AD767" t="s">
        <v>38</v>
      </c>
      <c r="AE767" t="s">
        <v>49</v>
      </c>
      <c r="AF767" t="s">
        <v>50</v>
      </c>
      <c r="AG767">
        <v>0</v>
      </c>
      <c r="AH767">
        <v>0</v>
      </c>
      <c r="AI767" t="s">
        <v>51</v>
      </c>
      <c r="AJ767" t="s">
        <v>51</v>
      </c>
      <c r="AK767" t="s">
        <v>51</v>
      </c>
    </row>
    <row r="768" spans="1:37" x14ac:dyDescent="0.2">
      <c r="A768">
        <v>62632</v>
      </c>
      <c r="B768" t="s">
        <v>37</v>
      </c>
      <c r="C768" t="s">
        <v>38</v>
      </c>
      <c r="D768" t="s">
        <v>674</v>
      </c>
      <c r="E768" t="s">
        <v>40</v>
      </c>
      <c r="G768" s="4">
        <v>43948.009560185185</v>
      </c>
      <c r="H768" s="4">
        <v>43948.010231481481</v>
      </c>
      <c r="I768" t="s">
        <v>987</v>
      </c>
      <c r="J768" s="5">
        <v>57.99999999999999999999999999999999999997</v>
      </c>
      <c r="K768" t="s">
        <v>38</v>
      </c>
      <c r="M768">
        <v>62633</v>
      </c>
      <c r="N768" t="s">
        <v>705</v>
      </c>
      <c r="O768" t="s">
        <v>706</v>
      </c>
      <c r="P768" t="s">
        <v>38</v>
      </c>
      <c r="Q768" t="s">
        <v>313</v>
      </c>
      <c r="R768">
        <v>13</v>
      </c>
      <c r="S768" t="s">
        <v>45</v>
      </c>
      <c r="T76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8">
        <v>62634</v>
      </c>
      <c r="V768" t="s">
        <v>38</v>
      </c>
      <c r="W768" t="s">
        <v>313</v>
      </c>
      <c r="X768">
        <v>13</v>
      </c>
      <c r="Y768">
        <v>0</v>
      </c>
      <c r="Z768" t="s">
        <v>46</v>
      </c>
      <c r="AA768">
        <v>62728</v>
      </c>
      <c r="AB768" t="s">
        <v>1054</v>
      </c>
      <c r="AC768" t="s">
        <v>103</v>
      </c>
      <c r="AD768" t="s">
        <v>38</v>
      </c>
      <c r="AE768" t="s">
        <v>49</v>
      </c>
      <c r="AF768" t="s">
        <v>50</v>
      </c>
      <c r="AG768">
        <v>0</v>
      </c>
      <c r="AH768">
        <v>0</v>
      </c>
      <c r="AI768" t="s">
        <v>51</v>
      </c>
      <c r="AJ768" t="s">
        <v>51</v>
      </c>
      <c r="AK768" t="s">
        <v>51</v>
      </c>
    </row>
    <row r="769" spans="1:37" x14ac:dyDescent="0.2">
      <c r="A769">
        <v>62632</v>
      </c>
      <c r="B769" t="s">
        <v>37</v>
      </c>
      <c r="C769" t="s">
        <v>38</v>
      </c>
      <c r="D769" t="s">
        <v>674</v>
      </c>
      <c r="E769" t="s">
        <v>40</v>
      </c>
      <c r="G769" s="4">
        <v>43948.009560185185</v>
      </c>
      <c r="H769" s="4">
        <v>43948.010231481481</v>
      </c>
      <c r="I769" t="s">
        <v>987</v>
      </c>
      <c r="J769" s="5">
        <v>57.99999999999999999999999999999999999997</v>
      </c>
      <c r="K769" t="s">
        <v>38</v>
      </c>
      <c r="M769">
        <v>62633</v>
      </c>
      <c r="N769" t="s">
        <v>705</v>
      </c>
      <c r="O769" t="s">
        <v>706</v>
      </c>
      <c r="P769" t="s">
        <v>38</v>
      </c>
      <c r="Q769" t="s">
        <v>313</v>
      </c>
      <c r="R769">
        <v>13</v>
      </c>
      <c r="S769" t="s">
        <v>45</v>
      </c>
      <c r="T76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69">
        <v>62634</v>
      </c>
      <c r="V769" t="s">
        <v>38</v>
      </c>
      <c r="W769" t="s">
        <v>313</v>
      </c>
      <c r="X769">
        <v>13</v>
      </c>
      <c r="Y769">
        <v>0</v>
      </c>
      <c r="Z769" t="s">
        <v>46</v>
      </c>
      <c r="AA769">
        <v>62727</v>
      </c>
      <c r="AB769" t="s">
        <v>1055</v>
      </c>
      <c r="AC769" t="s">
        <v>103</v>
      </c>
      <c r="AD769" t="s">
        <v>38</v>
      </c>
      <c r="AE769" t="s">
        <v>49</v>
      </c>
      <c r="AF769" t="s">
        <v>50</v>
      </c>
      <c r="AG769">
        <v>0</v>
      </c>
      <c r="AH769">
        <v>0</v>
      </c>
      <c r="AI769" t="s">
        <v>51</v>
      </c>
      <c r="AJ769" t="s">
        <v>51</v>
      </c>
      <c r="AK769" t="s">
        <v>51</v>
      </c>
    </row>
    <row r="770" spans="1:37" x14ac:dyDescent="0.2">
      <c r="A770">
        <v>62632</v>
      </c>
      <c r="B770" t="s">
        <v>37</v>
      </c>
      <c r="C770" t="s">
        <v>38</v>
      </c>
      <c r="D770" t="s">
        <v>674</v>
      </c>
      <c r="E770" t="s">
        <v>40</v>
      </c>
      <c r="G770" s="4">
        <v>43948.009560185185</v>
      </c>
      <c r="H770" s="4">
        <v>43948.010231481481</v>
      </c>
      <c r="I770" t="s">
        <v>987</v>
      </c>
      <c r="J770" s="5">
        <v>57.99999999999999999999999999999999999997</v>
      </c>
      <c r="K770" t="s">
        <v>38</v>
      </c>
      <c r="M770">
        <v>62633</v>
      </c>
      <c r="N770" t="s">
        <v>705</v>
      </c>
      <c r="O770" t="s">
        <v>706</v>
      </c>
      <c r="P770" t="s">
        <v>38</v>
      </c>
      <c r="Q770" t="s">
        <v>313</v>
      </c>
      <c r="R770">
        <v>13</v>
      </c>
      <c r="S770" t="s">
        <v>45</v>
      </c>
      <c r="T77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0">
        <v>62634</v>
      </c>
      <c r="V770" t="s">
        <v>38</v>
      </c>
      <c r="W770" t="s">
        <v>313</v>
      </c>
      <c r="X770">
        <v>13</v>
      </c>
      <c r="Y770">
        <v>0</v>
      </c>
      <c r="Z770" t="s">
        <v>46</v>
      </c>
      <c r="AA770">
        <v>62726</v>
      </c>
      <c r="AB770" t="s">
        <v>1056</v>
      </c>
      <c r="AC770" t="s">
        <v>103</v>
      </c>
      <c r="AD770" t="s">
        <v>38</v>
      </c>
      <c r="AE770" t="s">
        <v>49</v>
      </c>
      <c r="AF770" t="s">
        <v>50</v>
      </c>
      <c r="AG770">
        <v>0</v>
      </c>
      <c r="AH770">
        <v>0</v>
      </c>
      <c r="AI770" t="s">
        <v>51</v>
      </c>
      <c r="AJ770" t="s">
        <v>51</v>
      </c>
      <c r="AK770" t="s">
        <v>51</v>
      </c>
    </row>
    <row r="771" spans="1:37" x14ac:dyDescent="0.2">
      <c r="A771">
        <v>62632</v>
      </c>
      <c r="B771" t="s">
        <v>37</v>
      </c>
      <c r="C771" t="s">
        <v>38</v>
      </c>
      <c r="D771" t="s">
        <v>674</v>
      </c>
      <c r="E771" t="s">
        <v>40</v>
      </c>
      <c r="G771" s="4">
        <v>43948.009560185185</v>
      </c>
      <c r="H771" s="4">
        <v>43948.010231481481</v>
      </c>
      <c r="I771" t="s">
        <v>987</v>
      </c>
      <c r="J771" s="5">
        <v>57.99999999999999999999999999999999999997</v>
      </c>
      <c r="K771" t="s">
        <v>38</v>
      </c>
      <c r="M771">
        <v>62633</v>
      </c>
      <c r="N771" t="s">
        <v>705</v>
      </c>
      <c r="O771" t="s">
        <v>706</v>
      </c>
      <c r="P771" t="s">
        <v>38</v>
      </c>
      <c r="Q771" t="s">
        <v>313</v>
      </c>
      <c r="R771">
        <v>13</v>
      </c>
      <c r="S771" t="s">
        <v>45</v>
      </c>
      <c r="T77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1">
        <v>62634</v>
      </c>
      <c r="V771" t="s">
        <v>38</v>
      </c>
      <c r="W771" t="s">
        <v>313</v>
      </c>
      <c r="X771">
        <v>13</v>
      </c>
      <c r="Y771">
        <v>0</v>
      </c>
      <c r="Z771" t="s">
        <v>46</v>
      </c>
      <c r="AA771">
        <v>62725</v>
      </c>
      <c r="AB771" t="s">
        <v>1057</v>
      </c>
      <c r="AC771" t="s">
        <v>103</v>
      </c>
      <c r="AD771" t="s">
        <v>38</v>
      </c>
      <c r="AE771" t="s">
        <v>49</v>
      </c>
      <c r="AF771" t="s">
        <v>50</v>
      </c>
      <c r="AG771">
        <v>0</v>
      </c>
      <c r="AH771">
        <v>0</v>
      </c>
      <c r="AI771" t="s">
        <v>51</v>
      </c>
      <c r="AJ771" t="s">
        <v>51</v>
      </c>
      <c r="AK771" t="s">
        <v>51</v>
      </c>
    </row>
    <row r="772" spans="1:37" x14ac:dyDescent="0.2">
      <c r="A772">
        <v>62632</v>
      </c>
      <c r="B772" t="s">
        <v>37</v>
      </c>
      <c r="C772" t="s">
        <v>38</v>
      </c>
      <c r="D772" t="s">
        <v>674</v>
      </c>
      <c r="E772" t="s">
        <v>40</v>
      </c>
      <c r="G772" s="4">
        <v>43948.009560185185</v>
      </c>
      <c r="H772" s="4">
        <v>43948.010231481481</v>
      </c>
      <c r="I772" t="s">
        <v>987</v>
      </c>
      <c r="J772" s="5">
        <v>57.99999999999999999999999999999999999997</v>
      </c>
      <c r="K772" t="s">
        <v>38</v>
      </c>
      <c r="M772">
        <v>62633</v>
      </c>
      <c r="N772" t="s">
        <v>705</v>
      </c>
      <c r="O772" t="s">
        <v>706</v>
      </c>
      <c r="P772" t="s">
        <v>38</v>
      </c>
      <c r="Q772" t="s">
        <v>313</v>
      </c>
      <c r="R772">
        <v>13</v>
      </c>
      <c r="S772" t="s">
        <v>45</v>
      </c>
      <c r="T77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2">
        <v>62634</v>
      </c>
      <c r="V772" t="s">
        <v>38</v>
      </c>
      <c r="W772" t="s">
        <v>313</v>
      </c>
      <c r="X772">
        <v>13</v>
      </c>
      <c r="Y772">
        <v>0</v>
      </c>
      <c r="Z772" t="s">
        <v>46</v>
      </c>
      <c r="AA772">
        <v>62724</v>
      </c>
      <c r="AB772" t="s">
        <v>1058</v>
      </c>
      <c r="AC772" t="s">
        <v>103</v>
      </c>
      <c r="AD772" t="s">
        <v>38</v>
      </c>
      <c r="AE772" t="s">
        <v>49</v>
      </c>
      <c r="AF772" t="s">
        <v>50</v>
      </c>
      <c r="AG772">
        <v>0</v>
      </c>
      <c r="AH772">
        <v>0</v>
      </c>
      <c r="AI772" t="s">
        <v>51</v>
      </c>
      <c r="AJ772" t="s">
        <v>51</v>
      </c>
      <c r="AK772" t="s">
        <v>51</v>
      </c>
    </row>
    <row r="773" spans="1:37" x14ac:dyDescent="0.2">
      <c r="A773">
        <v>62632</v>
      </c>
      <c r="B773" t="s">
        <v>37</v>
      </c>
      <c r="C773" t="s">
        <v>38</v>
      </c>
      <c r="D773" t="s">
        <v>674</v>
      </c>
      <c r="E773" t="s">
        <v>40</v>
      </c>
      <c r="G773" s="4">
        <v>43948.009560185185</v>
      </c>
      <c r="H773" s="4">
        <v>43948.010231481481</v>
      </c>
      <c r="I773" t="s">
        <v>987</v>
      </c>
      <c r="J773" s="5">
        <v>57.99999999999999999999999999999999999997</v>
      </c>
      <c r="K773" t="s">
        <v>38</v>
      </c>
      <c r="M773">
        <v>62633</v>
      </c>
      <c r="N773" t="s">
        <v>705</v>
      </c>
      <c r="O773" t="s">
        <v>706</v>
      </c>
      <c r="P773" t="s">
        <v>38</v>
      </c>
      <c r="Q773" t="s">
        <v>313</v>
      </c>
      <c r="R773">
        <v>13</v>
      </c>
      <c r="S773" t="s">
        <v>45</v>
      </c>
      <c r="T77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3">
        <v>62634</v>
      </c>
      <c r="V773" t="s">
        <v>38</v>
      </c>
      <c r="W773" t="s">
        <v>313</v>
      </c>
      <c r="X773">
        <v>13</v>
      </c>
      <c r="Y773">
        <v>0</v>
      </c>
      <c r="Z773" t="s">
        <v>46</v>
      </c>
      <c r="AA773">
        <v>62723</v>
      </c>
      <c r="AB773" t="s">
        <v>1059</v>
      </c>
      <c r="AC773" t="s">
        <v>103</v>
      </c>
      <c r="AD773" t="s">
        <v>38</v>
      </c>
      <c r="AE773" t="s">
        <v>49</v>
      </c>
      <c r="AF773" t="s">
        <v>50</v>
      </c>
      <c r="AG773">
        <v>0</v>
      </c>
      <c r="AH773">
        <v>0</v>
      </c>
      <c r="AI773" t="s">
        <v>51</v>
      </c>
      <c r="AJ773" t="s">
        <v>51</v>
      </c>
      <c r="AK773" t="s">
        <v>51</v>
      </c>
    </row>
    <row r="774" spans="1:37" x14ac:dyDescent="0.2">
      <c r="A774">
        <v>62632</v>
      </c>
      <c r="B774" t="s">
        <v>37</v>
      </c>
      <c r="C774" t="s">
        <v>38</v>
      </c>
      <c r="D774" t="s">
        <v>674</v>
      </c>
      <c r="E774" t="s">
        <v>40</v>
      </c>
      <c r="G774" s="4">
        <v>43948.009560185185</v>
      </c>
      <c r="H774" s="4">
        <v>43948.010231481481</v>
      </c>
      <c r="I774" t="s">
        <v>987</v>
      </c>
      <c r="J774" s="5">
        <v>57.99999999999999999999999999999999999997</v>
      </c>
      <c r="K774" t="s">
        <v>38</v>
      </c>
      <c r="M774">
        <v>62633</v>
      </c>
      <c r="N774" t="s">
        <v>705</v>
      </c>
      <c r="O774" t="s">
        <v>706</v>
      </c>
      <c r="P774" t="s">
        <v>38</v>
      </c>
      <c r="Q774" t="s">
        <v>313</v>
      </c>
      <c r="R774">
        <v>13</v>
      </c>
      <c r="S774" t="s">
        <v>45</v>
      </c>
      <c r="T77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4">
        <v>62634</v>
      </c>
      <c r="V774" t="s">
        <v>38</v>
      </c>
      <c r="W774" t="s">
        <v>313</v>
      </c>
      <c r="X774">
        <v>13</v>
      </c>
      <c r="Y774">
        <v>0</v>
      </c>
      <c r="Z774" t="s">
        <v>46</v>
      </c>
      <c r="AA774">
        <v>62722</v>
      </c>
      <c r="AB774" t="s">
        <v>1060</v>
      </c>
      <c r="AC774" t="s">
        <v>103</v>
      </c>
      <c r="AD774" t="s">
        <v>38</v>
      </c>
      <c r="AE774" t="s">
        <v>49</v>
      </c>
      <c r="AF774" t="s">
        <v>50</v>
      </c>
      <c r="AG774">
        <v>0</v>
      </c>
      <c r="AH774">
        <v>0</v>
      </c>
      <c r="AI774" t="s">
        <v>51</v>
      </c>
      <c r="AJ774" t="s">
        <v>51</v>
      </c>
      <c r="AK774" t="s">
        <v>51</v>
      </c>
    </row>
    <row r="775" spans="1:37" x14ac:dyDescent="0.2">
      <c r="A775">
        <v>62632</v>
      </c>
      <c r="B775" t="s">
        <v>37</v>
      </c>
      <c r="C775" t="s">
        <v>38</v>
      </c>
      <c r="D775" t="s">
        <v>674</v>
      </c>
      <c r="E775" t="s">
        <v>40</v>
      </c>
      <c r="G775" s="4">
        <v>43948.009560185185</v>
      </c>
      <c r="H775" s="4">
        <v>43948.010231481481</v>
      </c>
      <c r="I775" t="s">
        <v>987</v>
      </c>
      <c r="J775" s="5">
        <v>57.99999999999999999999999999999999999997</v>
      </c>
      <c r="K775" t="s">
        <v>38</v>
      </c>
      <c r="M775">
        <v>62633</v>
      </c>
      <c r="N775" t="s">
        <v>705</v>
      </c>
      <c r="O775" t="s">
        <v>706</v>
      </c>
      <c r="P775" t="s">
        <v>38</v>
      </c>
      <c r="Q775" t="s">
        <v>313</v>
      </c>
      <c r="R775">
        <v>13</v>
      </c>
      <c r="S775" t="s">
        <v>45</v>
      </c>
      <c r="T77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5">
        <v>62634</v>
      </c>
      <c r="V775" t="s">
        <v>38</v>
      </c>
      <c r="W775" t="s">
        <v>313</v>
      </c>
      <c r="X775">
        <v>13</v>
      </c>
      <c r="Y775">
        <v>0</v>
      </c>
      <c r="Z775" t="s">
        <v>46</v>
      </c>
      <c r="AA775">
        <v>62721</v>
      </c>
      <c r="AB775" t="s">
        <v>1061</v>
      </c>
      <c r="AC775" t="s">
        <v>103</v>
      </c>
      <c r="AD775" t="s">
        <v>38</v>
      </c>
      <c r="AE775" t="s">
        <v>49</v>
      </c>
      <c r="AF775" t="s">
        <v>50</v>
      </c>
      <c r="AG775">
        <v>0</v>
      </c>
      <c r="AH775">
        <v>0</v>
      </c>
      <c r="AI775" t="s">
        <v>51</v>
      </c>
      <c r="AJ775" t="s">
        <v>51</v>
      </c>
      <c r="AK775" t="s">
        <v>51</v>
      </c>
    </row>
    <row r="776" spans="1:37" x14ac:dyDescent="0.2">
      <c r="A776">
        <v>62632</v>
      </c>
      <c r="B776" t="s">
        <v>37</v>
      </c>
      <c r="C776" t="s">
        <v>38</v>
      </c>
      <c r="D776" t="s">
        <v>674</v>
      </c>
      <c r="E776" t="s">
        <v>40</v>
      </c>
      <c r="G776" s="4">
        <v>43948.009560185185</v>
      </c>
      <c r="H776" s="4">
        <v>43948.010231481481</v>
      </c>
      <c r="I776" t="s">
        <v>987</v>
      </c>
      <c r="J776" s="5">
        <v>57.99999999999999999999999999999999999997</v>
      </c>
      <c r="K776" t="s">
        <v>38</v>
      </c>
      <c r="M776">
        <v>62633</v>
      </c>
      <c r="N776" t="s">
        <v>705</v>
      </c>
      <c r="O776" t="s">
        <v>706</v>
      </c>
      <c r="P776" t="s">
        <v>38</v>
      </c>
      <c r="Q776" t="s">
        <v>313</v>
      </c>
      <c r="R776">
        <v>13</v>
      </c>
      <c r="S776" t="s">
        <v>45</v>
      </c>
      <c r="T77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6">
        <v>62634</v>
      </c>
      <c r="V776" t="s">
        <v>38</v>
      </c>
      <c r="W776" t="s">
        <v>313</v>
      </c>
      <c r="X776">
        <v>13</v>
      </c>
      <c r="Y776">
        <v>0</v>
      </c>
      <c r="Z776" t="s">
        <v>46</v>
      </c>
      <c r="AA776">
        <v>62720</v>
      </c>
      <c r="AB776" t="s">
        <v>1062</v>
      </c>
      <c r="AC776" t="s">
        <v>103</v>
      </c>
      <c r="AD776" t="s">
        <v>38</v>
      </c>
      <c r="AE776" t="s">
        <v>49</v>
      </c>
      <c r="AF776" t="s">
        <v>50</v>
      </c>
      <c r="AG776">
        <v>0</v>
      </c>
      <c r="AH776">
        <v>0</v>
      </c>
      <c r="AI776" t="s">
        <v>51</v>
      </c>
      <c r="AJ776" t="s">
        <v>51</v>
      </c>
      <c r="AK776" t="s">
        <v>51</v>
      </c>
    </row>
    <row r="777" spans="1:37" x14ac:dyDescent="0.2">
      <c r="A777">
        <v>62632</v>
      </c>
      <c r="B777" t="s">
        <v>37</v>
      </c>
      <c r="C777" t="s">
        <v>38</v>
      </c>
      <c r="D777" t="s">
        <v>674</v>
      </c>
      <c r="E777" t="s">
        <v>40</v>
      </c>
      <c r="G777" s="4">
        <v>43948.009560185185</v>
      </c>
      <c r="H777" s="4">
        <v>43948.010231481481</v>
      </c>
      <c r="I777" t="s">
        <v>987</v>
      </c>
      <c r="J777" s="5">
        <v>57.99999999999999999999999999999999999997</v>
      </c>
      <c r="K777" t="s">
        <v>38</v>
      </c>
      <c r="M777">
        <v>62633</v>
      </c>
      <c r="N777" t="s">
        <v>705</v>
      </c>
      <c r="O777" t="s">
        <v>706</v>
      </c>
      <c r="P777" t="s">
        <v>38</v>
      </c>
      <c r="Q777" t="s">
        <v>313</v>
      </c>
      <c r="R777">
        <v>13</v>
      </c>
      <c r="S777" t="s">
        <v>45</v>
      </c>
      <c r="T77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7">
        <v>62634</v>
      </c>
      <c r="V777" t="s">
        <v>38</v>
      </c>
      <c r="W777" t="s">
        <v>313</v>
      </c>
      <c r="X777">
        <v>13</v>
      </c>
      <c r="Y777">
        <v>0</v>
      </c>
      <c r="Z777" t="s">
        <v>46</v>
      </c>
      <c r="AA777">
        <v>62719</v>
      </c>
      <c r="AB777" t="s">
        <v>1063</v>
      </c>
      <c r="AC777" t="s">
        <v>103</v>
      </c>
      <c r="AD777" t="s">
        <v>38</v>
      </c>
      <c r="AE777" t="s">
        <v>49</v>
      </c>
      <c r="AF777" t="s">
        <v>50</v>
      </c>
      <c r="AG777">
        <v>0</v>
      </c>
      <c r="AH777">
        <v>0</v>
      </c>
      <c r="AI777" t="s">
        <v>51</v>
      </c>
      <c r="AJ777" t="s">
        <v>51</v>
      </c>
      <c r="AK777" t="s">
        <v>51</v>
      </c>
    </row>
    <row r="778" spans="1:37" x14ac:dyDescent="0.2">
      <c r="A778">
        <v>62632</v>
      </c>
      <c r="B778" t="s">
        <v>37</v>
      </c>
      <c r="C778" t="s">
        <v>38</v>
      </c>
      <c r="D778" t="s">
        <v>674</v>
      </c>
      <c r="E778" t="s">
        <v>40</v>
      </c>
      <c r="G778" s="4">
        <v>43948.009560185185</v>
      </c>
      <c r="H778" s="4">
        <v>43948.010231481481</v>
      </c>
      <c r="I778" t="s">
        <v>987</v>
      </c>
      <c r="J778" s="5">
        <v>57.99999999999999999999999999999999999997</v>
      </c>
      <c r="K778" t="s">
        <v>38</v>
      </c>
      <c r="M778">
        <v>62633</v>
      </c>
      <c r="N778" t="s">
        <v>705</v>
      </c>
      <c r="O778" t="s">
        <v>706</v>
      </c>
      <c r="P778" t="s">
        <v>38</v>
      </c>
      <c r="Q778" t="s">
        <v>313</v>
      </c>
      <c r="R778">
        <v>13</v>
      </c>
      <c r="S778" t="s">
        <v>45</v>
      </c>
      <c r="T77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8">
        <v>62634</v>
      </c>
      <c r="V778" t="s">
        <v>38</v>
      </c>
      <c r="W778" t="s">
        <v>313</v>
      </c>
      <c r="X778">
        <v>13</v>
      </c>
      <c r="Y778">
        <v>0</v>
      </c>
      <c r="Z778" t="s">
        <v>46</v>
      </c>
      <c r="AA778">
        <v>62718</v>
      </c>
      <c r="AB778" t="s">
        <v>1064</v>
      </c>
      <c r="AC778" t="s">
        <v>103</v>
      </c>
      <c r="AD778" t="s">
        <v>38</v>
      </c>
      <c r="AE778" t="s">
        <v>49</v>
      </c>
      <c r="AF778" t="s">
        <v>50</v>
      </c>
      <c r="AG778">
        <v>0</v>
      </c>
      <c r="AH778">
        <v>0</v>
      </c>
      <c r="AI778" t="s">
        <v>51</v>
      </c>
      <c r="AJ778" t="s">
        <v>51</v>
      </c>
      <c r="AK778" t="s">
        <v>51</v>
      </c>
    </row>
    <row r="779" spans="1:37" x14ac:dyDescent="0.2">
      <c r="A779">
        <v>62632</v>
      </c>
      <c r="B779" t="s">
        <v>37</v>
      </c>
      <c r="C779" t="s">
        <v>38</v>
      </c>
      <c r="D779" t="s">
        <v>674</v>
      </c>
      <c r="E779" t="s">
        <v>40</v>
      </c>
      <c r="G779" s="4">
        <v>43948.009560185185</v>
      </c>
      <c r="H779" s="4">
        <v>43948.010231481481</v>
      </c>
      <c r="I779" t="s">
        <v>987</v>
      </c>
      <c r="J779" s="5">
        <v>57.99999999999999999999999999999999999997</v>
      </c>
      <c r="K779" t="s">
        <v>38</v>
      </c>
      <c r="M779">
        <v>62633</v>
      </c>
      <c r="N779" t="s">
        <v>705</v>
      </c>
      <c r="O779" t="s">
        <v>706</v>
      </c>
      <c r="P779" t="s">
        <v>38</v>
      </c>
      <c r="Q779" t="s">
        <v>313</v>
      </c>
      <c r="R779">
        <v>13</v>
      </c>
      <c r="S779" t="s">
        <v>45</v>
      </c>
      <c r="T77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79">
        <v>62634</v>
      </c>
      <c r="V779" t="s">
        <v>38</v>
      </c>
      <c r="W779" t="s">
        <v>313</v>
      </c>
      <c r="X779">
        <v>13</v>
      </c>
      <c r="Y779">
        <v>0</v>
      </c>
      <c r="Z779" t="s">
        <v>46</v>
      </c>
      <c r="AA779">
        <v>62717</v>
      </c>
      <c r="AB779" t="s">
        <v>1065</v>
      </c>
      <c r="AC779" t="s">
        <v>103</v>
      </c>
      <c r="AD779" t="s">
        <v>38</v>
      </c>
      <c r="AE779" t="s">
        <v>49</v>
      </c>
      <c r="AF779" t="s">
        <v>50</v>
      </c>
      <c r="AG779">
        <v>0</v>
      </c>
      <c r="AH779">
        <v>0</v>
      </c>
      <c r="AI779" t="s">
        <v>51</v>
      </c>
      <c r="AJ779" t="s">
        <v>51</v>
      </c>
      <c r="AK779" t="s">
        <v>51</v>
      </c>
    </row>
    <row r="780" spans="1:37" x14ac:dyDescent="0.2">
      <c r="A780">
        <v>62632</v>
      </c>
      <c r="B780" t="s">
        <v>37</v>
      </c>
      <c r="C780" t="s">
        <v>38</v>
      </c>
      <c r="D780" t="s">
        <v>674</v>
      </c>
      <c r="E780" t="s">
        <v>40</v>
      </c>
      <c r="G780" s="4">
        <v>43948.009560185185</v>
      </c>
      <c r="H780" s="4">
        <v>43948.010231481481</v>
      </c>
      <c r="I780" t="s">
        <v>987</v>
      </c>
      <c r="J780" s="5">
        <v>57.99999999999999999999999999999999999997</v>
      </c>
      <c r="K780" t="s">
        <v>38</v>
      </c>
      <c r="M780">
        <v>62633</v>
      </c>
      <c r="N780" t="s">
        <v>705</v>
      </c>
      <c r="O780" t="s">
        <v>706</v>
      </c>
      <c r="P780" t="s">
        <v>38</v>
      </c>
      <c r="Q780" t="s">
        <v>313</v>
      </c>
      <c r="R780">
        <v>13</v>
      </c>
      <c r="S780" t="s">
        <v>45</v>
      </c>
      <c r="T78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0">
        <v>62634</v>
      </c>
      <c r="V780" t="s">
        <v>38</v>
      </c>
      <c r="W780" t="s">
        <v>313</v>
      </c>
      <c r="X780">
        <v>13</v>
      </c>
      <c r="Y780">
        <v>0</v>
      </c>
      <c r="Z780" t="s">
        <v>46</v>
      </c>
      <c r="AA780">
        <v>62716</v>
      </c>
      <c r="AB780" t="s">
        <v>1066</v>
      </c>
      <c r="AC780" t="s">
        <v>103</v>
      </c>
      <c r="AD780" t="s">
        <v>38</v>
      </c>
      <c r="AE780" t="s">
        <v>49</v>
      </c>
      <c r="AF780" t="s">
        <v>50</v>
      </c>
      <c r="AG780">
        <v>0</v>
      </c>
      <c r="AH780">
        <v>0</v>
      </c>
      <c r="AI780" t="s">
        <v>51</v>
      </c>
      <c r="AJ780" t="s">
        <v>51</v>
      </c>
      <c r="AK780" t="s">
        <v>51</v>
      </c>
    </row>
    <row r="781" spans="1:37" x14ac:dyDescent="0.2">
      <c r="A781">
        <v>62632</v>
      </c>
      <c r="B781" t="s">
        <v>37</v>
      </c>
      <c r="C781" t="s">
        <v>38</v>
      </c>
      <c r="D781" t="s">
        <v>674</v>
      </c>
      <c r="E781" t="s">
        <v>40</v>
      </c>
      <c r="G781" s="4">
        <v>43948.009560185185</v>
      </c>
      <c r="H781" s="4">
        <v>43948.010231481481</v>
      </c>
      <c r="I781" t="s">
        <v>987</v>
      </c>
      <c r="J781" s="5">
        <v>57.99999999999999999999999999999999999997</v>
      </c>
      <c r="K781" t="s">
        <v>38</v>
      </c>
      <c r="M781">
        <v>62633</v>
      </c>
      <c r="N781" t="s">
        <v>705</v>
      </c>
      <c r="O781" t="s">
        <v>706</v>
      </c>
      <c r="P781" t="s">
        <v>38</v>
      </c>
      <c r="Q781" t="s">
        <v>313</v>
      </c>
      <c r="R781">
        <v>13</v>
      </c>
      <c r="S781" t="s">
        <v>45</v>
      </c>
      <c r="T78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1">
        <v>62634</v>
      </c>
      <c r="V781" t="s">
        <v>38</v>
      </c>
      <c r="W781" t="s">
        <v>313</v>
      </c>
      <c r="X781">
        <v>13</v>
      </c>
      <c r="Y781">
        <v>0</v>
      </c>
      <c r="Z781" t="s">
        <v>46</v>
      </c>
      <c r="AA781">
        <v>62715</v>
      </c>
      <c r="AB781" t="s">
        <v>1067</v>
      </c>
      <c r="AC781" t="s">
        <v>103</v>
      </c>
      <c r="AD781" t="s">
        <v>38</v>
      </c>
      <c r="AE781" t="s">
        <v>49</v>
      </c>
      <c r="AF781" t="s">
        <v>50</v>
      </c>
      <c r="AG781">
        <v>0</v>
      </c>
      <c r="AH781">
        <v>0</v>
      </c>
      <c r="AI781" t="s">
        <v>51</v>
      </c>
      <c r="AJ781" t="s">
        <v>51</v>
      </c>
      <c r="AK781" t="s">
        <v>51</v>
      </c>
    </row>
    <row r="782" spans="1:37" x14ac:dyDescent="0.2">
      <c r="A782">
        <v>62632</v>
      </c>
      <c r="B782" t="s">
        <v>37</v>
      </c>
      <c r="C782" t="s">
        <v>38</v>
      </c>
      <c r="D782" t="s">
        <v>674</v>
      </c>
      <c r="E782" t="s">
        <v>40</v>
      </c>
      <c r="G782" s="4">
        <v>43948.009560185185</v>
      </c>
      <c r="H782" s="4">
        <v>43948.010231481481</v>
      </c>
      <c r="I782" t="s">
        <v>987</v>
      </c>
      <c r="J782" s="5">
        <v>57.99999999999999999999999999999999999997</v>
      </c>
      <c r="K782" t="s">
        <v>38</v>
      </c>
      <c r="M782">
        <v>62633</v>
      </c>
      <c r="N782" t="s">
        <v>705</v>
      </c>
      <c r="O782" t="s">
        <v>706</v>
      </c>
      <c r="P782" t="s">
        <v>38</v>
      </c>
      <c r="Q782" t="s">
        <v>313</v>
      </c>
      <c r="R782">
        <v>13</v>
      </c>
      <c r="S782" t="s">
        <v>45</v>
      </c>
      <c r="T78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2">
        <v>62634</v>
      </c>
      <c r="V782" t="s">
        <v>38</v>
      </c>
      <c r="W782" t="s">
        <v>313</v>
      </c>
      <c r="X782">
        <v>13</v>
      </c>
      <c r="Y782">
        <v>0</v>
      </c>
      <c r="Z782" t="s">
        <v>46</v>
      </c>
      <c r="AA782">
        <v>62714</v>
      </c>
      <c r="AB782" t="s">
        <v>1068</v>
      </c>
      <c r="AC782" t="s">
        <v>103</v>
      </c>
      <c r="AD782" t="s">
        <v>38</v>
      </c>
      <c r="AE782" t="s">
        <v>49</v>
      </c>
      <c r="AF782" t="s">
        <v>50</v>
      </c>
      <c r="AG782">
        <v>0</v>
      </c>
      <c r="AH782">
        <v>0</v>
      </c>
      <c r="AI782" t="s">
        <v>51</v>
      </c>
      <c r="AJ782" t="s">
        <v>51</v>
      </c>
      <c r="AK782" t="s">
        <v>51</v>
      </c>
    </row>
    <row r="783" spans="1:37" x14ac:dyDescent="0.2">
      <c r="A783">
        <v>62632</v>
      </c>
      <c r="B783" t="s">
        <v>37</v>
      </c>
      <c r="C783" t="s">
        <v>38</v>
      </c>
      <c r="D783" t="s">
        <v>674</v>
      </c>
      <c r="E783" t="s">
        <v>40</v>
      </c>
      <c r="G783" s="4">
        <v>43948.009560185185</v>
      </c>
      <c r="H783" s="4">
        <v>43948.010231481481</v>
      </c>
      <c r="I783" t="s">
        <v>987</v>
      </c>
      <c r="J783" s="5">
        <v>57.99999999999999999999999999999999999997</v>
      </c>
      <c r="K783" t="s">
        <v>38</v>
      </c>
      <c r="M783">
        <v>62633</v>
      </c>
      <c r="N783" t="s">
        <v>705</v>
      </c>
      <c r="O783" t="s">
        <v>706</v>
      </c>
      <c r="P783" t="s">
        <v>38</v>
      </c>
      <c r="Q783" t="s">
        <v>313</v>
      </c>
      <c r="R783">
        <v>13</v>
      </c>
      <c r="S783" t="s">
        <v>45</v>
      </c>
      <c r="T78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3">
        <v>62634</v>
      </c>
      <c r="V783" t="s">
        <v>38</v>
      </c>
      <c r="W783" t="s">
        <v>313</v>
      </c>
      <c r="X783">
        <v>13</v>
      </c>
      <c r="Y783">
        <v>0</v>
      </c>
      <c r="Z783" t="s">
        <v>46</v>
      </c>
      <c r="AA783">
        <v>62713</v>
      </c>
      <c r="AB783" t="s">
        <v>1069</v>
      </c>
      <c r="AC783" t="s">
        <v>103</v>
      </c>
      <c r="AD783" t="s">
        <v>38</v>
      </c>
      <c r="AE783" t="s">
        <v>49</v>
      </c>
      <c r="AF783" t="s">
        <v>50</v>
      </c>
      <c r="AG783">
        <v>0</v>
      </c>
      <c r="AH783">
        <v>0</v>
      </c>
      <c r="AI783" t="s">
        <v>51</v>
      </c>
      <c r="AJ783" t="s">
        <v>51</v>
      </c>
      <c r="AK783" t="s">
        <v>51</v>
      </c>
    </row>
    <row r="784" spans="1:37" x14ac:dyDescent="0.2">
      <c r="A784">
        <v>62632</v>
      </c>
      <c r="B784" t="s">
        <v>37</v>
      </c>
      <c r="C784" t="s">
        <v>38</v>
      </c>
      <c r="D784" t="s">
        <v>674</v>
      </c>
      <c r="E784" t="s">
        <v>40</v>
      </c>
      <c r="G784" s="4">
        <v>43948.009560185185</v>
      </c>
      <c r="H784" s="4">
        <v>43948.010231481481</v>
      </c>
      <c r="I784" t="s">
        <v>987</v>
      </c>
      <c r="J784" s="5">
        <v>57.99999999999999999999999999999999999997</v>
      </c>
      <c r="K784" t="s">
        <v>38</v>
      </c>
      <c r="M784">
        <v>62633</v>
      </c>
      <c r="N784" t="s">
        <v>705</v>
      </c>
      <c r="O784" t="s">
        <v>706</v>
      </c>
      <c r="P784" t="s">
        <v>38</v>
      </c>
      <c r="Q784" t="s">
        <v>313</v>
      </c>
      <c r="R784">
        <v>13</v>
      </c>
      <c r="S784" t="s">
        <v>45</v>
      </c>
      <c r="T78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4">
        <v>62634</v>
      </c>
      <c r="V784" t="s">
        <v>38</v>
      </c>
      <c r="W784" t="s">
        <v>313</v>
      </c>
      <c r="X784">
        <v>13</v>
      </c>
      <c r="Y784">
        <v>0</v>
      </c>
      <c r="Z784" t="s">
        <v>46</v>
      </c>
      <c r="AA784">
        <v>62712</v>
      </c>
      <c r="AB784" t="s">
        <v>1070</v>
      </c>
      <c r="AC784" t="s">
        <v>103</v>
      </c>
      <c r="AD784" t="s">
        <v>38</v>
      </c>
      <c r="AE784" t="s">
        <v>49</v>
      </c>
      <c r="AF784" t="s">
        <v>50</v>
      </c>
      <c r="AG784">
        <v>0</v>
      </c>
      <c r="AH784">
        <v>0</v>
      </c>
      <c r="AI784" t="s">
        <v>51</v>
      </c>
      <c r="AJ784" t="s">
        <v>51</v>
      </c>
      <c r="AK784" t="s">
        <v>51</v>
      </c>
    </row>
    <row r="785" spans="1:37" x14ac:dyDescent="0.2">
      <c r="A785">
        <v>62632</v>
      </c>
      <c r="B785" t="s">
        <v>37</v>
      </c>
      <c r="C785" t="s">
        <v>38</v>
      </c>
      <c r="D785" t="s">
        <v>674</v>
      </c>
      <c r="E785" t="s">
        <v>40</v>
      </c>
      <c r="G785" s="4">
        <v>43948.009560185185</v>
      </c>
      <c r="H785" s="4">
        <v>43948.010231481481</v>
      </c>
      <c r="I785" t="s">
        <v>987</v>
      </c>
      <c r="J785" s="5">
        <v>57.99999999999999999999999999999999999997</v>
      </c>
      <c r="K785" t="s">
        <v>38</v>
      </c>
      <c r="M785">
        <v>62633</v>
      </c>
      <c r="N785" t="s">
        <v>705</v>
      </c>
      <c r="O785" t="s">
        <v>706</v>
      </c>
      <c r="P785" t="s">
        <v>38</v>
      </c>
      <c r="Q785" t="s">
        <v>313</v>
      </c>
      <c r="R785">
        <v>13</v>
      </c>
      <c r="S785" t="s">
        <v>45</v>
      </c>
      <c r="T78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5">
        <v>62634</v>
      </c>
      <c r="V785" t="s">
        <v>38</v>
      </c>
      <c r="W785" t="s">
        <v>313</v>
      </c>
      <c r="X785">
        <v>13</v>
      </c>
      <c r="Y785">
        <v>0</v>
      </c>
      <c r="Z785" t="s">
        <v>46</v>
      </c>
      <c r="AA785">
        <v>62711</v>
      </c>
      <c r="AB785" t="s">
        <v>1071</v>
      </c>
      <c r="AC785" t="s">
        <v>103</v>
      </c>
      <c r="AD785" t="s">
        <v>38</v>
      </c>
      <c r="AE785" t="s">
        <v>49</v>
      </c>
      <c r="AF785" t="s">
        <v>50</v>
      </c>
      <c r="AG785">
        <v>0</v>
      </c>
      <c r="AH785">
        <v>0</v>
      </c>
      <c r="AI785" t="s">
        <v>51</v>
      </c>
      <c r="AJ785" t="s">
        <v>51</v>
      </c>
      <c r="AK785" t="s">
        <v>51</v>
      </c>
    </row>
    <row r="786" spans="1:37" x14ac:dyDescent="0.2">
      <c r="A786">
        <v>62632</v>
      </c>
      <c r="B786" t="s">
        <v>37</v>
      </c>
      <c r="C786" t="s">
        <v>38</v>
      </c>
      <c r="D786" t="s">
        <v>674</v>
      </c>
      <c r="E786" t="s">
        <v>40</v>
      </c>
      <c r="G786" s="4">
        <v>43948.009560185185</v>
      </c>
      <c r="H786" s="4">
        <v>43948.010231481481</v>
      </c>
      <c r="I786" t="s">
        <v>987</v>
      </c>
      <c r="J786" s="5">
        <v>57.99999999999999999999999999999999999997</v>
      </c>
      <c r="K786" t="s">
        <v>38</v>
      </c>
      <c r="M786">
        <v>62633</v>
      </c>
      <c r="N786" t="s">
        <v>705</v>
      </c>
      <c r="O786" t="s">
        <v>706</v>
      </c>
      <c r="P786" t="s">
        <v>38</v>
      </c>
      <c r="Q786" t="s">
        <v>313</v>
      </c>
      <c r="R786">
        <v>13</v>
      </c>
      <c r="S786" t="s">
        <v>45</v>
      </c>
      <c r="T78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6">
        <v>62634</v>
      </c>
      <c r="V786" t="s">
        <v>38</v>
      </c>
      <c r="W786" t="s">
        <v>313</v>
      </c>
      <c r="X786">
        <v>13</v>
      </c>
      <c r="Y786">
        <v>0</v>
      </c>
      <c r="Z786" t="s">
        <v>46</v>
      </c>
      <c r="AA786">
        <v>62710</v>
      </c>
      <c r="AB786" t="s">
        <v>1072</v>
      </c>
      <c r="AC786" t="s">
        <v>103</v>
      </c>
      <c r="AD786" t="s">
        <v>38</v>
      </c>
      <c r="AE786" t="s">
        <v>49</v>
      </c>
      <c r="AF786" t="s">
        <v>50</v>
      </c>
      <c r="AG786">
        <v>0</v>
      </c>
      <c r="AH786">
        <v>0</v>
      </c>
      <c r="AI786" t="s">
        <v>51</v>
      </c>
      <c r="AJ786" t="s">
        <v>51</v>
      </c>
      <c r="AK786" t="s">
        <v>51</v>
      </c>
    </row>
    <row r="787" spans="1:37" x14ac:dyDescent="0.2">
      <c r="A787">
        <v>62632</v>
      </c>
      <c r="B787" t="s">
        <v>37</v>
      </c>
      <c r="C787" t="s">
        <v>38</v>
      </c>
      <c r="D787" t="s">
        <v>674</v>
      </c>
      <c r="E787" t="s">
        <v>40</v>
      </c>
      <c r="G787" s="4">
        <v>43948.009560185185</v>
      </c>
      <c r="H787" s="4">
        <v>43948.010231481481</v>
      </c>
      <c r="I787" t="s">
        <v>987</v>
      </c>
      <c r="J787" s="5">
        <v>57.99999999999999999999999999999999999997</v>
      </c>
      <c r="K787" t="s">
        <v>38</v>
      </c>
      <c r="M787">
        <v>62633</v>
      </c>
      <c r="N787" t="s">
        <v>705</v>
      </c>
      <c r="O787" t="s">
        <v>706</v>
      </c>
      <c r="P787" t="s">
        <v>38</v>
      </c>
      <c r="Q787" t="s">
        <v>313</v>
      </c>
      <c r="R787">
        <v>13</v>
      </c>
      <c r="S787" t="s">
        <v>45</v>
      </c>
      <c r="T78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7">
        <v>62634</v>
      </c>
      <c r="V787" t="s">
        <v>38</v>
      </c>
      <c r="W787" t="s">
        <v>313</v>
      </c>
      <c r="X787">
        <v>13</v>
      </c>
      <c r="Y787">
        <v>0</v>
      </c>
      <c r="Z787" t="s">
        <v>46</v>
      </c>
      <c r="AA787">
        <v>62709</v>
      </c>
      <c r="AB787" t="s">
        <v>1073</v>
      </c>
      <c r="AC787" t="s">
        <v>103</v>
      </c>
      <c r="AD787" t="s">
        <v>38</v>
      </c>
      <c r="AE787" t="s">
        <v>49</v>
      </c>
      <c r="AF787" t="s">
        <v>50</v>
      </c>
      <c r="AG787">
        <v>0</v>
      </c>
      <c r="AH787">
        <v>0</v>
      </c>
      <c r="AI787" t="s">
        <v>51</v>
      </c>
      <c r="AJ787" t="s">
        <v>51</v>
      </c>
      <c r="AK787" t="s">
        <v>51</v>
      </c>
    </row>
    <row r="788" spans="1:37" x14ac:dyDescent="0.2">
      <c r="A788">
        <v>62632</v>
      </c>
      <c r="B788" t="s">
        <v>37</v>
      </c>
      <c r="C788" t="s">
        <v>38</v>
      </c>
      <c r="D788" t="s">
        <v>674</v>
      </c>
      <c r="E788" t="s">
        <v>40</v>
      </c>
      <c r="G788" s="4">
        <v>43948.009560185185</v>
      </c>
      <c r="H788" s="4">
        <v>43948.010231481481</v>
      </c>
      <c r="I788" t="s">
        <v>987</v>
      </c>
      <c r="J788" s="5">
        <v>57.99999999999999999999999999999999999997</v>
      </c>
      <c r="K788" t="s">
        <v>38</v>
      </c>
      <c r="M788">
        <v>62633</v>
      </c>
      <c r="N788" t="s">
        <v>705</v>
      </c>
      <c r="O788" t="s">
        <v>706</v>
      </c>
      <c r="P788" t="s">
        <v>38</v>
      </c>
      <c r="Q788" t="s">
        <v>313</v>
      </c>
      <c r="R788">
        <v>13</v>
      </c>
      <c r="S788" t="s">
        <v>45</v>
      </c>
      <c r="T78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8">
        <v>62634</v>
      </c>
      <c r="V788" t="s">
        <v>38</v>
      </c>
      <c r="W788" t="s">
        <v>313</v>
      </c>
      <c r="X788">
        <v>13</v>
      </c>
      <c r="Y788">
        <v>0</v>
      </c>
      <c r="Z788" t="s">
        <v>46</v>
      </c>
      <c r="AA788">
        <v>62708</v>
      </c>
      <c r="AB788" t="s">
        <v>1074</v>
      </c>
      <c r="AC788" t="s">
        <v>103</v>
      </c>
      <c r="AD788" t="s">
        <v>38</v>
      </c>
      <c r="AE788" t="s">
        <v>49</v>
      </c>
      <c r="AF788" t="s">
        <v>50</v>
      </c>
      <c r="AG788">
        <v>0</v>
      </c>
      <c r="AH788">
        <v>0</v>
      </c>
      <c r="AI788" t="s">
        <v>51</v>
      </c>
      <c r="AJ788" t="s">
        <v>51</v>
      </c>
      <c r="AK788" t="s">
        <v>51</v>
      </c>
    </row>
    <row r="789" spans="1:37" x14ac:dyDescent="0.2">
      <c r="A789">
        <v>62632</v>
      </c>
      <c r="B789" t="s">
        <v>37</v>
      </c>
      <c r="C789" t="s">
        <v>38</v>
      </c>
      <c r="D789" t="s">
        <v>674</v>
      </c>
      <c r="E789" t="s">
        <v>40</v>
      </c>
      <c r="G789" s="4">
        <v>43948.009560185185</v>
      </c>
      <c r="H789" s="4">
        <v>43948.010231481481</v>
      </c>
      <c r="I789" t="s">
        <v>987</v>
      </c>
      <c r="J789" s="5">
        <v>57.99999999999999999999999999999999999997</v>
      </c>
      <c r="K789" t="s">
        <v>38</v>
      </c>
      <c r="M789">
        <v>62633</v>
      </c>
      <c r="N789" t="s">
        <v>705</v>
      </c>
      <c r="O789" t="s">
        <v>706</v>
      </c>
      <c r="P789" t="s">
        <v>38</v>
      </c>
      <c r="Q789" t="s">
        <v>313</v>
      </c>
      <c r="R789">
        <v>13</v>
      </c>
      <c r="S789" t="s">
        <v>45</v>
      </c>
      <c r="T78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89">
        <v>62634</v>
      </c>
      <c r="V789" t="s">
        <v>38</v>
      </c>
      <c r="W789" t="s">
        <v>313</v>
      </c>
      <c r="X789">
        <v>13</v>
      </c>
      <c r="Y789">
        <v>0</v>
      </c>
      <c r="Z789" t="s">
        <v>46</v>
      </c>
      <c r="AA789">
        <v>62707</v>
      </c>
      <c r="AB789" t="s">
        <v>1075</v>
      </c>
      <c r="AC789" t="s">
        <v>103</v>
      </c>
      <c r="AD789" t="s">
        <v>38</v>
      </c>
      <c r="AE789" t="s">
        <v>49</v>
      </c>
      <c r="AF789" t="s">
        <v>50</v>
      </c>
      <c r="AG789">
        <v>0</v>
      </c>
      <c r="AH789">
        <v>0</v>
      </c>
      <c r="AI789" t="s">
        <v>51</v>
      </c>
      <c r="AJ789" t="s">
        <v>51</v>
      </c>
      <c r="AK789" t="s">
        <v>51</v>
      </c>
    </row>
    <row r="790" spans="1:37" x14ac:dyDescent="0.2">
      <c r="A790">
        <v>62632</v>
      </c>
      <c r="B790" t="s">
        <v>37</v>
      </c>
      <c r="C790" t="s">
        <v>38</v>
      </c>
      <c r="D790" t="s">
        <v>674</v>
      </c>
      <c r="E790" t="s">
        <v>40</v>
      </c>
      <c r="G790" s="4">
        <v>43948.009560185185</v>
      </c>
      <c r="H790" s="4">
        <v>43948.010231481481</v>
      </c>
      <c r="I790" t="s">
        <v>987</v>
      </c>
      <c r="J790" s="5">
        <v>57.99999999999999999999999999999999999997</v>
      </c>
      <c r="K790" t="s">
        <v>38</v>
      </c>
      <c r="M790">
        <v>62633</v>
      </c>
      <c r="N790" t="s">
        <v>705</v>
      </c>
      <c r="O790" t="s">
        <v>706</v>
      </c>
      <c r="P790" t="s">
        <v>38</v>
      </c>
      <c r="Q790" t="s">
        <v>313</v>
      </c>
      <c r="R790">
        <v>13</v>
      </c>
      <c r="S790" t="s">
        <v>45</v>
      </c>
      <c r="T79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0">
        <v>62634</v>
      </c>
      <c r="V790" t="s">
        <v>38</v>
      </c>
      <c r="W790" t="s">
        <v>313</v>
      </c>
      <c r="X790">
        <v>13</v>
      </c>
      <c r="Y790">
        <v>0</v>
      </c>
      <c r="Z790" t="s">
        <v>46</v>
      </c>
      <c r="AA790">
        <v>62706</v>
      </c>
      <c r="AB790" t="s">
        <v>1076</v>
      </c>
      <c r="AC790" t="s">
        <v>103</v>
      </c>
      <c r="AD790" t="s">
        <v>38</v>
      </c>
      <c r="AE790" t="s">
        <v>49</v>
      </c>
      <c r="AF790" t="s">
        <v>50</v>
      </c>
      <c r="AG790">
        <v>0</v>
      </c>
      <c r="AH790">
        <v>0</v>
      </c>
      <c r="AI790" t="s">
        <v>51</v>
      </c>
      <c r="AJ790" t="s">
        <v>51</v>
      </c>
      <c r="AK790" t="s">
        <v>51</v>
      </c>
    </row>
    <row r="791" spans="1:37" x14ac:dyDescent="0.2">
      <c r="A791">
        <v>62632</v>
      </c>
      <c r="B791" t="s">
        <v>37</v>
      </c>
      <c r="C791" t="s">
        <v>38</v>
      </c>
      <c r="D791" t="s">
        <v>674</v>
      </c>
      <c r="E791" t="s">
        <v>40</v>
      </c>
      <c r="G791" s="4">
        <v>43948.009560185185</v>
      </c>
      <c r="H791" s="4">
        <v>43948.010231481481</v>
      </c>
      <c r="I791" t="s">
        <v>987</v>
      </c>
      <c r="J791" s="5">
        <v>57.99999999999999999999999999999999999997</v>
      </c>
      <c r="K791" t="s">
        <v>38</v>
      </c>
      <c r="M791">
        <v>62633</v>
      </c>
      <c r="N791" t="s">
        <v>705</v>
      </c>
      <c r="O791" t="s">
        <v>706</v>
      </c>
      <c r="P791" t="s">
        <v>38</v>
      </c>
      <c r="Q791" t="s">
        <v>313</v>
      </c>
      <c r="R791">
        <v>13</v>
      </c>
      <c r="S791" t="s">
        <v>45</v>
      </c>
      <c r="T79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1">
        <v>62634</v>
      </c>
      <c r="V791" t="s">
        <v>38</v>
      </c>
      <c r="W791" t="s">
        <v>313</v>
      </c>
      <c r="X791">
        <v>13</v>
      </c>
      <c r="Y791">
        <v>0</v>
      </c>
      <c r="Z791" t="s">
        <v>46</v>
      </c>
      <c r="AA791">
        <v>62705</v>
      </c>
      <c r="AB791" t="s">
        <v>1077</v>
      </c>
      <c r="AC791" t="s">
        <v>103</v>
      </c>
      <c r="AD791" t="s">
        <v>38</v>
      </c>
      <c r="AE791" t="s">
        <v>49</v>
      </c>
      <c r="AF791" t="s">
        <v>50</v>
      </c>
      <c r="AG791">
        <v>0</v>
      </c>
      <c r="AH791">
        <v>0</v>
      </c>
      <c r="AI791" t="s">
        <v>51</v>
      </c>
      <c r="AJ791" t="s">
        <v>51</v>
      </c>
      <c r="AK791" t="s">
        <v>51</v>
      </c>
    </row>
    <row r="792" spans="1:37" x14ac:dyDescent="0.2">
      <c r="A792">
        <v>62632</v>
      </c>
      <c r="B792" t="s">
        <v>37</v>
      </c>
      <c r="C792" t="s">
        <v>38</v>
      </c>
      <c r="D792" t="s">
        <v>674</v>
      </c>
      <c r="E792" t="s">
        <v>40</v>
      </c>
      <c r="G792" s="4">
        <v>43948.009560185185</v>
      </c>
      <c r="H792" s="4">
        <v>43948.010231481481</v>
      </c>
      <c r="I792" t="s">
        <v>987</v>
      </c>
      <c r="J792" s="5">
        <v>57.99999999999999999999999999999999999997</v>
      </c>
      <c r="K792" t="s">
        <v>38</v>
      </c>
      <c r="M792">
        <v>62633</v>
      </c>
      <c r="N792" t="s">
        <v>705</v>
      </c>
      <c r="O792" t="s">
        <v>706</v>
      </c>
      <c r="P792" t="s">
        <v>38</v>
      </c>
      <c r="Q792" t="s">
        <v>313</v>
      </c>
      <c r="R792">
        <v>13</v>
      </c>
      <c r="S792" t="s">
        <v>45</v>
      </c>
      <c r="T79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2">
        <v>62634</v>
      </c>
      <c r="V792" t="s">
        <v>38</v>
      </c>
      <c r="W792" t="s">
        <v>313</v>
      </c>
      <c r="X792">
        <v>13</v>
      </c>
      <c r="Y792">
        <v>0</v>
      </c>
      <c r="Z792" t="s">
        <v>46</v>
      </c>
      <c r="AA792">
        <v>62704</v>
      </c>
      <c r="AB792" t="s">
        <v>1078</v>
      </c>
      <c r="AC792" t="s">
        <v>103</v>
      </c>
      <c r="AD792" t="s">
        <v>38</v>
      </c>
      <c r="AE792" t="s">
        <v>49</v>
      </c>
      <c r="AF792" t="s">
        <v>50</v>
      </c>
      <c r="AG792">
        <v>0</v>
      </c>
      <c r="AH792">
        <v>0</v>
      </c>
      <c r="AI792" t="s">
        <v>51</v>
      </c>
      <c r="AJ792" t="s">
        <v>51</v>
      </c>
      <c r="AK792" t="s">
        <v>51</v>
      </c>
    </row>
    <row r="793" spans="1:37" x14ac:dyDescent="0.2">
      <c r="A793">
        <v>62632</v>
      </c>
      <c r="B793" t="s">
        <v>37</v>
      </c>
      <c r="C793" t="s">
        <v>38</v>
      </c>
      <c r="D793" t="s">
        <v>674</v>
      </c>
      <c r="E793" t="s">
        <v>40</v>
      </c>
      <c r="G793" s="4">
        <v>43948.009560185185</v>
      </c>
      <c r="H793" s="4">
        <v>43948.010231481481</v>
      </c>
      <c r="I793" t="s">
        <v>987</v>
      </c>
      <c r="J793" s="5">
        <v>57.99999999999999999999999999999999999997</v>
      </c>
      <c r="K793" t="s">
        <v>38</v>
      </c>
      <c r="M793">
        <v>62633</v>
      </c>
      <c r="N793" t="s">
        <v>705</v>
      </c>
      <c r="O793" t="s">
        <v>706</v>
      </c>
      <c r="P793" t="s">
        <v>38</v>
      </c>
      <c r="Q793" t="s">
        <v>313</v>
      </c>
      <c r="R793">
        <v>13</v>
      </c>
      <c r="S793" t="s">
        <v>45</v>
      </c>
      <c r="T79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3">
        <v>62634</v>
      </c>
      <c r="V793" t="s">
        <v>38</v>
      </c>
      <c r="W793" t="s">
        <v>313</v>
      </c>
      <c r="X793">
        <v>13</v>
      </c>
      <c r="Y793">
        <v>0</v>
      </c>
      <c r="Z793" t="s">
        <v>46</v>
      </c>
      <c r="AA793">
        <v>62703</v>
      </c>
      <c r="AB793" t="s">
        <v>1079</v>
      </c>
      <c r="AC793" t="s">
        <v>103</v>
      </c>
      <c r="AD793" t="s">
        <v>38</v>
      </c>
      <c r="AE793" t="s">
        <v>49</v>
      </c>
      <c r="AF793" t="s">
        <v>50</v>
      </c>
      <c r="AG793">
        <v>0</v>
      </c>
      <c r="AH793">
        <v>0</v>
      </c>
      <c r="AI793" t="s">
        <v>51</v>
      </c>
      <c r="AJ793" t="s">
        <v>51</v>
      </c>
      <c r="AK793" t="s">
        <v>51</v>
      </c>
    </row>
    <row r="794" spans="1:37" x14ac:dyDescent="0.2">
      <c r="A794">
        <v>62632</v>
      </c>
      <c r="B794" t="s">
        <v>37</v>
      </c>
      <c r="C794" t="s">
        <v>38</v>
      </c>
      <c r="D794" t="s">
        <v>674</v>
      </c>
      <c r="E794" t="s">
        <v>40</v>
      </c>
      <c r="G794" s="4">
        <v>43948.009560185185</v>
      </c>
      <c r="H794" s="4">
        <v>43948.010231481481</v>
      </c>
      <c r="I794" t="s">
        <v>987</v>
      </c>
      <c r="J794" s="5">
        <v>57.99999999999999999999999999999999999997</v>
      </c>
      <c r="K794" t="s">
        <v>38</v>
      </c>
      <c r="M794">
        <v>62633</v>
      </c>
      <c r="N794" t="s">
        <v>705</v>
      </c>
      <c r="O794" t="s">
        <v>706</v>
      </c>
      <c r="P794" t="s">
        <v>38</v>
      </c>
      <c r="Q794" t="s">
        <v>313</v>
      </c>
      <c r="R794">
        <v>13</v>
      </c>
      <c r="S794" t="s">
        <v>45</v>
      </c>
      <c r="T79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4">
        <v>62634</v>
      </c>
      <c r="V794" t="s">
        <v>38</v>
      </c>
      <c r="W794" t="s">
        <v>313</v>
      </c>
      <c r="X794">
        <v>13</v>
      </c>
      <c r="Y794">
        <v>0</v>
      </c>
      <c r="Z794" t="s">
        <v>46</v>
      </c>
      <c r="AA794">
        <v>62702</v>
      </c>
      <c r="AB794" t="s">
        <v>1080</v>
      </c>
      <c r="AC794" t="s">
        <v>103</v>
      </c>
      <c r="AD794" t="s">
        <v>38</v>
      </c>
      <c r="AE794" t="s">
        <v>49</v>
      </c>
      <c r="AF794" t="s">
        <v>50</v>
      </c>
      <c r="AG794">
        <v>0</v>
      </c>
      <c r="AH794">
        <v>0</v>
      </c>
      <c r="AI794" t="s">
        <v>51</v>
      </c>
      <c r="AJ794" t="s">
        <v>51</v>
      </c>
      <c r="AK794" t="s">
        <v>51</v>
      </c>
    </row>
    <row r="795" spans="1:37" x14ac:dyDescent="0.2">
      <c r="A795">
        <v>62632</v>
      </c>
      <c r="B795" t="s">
        <v>37</v>
      </c>
      <c r="C795" t="s">
        <v>38</v>
      </c>
      <c r="D795" t="s">
        <v>674</v>
      </c>
      <c r="E795" t="s">
        <v>40</v>
      </c>
      <c r="G795" s="4">
        <v>43948.009560185185</v>
      </c>
      <c r="H795" s="4">
        <v>43948.010231481481</v>
      </c>
      <c r="I795" t="s">
        <v>987</v>
      </c>
      <c r="J795" s="5">
        <v>57.99999999999999999999999999999999999997</v>
      </c>
      <c r="K795" t="s">
        <v>38</v>
      </c>
      <c r="M795">
        <v>62633</v>
      </c>
      <c r="N795" t="s">
        <v>705</v>
      </c>
      <c r="O795" t="s">
        <v>706</v>
      </c>
      <c r="P795" t="s">
        <v>38</v>
      </c>
      <c r="Q795" t="s">
        <v>313</v>
      </c>
      <c r="R795">
        <v>13</v>
      </c>
      <c r="S795" t="s">
        <v>45</v>
      </c>
      <c r="T79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5">
        <v>62634</v>
      </c>
      <c r="V795" t="s">
        <v>38</v>
      </c>
      <c r="W795" t="s">
        <v>313</v>
      </c>
      <c r="X795">
        <v>13</v>
      </c>
      <c r="Y795">
        <v>0</v>
      </c>
      <c r="Z795" t="s">
        <v>46</v>
      </c>
      <c r="AA795">
        <v>62701</v>
      </c>
      <c r="AB795" t="s">
        <v>1081</v>
      </c>
      <c r="AC795" t="s">
        <v>103</v>
      </c>
      <c r="AD795" t="s">
        <v>38</v>
      </c>
      <c r="AE795" t="s">
        <v>49</v>
      </c>
      <c r="AF795" t="s">
        <v>50</v>
      </c>
      <c r="AG795">
        <v>0</v>
      </c>
      <c r="AH795">
        <v>0</v>
      </c>
      <c r="AI795" t="s">
        <v>51</v>
      </c>
      <c r="AJ795" t="s">
        <v>51</v>
      </c>
      <c r="AK795" t="s">
        <v>51</v>
      </c>
    </row>
    <row r="796" spans="1:37" x14ac:dyDescent="0.2">
      <c r="A796">
        <v>62632</v>
      </c>
      <c r="B796" t="s">
        <v>37</v>
      </c>
      <c r="C796" t="s">
        <v>38</v>
      </c>
      <c r="D796" t="s">
        <v>674</v>
      </c>
      <c r="E796" t="s">
        <v>40</v>
      </c>
      <c r="G796" s="4">
        <v>43948.009560185185</v>
      </c>
      <c r="H796" s="4">
        <v>43948.010231481481</v>
      </c>
      <c r="I796" t="s">
        <v>987</v>
      </c>
      <c r="J796" s="5">
        <v>57.99999999999999999999999999999999999997</v>
      </c>
      <c r="K796" t="s">
        <v>38</v>
      </c>
      <c r="M796">
        <v>62633</v>
      </c>
      <c r="N796" t="s">
        <v>705</v>
      </c>
      <c r="O796" t="s">
        <v>706</v>
      </c>
      <c r="P796" t="s">
        <v>38</v>
      </c>
      <c r="Q796" t="s">
        <v>313</v>
      </c>
      <c r="R796">
        <v>13</v>
      </c>
      <c r="S796" t="s">
        <v>45</v>
      </c>
      <c r="T79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6">
        <v>62634</v>
      </c>
      <c r="V796" t="s">
        <v>38</v>
      </c>
      <c r="W796" t="s">
        <v>313</v>
      </c>
      <c r="X796">
        <v>13</v>
      </c>
      <c r="Y796">
        <v>0</v>
      </c>
      <c r="Z796" t="s">
        <v>46</v>
      </c>
      <c r="AA796">
        <v>62700</v>
      </c>
      <c r="AB796" t="s">
        <v>1082</v>
      </c>
      <c r="AC796" t="s">
        <v>103</v>
      </c>
      <c r="AD796" t="s">
        <v>38</v>
      </c>
      <c r="AE796" t="s">
        <v>49</v>
      </c>
      <c r="AF796" t="s">
        <v>50</v>
      </c>
      <c r="AG796">
        <v>0</v>
      </c>
      <c r="AH796">
        <v>0</v>
      </c>
      <c r="AI796" t="s">
        <v>51</v>
      </c>
      <c r="AJ796" t="s">
        <v>51</v>
      </c>
      <c r="AK796" t="s">
        <v>51</v>
      </c>
    </row>
    <row r="797" spans="1:37" x14ac:dyDescent="0.2">
      <c r="A797">
        <v>62632</v>
      </c>
      <c r="B797" t="s">
        <v>37</v>
      </c>
      <c r="C797" t="s">
        <v>38</v>
      </c>
      <c r="D797" t="s">
        <v>674</v>
      </c>
      <c r="E797" t="s">
        <v>40</v>
      </c>
      <c r="G797" s="4">
        <v>43948.009560185185</v>
      </c>
      <c r="H797" s="4">
        <v>43948.010231481481</v>
      </c>
      <c r="I797" t="s">
        <v>987</v>
      </c>
      <c r="J797" s="5">
        <v>57.99999999999999999999999999999999999997</v>
      </c>
      <c r="K797" t="s">
        <v>38</v>
      </c>
      <c r="M797">
        <v>62633</v>
      </c>
      <c r="N797" t="s">
        <v>705</v>
      </c>
      <c r="O797" t="s">
        <v>706</v>
      </c>
      <c r="P797" t="s">
        <v>38</v>
      </c>
      <c r="Q797" t="s">
        <v>313</v>
      </c>
      <c r="R797">
        <v>13</v>
      </c>
      <c r="S797" t="s">
        <v>45</v>
      </c>
      <c r="T79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7">
        <v>62634</v>
      </c>
      <c r="V797" t="s">
        <v>38</v>
      </c>
      <c r="W797" t="s">
        <v>313</v>
      </c>
      <c r="X797">
        <v>13</v>
      </c>
      <c r="Y797">
        <v>0</v>
      </c>
      <c r="Z797" t="s">
        <v>46</v>
      </c>
      <c r="AA797">
        <v>62699</v>
      </c>
      <c r="AB797" t="s">
        <v>1083</v>
      </c>
      <c r="AC797" t="s">
        <v>103</v>
      </c>
      <c r="AD797" t="s">
        <v>38</v>
      </c>
      <c r="AE797" t="s">
        <v>49</v>
      </c>
      <c r="AF797" t="s">
        <v>50</v>
      </c>
      <c r="AG797">
        <v>0</v>
      </c>
      <c r="AH797">
        <v>0</v>
      </c>
      <c r="AI797" t="s">
        <v>51</v>
      </c>
      <c r="AJ797" t="s">
        <v>51</v>
      </c>
      <c r="AK797" t="s">
        <v>51</v>
      </c>
    </row>
    <row r="798" spans="1:37" x14ac:dyDescent="0.2">
      <c r="A798">
        <v>62632</v>
      </c>
      <c r="B798" t="s">
        <v>37</v>
      </c>
      <c r="C798" t="s">
        <v>38</v>
      </c>
      <c r="D798" t="s">
        <v>674</v>
      </c>
      <c r="E798" t="s">
        <v>40</v>
      </c>
      <c r="G798" s="4">
        <v>43948.009560185185</v>
      </c>
      <c r="H798" s="4">
        <v>43948.010231481481</v>
      </c>
      <c r="I798" t="s">
        <v>987</v>
      </c>
      <c r="J798" s="5">
        <v>57.99999999999999999999999999999999999997</v>
      </c>
      <c r="K798" t="s">
        <v>38</v>
      </c>
      <c r="M798">
        <v>62633</v>
      </c>
      <c r="N798" t="s">
        <v>705</v>
      </c>
      <c r="O798" t="s">
        <v>706</v>
      </c>
      <c r="P798" t="s">
        <v>38</v>
      </c>
      <c r="Q798" t="s">
        <v>313</v>
      </c>
      <c r="R798">
        <v>13</v>
      </c>
      <c r="S798" t="s">
        <v>45</v>
      </c>
      <c r="T79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8">
        <v>62634</v>
      </c>
      <c r="V798" t="s">
        <v>38</v>
      </c>
      <c r="W798" t="s">
        <v>313</v>
      </c>
      <c r="X798">
        <v>13</v>
      </c>
      <c r="Y798">
        <v>0</v>
      </c>
      <c r="Z798" t="s">
        <v>46</v>
      </c>
      <c r="AA798">
        <v>62698</v>
      </c>
      <c r="AB798" t="s">
        <v>1084</v>
      </c>
      <c r="AC798" t="s">
        <v>103</v>
      </c>
      <c r="AD798" t="s">
        <v>38</v>
      </c>
      <c r="AE798" t="s">
        <v>49</v>
      </c>
      <c r="AF798" t="s">
        <v>50</v>
      </c>
      <c r="AG798">
        <v>0</v>
      </c>
      <c r="AH798">
        <v>0</v>
      </c>
      <c r="AI798" t="s">
        <v>51</v>
      </c>
      <c r="AJ798" t="s">
        <v>51</v>
      </c>
      <c r="AK798" t="s">
        <v>51</v>
      </c>
    </row>
    <row r="799" spans="1:37" x14ac:dyDescent="0.2">
      <c r="A799">
        <v>62632</v>
      </c>
      <c r="B799" t="s">
        <v>37</v>
      </c>
      <c r="C799" t="s">
        <v>38</v>
      </c>
      <c r="D799" t="s">
        <v>674</v>
      </c>
      <c r="E799" t="s">
        <v>40</v>
      </c>
      <c r="G799" s="4">
        <v>43948.009560185185</v>
      </c>
      <c r="H799" s="4">
        <v>43948.010231481481</v>
      </c>
      <c r="I799" t="s">
        <v>987</v>
      </c>
      <c r="J799" s="5">
        <v>57.99999999999999999999999999999999999997</v>
      </c>
      <c r="K799" t="s">
        <v>38</v>
      </c>
      <c r="M799">
        <v>62633</v>
      </c>
      <c r="N799" t="s">
        <v>705</v>
      </c>
      <c r="O799" t="s">
        <v>706</v>
      </c>
      <c r="P799" t="s">
        <v>38</v>
      </c>
      <c r="Q799" t="s">
        <v>313</v>
      </c>
      <c r="R799">
        <v>13</v>
      </c>
      <c r="S799" t="s">
        <v>45</v>
      </c>
      <c r="T79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799">
        <v>62634</v>
      </c>
      <c r="V799" t="s">
        <v>38</v>
      </c>
      <c r="W799" t="s">
        <v>313</v>
      </c>
      <c r="X799">
        <v>13</v>
      </c>
      <c r="Y799">
        <v>0</v>
      </c>
      <c r="Z799" t="s">
        <v>46</v>
      </c>
      <c r="AA799">
        <v>62697</v>
      </c>
      <c r="AB799" t="s">
        <v>1085</v>
      </c>
      <c r="AC799" t="s">
        <v>103</v>
      </c>
      <c r="AD799" t="s">
        <v>38</v>
      </c>
      <c r="AE799" t="s">
        <v>49</v>
      </c>
      <c r="AF799" t="s">
        <v>50</v>
      </c>
      <c r="AG799">
        <v>0</v>
      </c>
      <c r="AH799">
        <v>0</v>
      </c>
      <c r="AI799" t="s">
        <v>51</v>
      </c>
      <c r="AJ799" t="s">
        <v>51</v>
      </c>
      <c r="AK799" t="s">
        <v>51</v>
      </c>
    </row>
    <row r="800" spans="1:37" x14ac:dyDescent="0.2">
      <c r="A800">
        <v>62632</v>
      </c>
      <c r="B800" t="s">
        <v>37</v>
      </c>
      <c r="C800" t="s">
        <v>38</v>
      </c>
      <c r="D800" t="s">
        <v>674</v>
      </c>
      <c r="E800" t="s">
        <v>40</v>
      </c>
      <c r="G800" s="4">
        <v>43948.009560185185</v>
      </c>
      <c r="H800" s="4">
        <v>43948.010231481481</v>
      </c>
      <c r="I800" t="s">
        <v>987</v>
      </c>
      <c r="J800" s="5">
        <v>57.99999999999999999999999999999999999997</v>
      </c>
      <c r="K800" t="s">
        <v>38</v>
      </c>
      <c r="M800">
        <v>62633</v>
      </c>
      <c r="N800" t="s">
        <v>705</v>
      </c>
      <c r="O800" t="s">
        <v>706</v>
      </c>
      <c r="P800" t="s">
        <v>38</v>
      </c>
      <c r="Q800" t="s">
        <v>313</v>
      </c>
      <c r="R800">
        <v>13</v>
      </c>
      <c r="S800" t="s">
        <v>45</v>
      </c>
      <c r="T80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0">
        <v>62634</v>
      </c>
      <c r="V800" t="s">
        <v>38</v>
      </c>
      <c r="W800" t="s">
        <v>313</v>
      </c>
      <c r="X800">
        <v>13</v>
      </c>
      <c r="Y800">
        <v>0</v>
      </c>
      <c r="Z800" t="s">
        <v>46</v>
      </c>
      <c r="AA800">
        <v>62696</v>
      </c>
      <c r="AB800" t="s">
        <v>1086</v>
      </c>
      <c r="AC800" t="s">
        <v>103</v>
      </c>
      <c r="AD800" t="s">
        <v>38</v>
      </c>
      <c r="AE800" t="s">
        <v>49</v>
      </c>
      <c r="AF800" t="s">
        <v>50</v>
      </c>
      <c r="AG800">
        <v>0</v>
      </c>
      <c r="AH800">
        <v>0</v>
      </c>
      <c r="AI800" t="s">
        <v>51</v>
      </c>
      <c r="AJ800" t="s">
        <v>51</v>
      </c>
      <c r="AK800" t="s">
        <v>51</v>
      </c>
    </row>
    <row r="801" spans="1:37" x14ac:dyDescent="0.2">
      <c r="A801">
        <v>62632</v>
      </c>
      <c r="B801" t="s">
        <v>37</v>
      </c>
      <c r="C801" t="s">
        <v>38</v>
      </c>
      <c r="D801" t="s">
        <v>674</v>
      </c>
      <c r="E801" t="s">
        <v>40</v>
      </c>
      <c r="G801" s="4">
        <v>43948.009560185185</v>
      </c>
      <c r="H801" s="4">
        <v>43948.010231481481</v>
      </c>
      <c r="I801" t="s">
        <v>987</v>
      </c>
      <c r="J801" s="5">
        <v>57.99999999999999999999999999999999999997</v>
      </c>
      <c r="K801" t="s">
        <v>38</v>
      </c>
      <c r="M801">
        <v>62633</v>
      </c>
      <c r="N801" t="s">
        <v>705</v>
      </c>
      <c r="O801" t="s">
        <v>706</v>
      </c>
      <c r="P801" t="s">
        <v>38</v>
      </c>
      <c r="Q801" t="s">
        <v>313</v>
      </c>
      <c r="R801">
        <v>13</v>
      </c>
      <c r="S801" t="s">
        <v>45</v>
      </c>
      <c r="T80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1">
        <v>62634</v>
      </c>
      <c r="V801" t="s">
        <v>38</v>
      </c>
      <c r="W801" t="s">
        <v>313</v>
      </c>
      <c r="X801">
        <v>13</v>
      </c>
      <c r="Y801">
        <v>0</v>
      </c>
      <c r="Z801" t="s">
        <v>46</v>
      </c>
      <c r="AA801">
        <v>62695</v>
      </c>
      <c r="AB801" t="s">
        <v>1087</v>
      </c>
      <c r="AC801" t="s">
        <v>103</v>
      </c>
      <c r="AD801" t="s">
        <v>38</v>
      </c>
      <c r="AE801" t="s">
        <v>49</v>
      </c>
      <c r="AF801" t="s">
        <v>50</v>
      </c>
      <c r="AG801">
        <v>0</v>
      </c>
      <c r="AH801">
        <v>0</v>
      </c>
      <c r="AI801" t="s">
        <v>51</v>
      </c>
      <c r="AJ801" t="s">
        <v>51</v>
      </c>
      <c r="AK801" t="s">
        <v>51</v>
      </c>
    </row>
    <row r="802" spans="1:37" x14ac:dyDescent="0.2">
      <c r="A802">
        <v>62632</v>
      </c>
      <c r="B802" t="s">
        <v>37</v>
      </c>
      <c r="C802" t="s">
        <v>38</v>
      </c>
      <c r="D802" t="s">
        <v>674</v>
      </c>
      <c r="E802" t="s">
        <v>40</v>
      </c>
      <c r="G802" s="4">
        <v>43948.009560185185</v>
      </c>
      <c r="H802" s="4">
        <v>43948.010231481481</v>
      </c>
      <c r="I802" t="s">
        <v>987</v>
      </c>
      <c r="J802" s="5">
        <v>57.99999999999999999999999999999999999997</v>
      </c>
      <c r="K802" t="s">
        <v>38</v>
      </c>
      <c r="M802">
        <v>62633</v>
      </c>
      <c r="N802" t="s">
        <v>705</v>
      </c>
      <c r="O802" t="s">
        <v>706</v>
      </c>
      <c r="P802" t="s">
        <v>38</v>
      </c>
      <c r="Q802" t="s">
        <v>313</v>
      </c>
      <c r="R802">
        <v>13</v>
      </c>
      <c r="S802" t="s">
        <v>45</v>
      </c>
      <c r="T80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2">
        <v>62634</v>
      </c>
      <c r="V802" t="s">
        <v>38</v>
      </c>
      <c r="W802" t="s">
        <v>313</v>
      </c>
      <c r="X802">
        <v>13</v>
      </c>
      <c r="Y802">
        <v>0</v>
      </c>
      <c r="Z802" t="s">
        <v>46</v>
      </c>
      <c r="AA802">
        <v>62694</v>
      </c>
      <c r="AB802" t="s">
        <v>1088</v>
      </c>
      <c r="AC802" t="s">
        <v>103</v>
      </c>
      <c r="AD802" t="s">
        <v>38</v>
      </c>
      <c r="AE802" t="s">
        <v>49</v>
      </c>
      <c r="AF802" t="s">
        <v>50</v>
      </c>
      <c r="AG802">
        <v>0</v>
      </c>
      <c r="AH802">
        <v>0</v>
      </c>
      <c r="AI802" t="s">
        <v>51</v>
      </c>
      <c r="AJ802" t="s">
        <v>51</v>
      </c>
      <c r="AK802" t="s">
        <v>51</v>
      </c>
    </row>
    <row r="803" spans="1:37" x14ac:dyDescent="0.2">
      <c r="A803">
        <v>62632</v>
      </c>
      <c r="B803" t="s">
        <v>37</v>
      </c>
      <c r="C803" t="s">
        <v>38</v>
      </c>
      <c r="D803" t="s">
        <v>674</v>
      </c>
      <c r="E803" t="s">
        <v>40</v>
      </c>
      <c r="G803" s="4">
        <v>43948.009560185185</v>
      </c>
      <c r="H803" s="4">
        <v>43948.010231481481</v>
      </c>
      <c r="I803" t="s">
        <v>987</v>
      </c>
      <c r="J803" s="5">
        <v>57.99999999999999999999999999999999999997</v>
      </c>
      <c r="K803" t="s">
        <v>38</v>
      </c>
      <c r="M803">
        <v>62633</v>
      </c>
      <c r="N803" t="s">
        <v>705</v>
      </c>
      <c r="O803" t="s">
        <v>706</v>
      </c>
      <c r="P803" t="s">
        <v>38</v>
      </c>
      <c r="Q803" t="s">
        <v>313</v>
      </c>
      <c r="R803">
        <v>13</v>
      </c>
      <c r="S803" t="s">
        <v>45</v>
      </c>
      <c r="T80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3">
        <v>62634</v>
      </c>
      <c r="V803" t="s">
        <v>38</v>
      </c>
      <c r="W803" t="s">
        <v>313</v>
      </c>
      <c r="X803">
        <v>13</v>
      </c>
      <c r="Y803">
        <v>0</v>
      </c>
      <c r="Z803" t="s">
        <v>46</v>
      </c>
      <c r="AA803">
        <v>62693</v>
      </c>
      <c r="AB803" t="s">
        <v>1089</v>
      </c>
      <c r="AC803" t="s">
        <v>103</v>
      </c>
      <c r="AD803" t="s">
        <v>38</v>
      </c>
      <c r="AE803" t="s">
        <v>49</v>
      </c>
      <c r="AF803" t="s">
        <v>50</v>
      </c>
      <c r="AG803">
        <v>0</v>
      </c>
      <c r="AH803">
        <v>0</v>
      </c>
      <c r="AI803" t="s">
        <v>51</v>
      </c>
      <c r="AJ803" t="s">
        <v>51</v>
      </c>
      <c r="AK803" t="s">
        <v>51</v>
      </c>
    </row>
    <row r="804" spans="1:37" x14ac:dyDescent="0.2">
      <c r="A804">
        <v>62632</v>
      </c>
      <c r="B804" t="s">
        <v>37</v>
      </c>
      <c r="C804" t="s">
        <v>38</v>
      </c>
      <c r="D804" t="s">
        <v>674</v>
      </c>
      <c r="E804" t="s">
        <v>40</v>
      </c>
      <c r="G804" s="4">
        <v>43948.009560185185</v>
      </c>
      <c r="H804" s="4">
        <v>43948.010231481481</v>
      </c>
      <c r="I804" t="s">
        <v>987</v>
      </c>
      <c r="J804" s="5">
        <v>57.99999999999999999999999999999999999997</v>
      </c>
      <c r="K804" t="s">
        <v>38</v>
      </c>
      <c r="M804">
        <v>62633</v>
      </c>
      <c r="N804" t="s">
        <v>705</v>
      </c>
      <c r="O804" t="s">
        <v>706</v>
      </c>
      <c r="P804" t="s">
        <v>38</v>
      </c>
      <c r="Q804" t="s">
        <v>313</v>
      </c>
      <c r="R804">
        <v>13</v>
      </c>
      <c r="S804" t="s">
        <v>45</v>
      </c>
      <c r="T80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4">
        <v>62634</v>
      </c>
      <c r="V804" t="s">
        <v>38</v>
      </c>
      <c r="W804" t="s">
        <v>313</v>
      </c>
      <c r="X804">
        <v>13</v>
      </c>
      <c r="Y804">
        <v>0</v>
      </c>
      <c r="Z804" t="s">
        <v>46</v>
      </c>
      <c r="AA804">
        <v>62692</v>
      </c>
      <c r="AB804" t="s">
        <v>1090</v>
      </c>
      <c r="AC804" t="s">
        <v>103</v>
      </c>
      <c r="AD804" t="s">
        <v>38</v>
      </c>
      <c r="AE804" t="s">
        <v>49</v>
      </c>
      <c r="AF804" t="s">
        <v>50</v>
      </c>
      <c r="AG804">
        <v>0</v>
      </c>
      <c r="AH804">
        <v>0</v>
      </c>
      <c r="AI804" t="s">
        <v>51</v>
      </c>
      <c r="AJ804" t="s">
        <v>51</v>
      </c>
      <c r="AK804" t="s">
        <v>51</v>
      </c>
    </row>
    <row r="805" spans="1:37" x14ac:dyDescent="0.2">
      <c r="A805">
        <v>62632</v>
      </c>
      <c r="B805" t="s">
        <v>37</v>
      </c>
      <c r="C805" t="s">
        <v>38</v>
      </c>
      <c r="D805" t="s">
        <v>674</v>
      </c>
      <c r="E805" t="s">
        <v>40</v>
      </c>
      <c r="G805" s="4">
        <v>43948.009560185185</v>
      </c>
      <c r="H805" s="4">
        <v>43948.010231481481</v>
      </c>
      <c r="I805" t="s">
        <v>987</v>
      </c>
      <c r="J805" s="5">
        <v>57.99999999999999999999999999999999999997</v>
      </c>
      <c r="K805" t="s">
        <v>38</v>
      </c>
      <c r="M805">
        <v>62633</v>
      </c>
      <c r="N805" t="s">
        <v>705</v>
      </c>
      <c r="O805" t="s">
        <v>706</v>
      </c>
      <c r="P805" t="s">
        <v>38</v>
      </c>
      <c r="Q805" t="s">
        <v>313</v>
      </c>
      <c r="R805">
        <v>13</v>
      </c>
      <c r="S805" t="s">
        <v>45</v>
      </c>
      <c r="T80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5">
        <v>62634</v>
      </c>
      <c r="V805" t="s">
        <v>38</v>
      </c>
      <c r="W805" t="s">
        <v>313</v>
      </c>
      <c r="X805">
        <v>13</v>
      </c>
      <c r="Y805">
        <v>0</v>
      </c>
      <c r="Z805" t="s">
        <v>46</v>
      </c>
      <c r="AA805">
        <v>62691</v>
      </c>
      <c r="AB805" t="s">
        <v>1091</v>
      </c>
      <c r="AC805" t="s">
        <v>103</v>
      </c>
      <c r="AD805" t="s">
        <v>38</v>
      </c>
      <c r="AE805" t="s">
        <v>49</v>
      </c>
      <c r="AF805" t="s">
        <v>50</v>
      </c>
      <c r="AG805">
        <v>0</v>
      </c>
      <c r="AH805">
        <v>0</v>
      </c>
      <c r="AI805" t="s">
        <v>51</v>
      </c>
      <c r="AJ805" t="s">
        <v>51</v>
      </c>
      <c r="AK805" t="s">
        <v>51</v>
      </c>
    </row>
    <row r="806" spans="1:37" x14ac:dyDescent="0.2">
      <c r="A806">
        <v>62632</v>
      </c>
      <c r="B806" t="s">
        <v>37</v>
      </c>
      <c r="C806" t="s">
        <v>38</v>
      </c>
      <c r="D806" t="s">
        <v>674</v>
      </c>
      <c r="E806" t="s">
        <v>40</v>
      </c>
      <c r="G806" s="4">
        <v>43948.009560185185</v>
      </c>
      <c r="H806" s="4">
        <v>43948.010231481481</v>
      </c>
      <c r="I806" t="s">
        <v>987</v>
      </c>
      <c r="J806" s="5">
        <v>57.99999999999999999999999999999999999997</v>
      </c>
      <c r="K806" t="s">
        <v>38</v>
      </c>
      <c r="M806">
        <v>62633</v>
      </c>
      <c r="N806" t="s">
        <v>705</v>
      </c>
      <c r="O806" t="s">
        <v>706</v>
      </c>
      <c r="P806" t="s">
        <v>38</v>
      </c>
      <c r="Q806" t="s">
        <v>313</v>
      </c>
      <c r="R806">
        <v>13</v>
      </c>
      <c r="S806" t="s">
        <v>45</v>
      </c>
      <c r="T80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6">
        <v>62634</v>
      </c>
      <c r="V806" t="s">
        <v>38</v>
      </c>
      <c r="W806" t="s">
        <v>313</v>
      </c>
      <c r="X806">
        <v>13</v>
      </c>
      <c r="Y806">
        <v>0</v>
      </c>
      <c r="Z806" t="s">
        <v>46</v>
      </c>
      <c r="AA806">
        <v>62690</v>
      </c>
      <c r="AB806" t="s">
        <v>1092</v>
      </c>
      <c r="AC806" t="s">
        <v>103</v>
      </c>
      <c r="AD806" t="s">
        <v>38</v>
      </c>
      <c r="AE806" t="s">
        <v>49</v>
      </c>
      <c r="AF806" t="s">
        <v>50</v>
      </c>
      <c r="AG806">
        <v>0</v>
      </c>
      <c r="AH806">
        <v>0</v>
      </c>
      <c r="AI806" t="s">
        <v>51</v>
      </c>
      <c r="AJ806" t="s">
        <v>51</v>
      </c>
      <c r="AK806" t="s">
        <v>51</v>
      </c>
    </row>
    <row r="807" spans="1:37" x14ac:dyDescent="0.2">
      <c r="A807">
        <v>62632</v>
      </c>
      <c r="B807" t="s">
        <v>37</v>
      </c>
      <c r="C807" t="s">
        <v>38</v>
      </c>
      <c r="D807" t="s">
        <v>674</v>
      </c>
      <c r="E807" t="s">
        <v>40</v>
      </c>
      <c r="G807" s="4">
        <v>43948.009560185185</v>
      </c>
      <c r="H807" s="4">
        <v>43948.010231481481</v>
      </c>
      <c r="I807" t="s">
        <v>987</v>
      </c>
      <c r="J807" s="5">
        <v>57.99999999999999999999999999999999999997</v>
      </c>
      <c r="K807" t="s">
        <v>38</v>
      </c>
      <c r="M807">
        <v>62633</v>
      </c>
      <c r="N807" t="s">
        <v>705</v>
      </c>
      <c r="O807" t="s">
        <v>706</v>
      </c>
      <c r="P807" t="s">
        <v>38</v>
      </c>
      <c r="Q807" t="s">
        <v>313</v>
      </c>
      <c r="R807">
        <v>13</v>
      </c>
      <c r="S807" t="s">
        <v>45</v>
      </c>
      <c r="T80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7">
        <v>62634</v>
      </c>
      <c r="V807" t="s">
        <v>38</v>
      </c>
      <c r="W807" t="s">
        <v>313</v>
      </c>
      <c r="X807">
        <v>13</v>
      </c>
      <c r="Y807">
        <v>0</v>
      </c>
      <c r="Z807" t="s">
        <v>46</v>
      </c>
      <c r="AA807">
        <v>62689</v>
      </c>
      <c r="AB807" t="s">
        <v>1093</v>
      </c>
      <c r="AC807" t="s">
        <v>103</v>
      </c>
      <c r="AD807" t="s">
        <v>38</v>
      </c>
      <c r="AE807" t="s">
        <v>49</v>
      </c>
      <c r="AF807" t="s">
        <v>50</v>
      </c>
      <c r="AG807">
        <v>0</v>
      </c>
      <c r="AH807">
        <v>0</v>
      </c>
      <c r="AI807" t="s">
        <v>51</v>
      </c>
      <c r="AJ807" t="s">
        <v>51</v>
      </c>
      <c r="AK807" t="s">
        <v>51</v>
      </c>
    </row>
    <row r="808" spans="1:37" x14ac:dyDescent="0.2">
      <c r="A808">
        <v>62632</v>
      </c>
      <c r="B808" t="s">
        <v>37</v>
      </c>
      <c r="C808" t="s">
        <v>38</v>
      </c>
      <c r="D808" t="s">
        <v>674</v>
      </c>
      <c r="E808" t="s">
        <v>40</v>
      </c>
      <c r="G808" s="4">
        <v>43948.009560185185</v>
      </c>
      <c r="H808" s="4">
        <v>43948.010231481481</v>
      </c>
      <c r="I808" t="s">
        <v>987</v>
      </c>
      <c r="J808" s="5">
        <v>57.99999999999999999999999999999999999997</v>
      </c>
      <c r="K808" t="s">
        <v>38</v>
      </c>
      <c r="M808">
        <v>62633</v>
      </c>
      <c r="N808" t="s">
        <v>705</v>
      </c>
      <c r="O808" t="s">
        <v>706</v>
      </c>
      <c r="P808" t="s">
        <v>38</v>
      </c>
      <c r="Q808" t="s">
        <v>313</v>
      </c>
      <c r="R808">
        <v>13</v>
      </c>
      <c r="S808" t="s">
        <v>45</v>
      </c>
      <c r="T80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8">
        <v>62634</v>
      </c>
      <c r="V808" t="s">
        <v>38</v>
      </c>
      <c r="W808" t="s">
        <v>313</v>
      </c>
      <c r="X808">
        <v>13</v>
      </c>
      <c r="Y808">
        <v>0</v>
      </c>
      <c r="Z808" t="s">
        <v>46</v>
      </c>
      <c r="AA808">
        <v>62688</v>
      </c>
      <c r="AB808" t="s">
        <v>1094</v>
      </c>
      <c r="AC808" t="s">
        <v>103</v>
      </c>
      <c r="AD808" t="s">
        <v>38</v>
      </c>
      <c r="AE808" t="s">
        <v>49</v>
      </c>
      <c r="AF808" t="s">
        <v>50</v>
      </c>
      <c r="AG808">
        <v>0</v>
      </c>
      <c r="AH808">
        <v>0</v>
      </c>
      <c r="AI808" t="s">
        <v>51</v>
      </c>
      <c r="AJ808" t="s">
        <v>51</v>
      </c>
      <c r="AK808" t="s">
        <v>51</v>
      </c>
    </row>
    <row r="809" spans="1:37" x14ac:dyDescent="0.2">
      <c r="A809">
        <v>62632</v>
      </c>
      <c r="B809" t="s">
        <v>37</v>
      </c>
      <c r="C809" t="s">
        <v>38</v>
      </c>
      <c r="D809" t="s">
        <v>674</v>
      </c>
      <c r="E809" t="s">
        <v>40</v>
      </c>
      <c r="G809" s="4">
        <v>43948.009560185185</v>
      </c>
      <c r="H809" s="4">
        <v>43948.010231481481</v>
      </c>
      <c r="I809" t="s">
        <v>987</v>
      </c>
      <c r="J809" s="5">
        <v>57.99999999999999999999999999999999999997</v>
      </c>
      <c r="K809" t="s">
        <v>38</v>
      </c>
      <c r="M809">
        <v>62633</v>
      </c>
      <c r="N809" t="s">
        <v>705</v>
      </c>
      <c r="O809" t="s">
        <v>706</v>
      </c>
      <c r="P809" t="s">
        <v>38</v>
      </c>
      <c r="Q809" t="s">
        <v>313</v>
      </c>
      <c r="R809">
        <v>13</v>
      </c>
      <c r="S809" t="s">
        <v>45</v>
      </c>
      <c r="T80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09">
        <v>62634</v>
      </c>
      <c r="V809" t="s">
        <v>38</v>
      </c>
      <c r="W809" t="s">
        <v>313</v>
      </c>
      <c r="X809">
        <v>13</v>
      </c>
      <c r="Y809">
        <v>0</v>
      </c>
      <c r="Z809" t="s">
        <v>46</v>
      </c>
      <c r="AA809">
        <v>62687</v>
      </c>
      <c r="AB809" t="s">
        <v>1095</v>
      </c>
      <c r="AC809" t="s">
        <v>103</v>
      </c>
      <c r="AD809" t="s">
        <v>38</v>
      </c>
      <c r="AE809" t="s">
        <v>49</v>
      </c>
      <c r="AF809" t="s">
        <v>50</v>
      </c>
      <c r="AG809">
        <v>0</v>
      </c>
      <c r="AH809">
        <v>0</v>
      </c>
      <c r="AI809" t="s">
        <v>51</v>
      </c>
      <c r="AJ809" t="s">
        <v>51</v>
      </c>
      <c r="AK809" t="s">
        <v>51</v>
      </c>
    </row>
    <row r="810" spans="1:37" x14ac:dyDescent="0.2">
      <c r="A810">
        <v>62632</v>
      </c>
      <c r="B810" t="s">
        <v>37</v>
      </c>
      <c r="C810" t="s">
        <v>38</v>
      </c>
      <c r="D810" t="s">
        <v>674</v>
      </c>
      <c r="E810" t="s">
        <v>40</v>
      </c>
      <c r="G810" s="4">
        <v>43948.009560185185</v>
      </c>
      <c r="H810" s="4">
        <v>43948.010231481481</v>
      </c>
      <c r="I810" t="s">
        <v>987</v>
      </c>
      <c r="J810" s="5">
        <v>57.99999999999999999999999999999999999997</v>
      </c>
      <c r="K810" t="s">
        <v>38</v>
      </c>
      <c r="M810">
        <v>62633</v>
      </c>
      <c r="N810" t="s">
        <v>705</v>
      </c>
      <c r="O810" t="s">
        <v>706</v>
      </c>
      <c r="P810" t="s">
        <v>38</v>
      </c>
      <c r="Q810" t="s">
        <v>313</v>
      </c>
      <c r="R810">
        <v>13</v>
      </c>
      <c r="S810" t="s">
        <v>45</v>
      </c>
      <c r="T81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0">
        <v>62634</v>
      </c>
      <c r="V810" t="s">
        <v>38</v>
      </c>
      <c r="W810" t="s">
        <v>313</v>
      </c>
      <c r="X810">
        <v>13</v>
      </c>
      <c r="Y810">
        <v>0</v>
      </c>
      <c r="Z810" t="s">
        <v>46</v>
      </c>
      <c r="AA810">
        <v>62686</v>
      </c>
      <c r="AB810" t="s">
        <v>1096</v>
      </c>
      <c r="AC810" t="s">
        <v>103</v>
      </c>
      <c r="AD810" t="s">
        <v>38</v>
      </c>
      <c r="AE810" t="s">
        <v>49</v>
      </c>
      <c r="AF810" t="s">
        <v>50</v>
      </c>
      <c r="AG810">
        <v>0</v>
      </c>
      <c r="AH810">
        <v>0</v>
      </c>
      <c r="AI810" t="s">
        <v>51</v>
      </c>
      <c r="AJ810" t="s">
        <v>51</v>
      </c>
      <c r="AK810" t="s">
        <v>51</v>
      </c>
    </row>
    <row r="811" spans="1:37" x14ac:dyDescent="0.2">
      <c r="A811">
        <v>62632</v>
      </c>
      <c r="B811" t="s">
        <v>37</v>
      </c>
      <c r="C811" t="s">
        <v>38</v>
      </c>
      <c r="D811" t="s">
        <v>674</v>
      </c>
      <c r="E811" t="s">
        <v>40</v>
      </c>
      <c r="G811" s="4">
        <v>43948.009560185185</v>
      </c>
      <c r="H811" s="4">
        <v>43948.010231481481</v>
      </c>
      <c r="I811" t="s">
        <v>987</v>
      </c>
      <c r="J811" s="5">
        <v>57.99999999999999999999999999999999999997</v>
      </c>
      <c r="K811" t="s">
        <v>38</v>
      </c>
      <c r="M811">
        <v>62633</v>
      </c>
      <c r="N811" t="s">
        <v>705</v>
      </c>
      <c r="O811" t="s">
        <v>706</v>
      </c>
      <c r="P811" t="s">
        <v>38</v>
      </c>
      <c r="Q811" t="s">
        <v>313</v>
      </c>
      <c r="R811">
        <v>13</v>
      </c>
      <c r="S811" t="s">
        <v>45</v>
      </c>
      <c r="T81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1">
        <v>62634</v>
      </c>
      <c r="V811" t="s">
        <v>38</v>
      </c>
      <c r="W811" t="s">
        <v>313</v>
      </c>
      <c r="X811">
        <v>13</v>
      </c>
      <c r="Y811">
        <v>0</v>
      </c>
      <c r="Z811" t="s">
        <v>46</v>
      </c>
      <c r="AA811">
        <v>62685</v>
      </c>
      <c r="AB811" t="s">
        <v>1097</v>
      </c>
      <c r="AC811" t="s">
        <v>103</v>
      </c>
      <c r="AD811" t="s">
        <v>38</v>
      </c>
      <c r="AE811" t="s">
        <v>49</v>
      </c>
      <c r="AF811" t="s">
        <v>50</v>
      </c>
      <c r="AG811">
        <v>0</v>
      </c>
      <c r="AH811">
        <v>0</v>
      </c>
      <c r="AI811" t="s">
        <v>51</v>
      </c>
      <c r="AJ811" t="s">
        <v>51</v>
      </c>
      <c r="AK811" t="s">
        <v>51</v>
      </c>
    </row>
    <row r="812" spans="1:37" x14ac:dyDescent="0.2">
      <c r="A812">
        <v>62632</v>
      </c>
      <c r="B812" t="s">
        <v>37</v>
      </c>
      <c r="C812" t="s">
        <v>38</v>
      </c>
      <c r="D812" t="s">
        <v>674</v>
      </c>
      <c r="E812" t="s">
        <v>40</v>
      </c>
      <c r="G812" s="4">
        <v>43948.009560185185</v>
      </c>
      <c r="H812" s="4">
        <v>43948.010231481481</v>
      </c>
      <c r="I812" t="s">
        <v>987</v>
      </c>
      <c r="J812" s="5">
        <v>57.99999999999999999999999999999999999997</v>
      </c>
      <c r="K812" t="s">
        <v>38</v>
      </c>
      <c r="M812">
        <v>62633</v>
      </c>
      <c r="N812" t="s">
        <v>705</v>
      </c>
      <c r="O812" t="s">
        <v>706</v>
      </c>
      <c r="P812" t="s">
        <v>38</v>
      </c>
      <c r="Q812" t="s">
        <v>313</v>
      </c>
      <c r="R812">
        <v>13</v>
      </c>
      <c r="S812" t="s">
        <v>45</v>
      </c>
      <c r="T81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2">
        <v>62634</v>
      </c>
      <c r="V812" t="s">
        <v>38</v>
      </c>
      <c r="W812" t="s">
        <v>313</v>
      </c>
      <c r="X812">
        <v>13</v>
      </c>
      <c r="Y812">
        <v>0</v>
      </c>
      <c r="Z812" t="s">
        <v>46</v>
      </c>
      <c r="AA812">
        <v>62684</v>
      </c>
      <c r="AB812" t="s">
        <v>1098</v>
      </c>
      <c r="AC812" t="s">
        <v>103</v>
      </c>
      <c r="AD812" t="s">
        <v>38</v>
      </c>
      <c r="AE812" t="s">
        <v>49</v>
      </c>
      <c r="AF812" t="s">
        <v>50</v>
      </c>
      <c r="AG812">
        <v>0</v>
      </c>
      <c r="AH812">
        <v>0</v>
      </c>
      <c r="AI812" t="s">
        <v>51</v>
      </c>
      <c r="AJ812" t="s">
        <v>51</v>
      </c>
      <c r="AK812" t="s">
        <v>51</v>
      </c>
    </row>
    <row r="813" spans="1:37" x14ac:dyDescent="0.2">
      <c r="A813">
        <v>62632</v>
      </c>
      <c r="B813" t="s">
        <v>37</v>
      </c>
      <c r="C813" t="s">
        <v>38</v>
      </c>
      <c r="D813" t="s">
        <v>674</v>
      </c>
      <c r="E813" t="s">
        <v>40</v>
      </c>
      <c r="G813" s="4">
        <v>43948.009560185185</v>
      </c>
      <c r="H813" s="4">
        <v>43948.010231481481</v>
      </c>
      <c r="I813" t="s">
        <v>987</v>
      </c>
      <c r="J813" s="5">
        <v>57.99999999999999999999999999999999999997</v>
      </c>
      <c r="K813" t="s">
        <v>38</v>
      </c>
      <c r="M813">
        <v>62633</v>
      </c>
      <c r="N813" t="s">
        <v>705</v>
      </c>
      <c r="O813" t="s">
        <v>706</v>
      </c>
      <c r="P813" t="s">
        <v>38</v>
      </c>
      <c r="Q813" t="s">
        <v>313</v>
      </c>
      <c r="R813">
        <v>13</v>
      </c>
      <c r="S813" t="s">
        <v>45</v>
      </c>
      <c r="T81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3">
        <v>62634</v>
      </c>
      <c r="V813" t="s">
        <v>38</v>
      </c>
      <c r="W813" t="s">
        <v>313</v>
      </c>
      <c r="X813">
        <v>13</v>
      </c>
      <c r="Y813">
        <v>0</v>
      </c>
      <c r="Z813" t="s">
        <v>46</v>
      </c>
      <c r="AA813">
        <v>62683</v>
      </c>
      <c r="AB813" t="s">
        <v>1099</v>
      </c>
      <c r="AC813" t="s">
        <v>103</v>
      </c>
      <c r="AD813" t="s">
        <v>38</v>
      </c>
      <c r="AE813" t="s">
        <v>49</v>
      </c>
      <c r="AF813" t="s">
        <v>50</v>
      </c>
      <c r="AG813">
        <v>0</v>
      </c>
      <c r="AH813">
        <v>0</v>
      </c>
      <c r="AI813" t="s">
        <v>51</v>
      </c>
      <c r="AJ813" t="s">
        <v>51</v>
      </c>
      <c r="AK813" t="s">
        <v>51</v>
      </c>
    </row>
    <row r="814" spans="1:37" x14ac:dyDescent="0.2">
      <c r="A814">
        <v>62632</v>
      </c>
      <c r="B814" t="s">
        <v>37</v>
      </c>
      <c r="C814" t="s">
        <v>38</v>
      </c>
      <c r="D814" t="s">
        <v>674</v>
      </c>
      <c r="E814" t="s">
        <v>40</v>
      </c>
      <c r="G814" s="4">
        <v>43948.009560185185</v>
      </c>
      <c r="H814" s="4">
        <v>43948.010231481481</v>
      </c>
      <c r="I814" t="s">
        <v>987</v>
      </c>
      <c r="J814" s="5">
        <v>57.99999999999999999999999999999999999997</v>
      </c>
      <c r="K814" t="s">
        <v>38</v>
      </c>
      <c r="M814">
        <v>62633</v>
      </c>
      <c r="N814" t="s">
        <v>705</v>
      </c>
      <c r="O814" t="s">
        <v>706</v>
      </c>
      <c r="P814" t="s">
        <v>38</v>
      </c>
      <c r="Q814" t="s">
        <v>313</v>
      </c>
      <c r="R814">
        <v>13</v>
      </c>
      <c r="S814" t="s">
        <v>45</v>
      </c>
      <c r="T81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4">
        <v>62634</v>
      </c>
      <c r="V814" t="s">
        <v>38</v>
      </c>
      <c r="W814" t="s">
        <v>313</v>
      </c>
      <c r="X814">
        <v>13</v>
      </c>
      <c r="Y814">
        <v>0</v>
      </c>
      <c r="Z814" t="s">
        <v>46</v>
      </c>
      <c r="AA814">
        <v>62682</v>
      </c>
      <c r="AB814" t="s">
        <v>1100</v>
      </c>
      <c r="AC814" t="s">
        <v>103</v>
      </c>
      <c r="AD814" t="s">
        <v>38</v>
      </c>
      <c r="AE814" t="s">
        <v>49</v>
      </c>
      <c r="AF814" t="s">
        <v>50</v>
      </c>
      <c r="AG814">
        <v>0</v>
      </c>
      <c r="AH814">
        <v>0</v>
      </c>
      <c r="AI814" t="s">
        <v>51</v>
      </c>
      <c r="AJ814" t="s">
        <v>51</v>
      </c>
      <c r="AK814" t="s">
        <v>51</v>
      </c>
    </row>
    <row r="815" spans="1:37" x14ac:dyDescent="0.2">
      <c r="A815">
        <v>62632</v>
      </c>
      <c r="B815" t="s">
        <v>37</v>
      </c>
      <c r="C815" t="s">
        <v>38</v>
      </c>
      <c r="D815" t="s">
        <v>674</v>
      </c>
      <c r="E815" t="s">
        <v>40</v>
      </c>
      <c r="G815" s="4">
        <v>43948.009560185185</v>
      </c>
      <c r="H815" s="4">
        <v>43948.010231481481</v>
      </c>
      <c r="I815" t="s">
        <v>987</v>
      </c>
      <c r="J815" s="5">
        <v>57.99999999999999999999999999999999999997</v>
      </c>
      <c r="K815" t="s">
        <v>38</v>
      </c>
      <c r="M815">
        <v>62633</v>
      </c>
      <c r="N815" t="s">
        <v>705</v>
      </c>
      <c r="O815" t="s">
        <v>706</v>
      </c>
      <c r="P815" t="s">
        <v>38</v>
      </c>
      <c r="Q815" t="s">
        <v>313</v>
      </c>
      <c r="R815">
        <v>13</v>
      </c>
      <c r="S815" t="s">
        <v>45</v>
      </c>
      <c r="T81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5">
        <v>62634</v>
      </c>
      <c r="V815" t="s">
        <v>38</v>
      </c>
      <c r="W815" t="s">
        <v>313</v>
      </c>
      <c r="X815">
        <v>13</v>
      </c>
      <c r="Y815">
        <v>0</v>
      </c>
      <c r="Z815" t="s">
        <v>46</v>
      </c>
      <c r="AA815">
        <v>62681</v>
      </c>
      <c r="AB815" t="s">
        <v>1101</v>
      </c>
      <c r="AC815" t="s">
        <v>103</v>
      </c>
      <c r="AD815" t="s">
        <v>38</v>
      </c>
      <c r="AE815" t="s">
        <v>49</v>
      </c>
      <c r="AF815" t="s">
        <v>50</v>
      </c>
      <c r="AG815">
        <v>0</v>
      </c>
      <c r="AH815">
        <v>0</v>
      </c>
      <c r="AI815" t="s">
        <v>51</v>
      </c>
      <c r="AJ815" t="s">
        <v>51</v>
      </c>
      <c r="AK815" t="s">
        <v>51</v>
      </c>
    </row>
    <row r="816" spans="1:37" x14ac:dyDescent="0.2">
      <c r="A816">
        <v>62632</v>
      </c>
      <c r="B816" t="s">
        <v>37</v>
      </c>
      <c r="C816" t="s">
        <v>38</v>
      </c>
      <c r="D816" t="s">
        <v>674</v>
      </c>
      <c r="E816" t="s">
        <v>40</v>
      </c>
      <c r="G816" s="4">
        <v>43948.009560185185</v>
      </c>
      <c r="H816" s="4">
        <v>43948.010231481481</v>
      </c>
      <c r="I816" t="s">
        <v>987</v>
      </c>
      <c r="J816" s="5">
        <v>57.99999999999999999999999999999999999997</v>
      </c>
      <c r="K816" t="s">
        <v>38</v>
      </c>
      <c r="M816">
        <v>62633</v>
      </c>
      <c r="N816" t="s">
        <v>705</v>
      </c>
      <c r="O816" t="s">
        <v>706</v>
      </c>
      <c r="P816" t="s">
        <v>38</v>
      </c>
      <c r="Q816" t="s">
        <v>313</v>
      </c>
      <c r="R816">
        <v>13</v>
      </c>
      <c r="S816" t="s">
        <v>45</v>
      </c>
      <c r="T81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6">
        <v>62634</v>
      </c>
      <c r="V816" t="s">
        <v>38</v>
      </c>
      <c r="W816" t="s">
        <v>313</v>
      </c>
      <c r="X816">
        <v>13</v>
      </c>
      <c r="Y816">
        <v>0</v>
      </c>
      <c r="Z816" t="s">
        <v>46</v>
      </c>
      <c r="AA816">
        <v>62680</v>
      </c>
      <c r="AB816" t="s">
        <v>1102</v>
      </c>
      <c r="AC816" t="s">
        <v>103</v>
      </c>
      <c r="AD816" t="s">
        <v>38</v>
      </c>
      <c r="AE816" t="s">
        <v>49</v>
      </c>
      <c r="AF816" t="s">
        <v>50</v>
      </c>
      <c r="AG816">
        <v>0</v>
      </c>
      <c r="AH816">
        <v>0</v>
      </c>
      <c r="AI816" t="s">
        <v>51</v>
      </c>
      <c r="AJ816" t="s">
        <v>51</v>
      </c>
      <c r="AK816" t="s">
        <v>51</v>
      </c>
    </row>
    <row r="817" spans="1:37" x14ac:dyDescent="0.2">
      <c r="A817">
        <v>62632</v>
      </c>
      <c r="B817" t="s">
        <v>37</v>
      </c>
      <c r="C817" t="s">
        <v>38</v>
      </c>
      <c r="D817" t="s">
        <v>674</v>
      </c>
      <c r="E817" t="s">
        <v>40</v>
      </c>
      <c r="G817" s="4">
        <v>43948.009560185185</v>
      </c>
      <c r="H817" s="4">
        <v>43948.010231481481</v>
      </c>
      <c r="I817" t="s">
        <v>987</v>
      </c>
      <c r="J817" s="5">
        <v>57.99999999999999999999999999999999999997</v>
      </c>
      <c r="K817" t="s">
        <v>38</v>
      </c>
      <c r="M817">
        <v>62633</v>
      </c>
      <c r="N817" t="s">
        <v>705</v>
      </c>
      <c r="O817" t="s">
        <v>706</v>
      </c>
      <c r="P817" t="s">
        <v>38</v>
      </c>
      <c r="Q817" t="s">
        <v>313</v>
      </c>
      <c r="R817">
        <v>13</v>
      </c>
      <c r="S817" t="s">
        <v>45</v>
      </c>
      <c r="T81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7">
        <v>62634</v>
      </c>
      <c r="V817" t="s">
        <v>38</v>
      </c>
      <c r="W817" t="s">
        <v>313</v>
      </c>
      <c r="X817">
        <v>13</v>
      </c>
      <c r="Y817">
        <v>0</v>
      </c>
      <c r="Z817" t="s">
        <v>46</v>
      </c>
      <c r="AA817">
        <v>62679</v>
      </c>
      <c r="AB817" t="s">
        <v>1103</v>
      </c>
      <c r="AC817" t="s">
        <v>103</v>
      </c>
      <c r="AD817" t="s">
        <v>38</v>
      </c>
      <c r="AE817" t="s">
        <v>49</v>
      </c>
      <c r="AF817" t="s">
        <v>50</v>
      </c>
      <c r="AG817">
        <v>0</v>
      </c>
      <c r="AH817">
        <v>0</v>
      </c>
      <c r="AI817" t="s">
        <v>51</v>
      </c>
      <c r="AJ817" t="s">
        <v>51</v>
      </c>
      <c r="AK817" t="s">
        <v>51</v>
      </c>
    </row>
    <row r="818" spans="1:37" x14ac:dyDescent="0.2">
      <c r="A818">
        <v>62632</v>
      </c>
      <c r="B818" t="s">
        <v>37</v>
      </c>
      <c r="C818" t="s">
        <v>38</v>
      </c>
      <c r="D818" t="s">
        <v>674</v>
      </c>
      <c r="E818" t="s">
        <v>40</v>
      </c>
      <c r="G818" s="4">
        <v>43948.009560185185</v>
      </c>
      <c r="H818" s="4">
        <v>43948.010231481481</v>
      </c>
      <c r="I818" t="s">
        <v>987</v>
      </c>
      <c r="J818" s="5">
        <v>57.99999999999999999999999999999999999997</v>
      </c>
      <c r="K818" t="s">
        <v>38</v>
      </c>
      <c r="M818">
        <v>62633</v>
      </c>
      <c r="N818" t="s">
        <v>705</v>
      </c>
      <c r="O818" t="s">
        <v>706</v>
      </c>
      <c r="P818" t="s">
        <v>38</v>
      </c>
      <c r="Q818" t="s">
        <v>313</v>
      </c>
      <c r="R818">
        <v>13</v>
      </c>
      <c r="S818" t="s">
        <v>45</v>
      </c>
      <c r="T81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8">
        <v>62634</v>
      </c>
      <c r="V818" t="s">
        <v>38</v>
      </c>
      <c r="W818" t="s">
        <v>313</v>
      </c>
      <c r="X818">
        <v>13</v>
      </c>
      <c r="Y818">
        <v>0</v>
      </c>
      <c r="Z818" t="s">
        <v>46</v>
      </c>
      <c r="AA818">
        <v>62678</v>
      </c>
      <c r="AB818" t="s">
        <v>1104</v>
      </c>
      <c r="AC818" t="s">
        <v>103</v>
      </c>
      <c r="AD818" t="s">
        <v>38</v>
      </c>
      <c r="AE818" t="s">
        <v>49</v>
      </c>
      <c r="AF818" t="s">
        <v>50</v>
      </c>
      <c r="AG818">
        <v>0</v>
      </c>
      <c r="AH818">
        <v>0</v>
      </c>
      <c r="AI818" t="s">
        <v>51</v>
      </c>
      <c r="AJ818" t="s">
        <v>51</v>
      </c>
      <c r="AK818" t="s">
        <v>51</v>
      </c>
    </row>
    <row r="819" spans="1:37" x14ac:dyDescent="0.2">
      <c r="A819">
        <v>62632</v>
      </c>
      <c r="B819" t="s">
        <v>37</v>
      </c>
      <c r="C819" t="s">
        <v>38</v>
      </c>
      <c r="D819" t="s">
        <v>674</v>
      </c>
      <c r="E819" t="s">
        <v>40</v>
      </c>
      <c r="G819" s="4">
        <v>43948.009560185185</v>
      </c>
      <c r="H819" s="4">
        <v>43948.010231481481</v>
      </c>
      <c r="I819" t="s">
        <v>987</v>
      </c>
      <c r="J819" s="5">
        <v>57.99999999999999999999999999999999999997</v>
      </c>
      <c r="K819" t="s">
        <v>38</v>
      </c>
      <c r="M819">
        <v>62633</v>
      </c>
      <c r="N819" t="s">
        <v>705</v>
      </c>
      <c r="O819" t="s">
        <v>706</v>
      </c>
      <c r="P819" t="s">
        <v>38</v>
      </c>
      <c r="Q819" t="s">
        <v>313</v>
      </c>
      <c r="R819">
        <v>13</v>
      </c>
      <c r="S819" t="s">
        <v>45</v>
      </c>
      <c r="T81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19">
        <v>62634</v>
      </c>
      <c r="V819" t="s">
        <v>38</v>
      </c>
      <c r="W819" t="s">
        <v>313</v>
      </c>
      <c r="X819">
        <v>13</v>
      </c>
      <c r="Y819">
        <v>0</v>
      </c>
      <c r="Z819" t="s">
        <v>46</v>
      </c>
      <c r="AA819">
        <v>62677</v>
      </c>
      <c r="AB819" t="s">
        <v>1105</v>
      </c>
      <c r="AC819" t="s">
        <v>103</v>
      </c>
      <c r="AD819" t="s">
        <v>38</v>
      </c>
      <c r="AE819" t="s">
        <v>49</v>
      </c>
      <c r="AF819" t="s">
        <v>50</v>
      </c>
      <c r="AG819">
        <v>0</v>
      </c>
      <c r="AH819">
        <v>0</v>
      </c>
      <c r="AI819" t="s">
        <v>51</v>
      </c>
      <c r="AJ819" t="s">
        <v>51</v>
      </c>
      <c r="AK819" t="s">
        <v>51</v>
      </c>
    </row>
    <row r="820" spans="1:37" x14ac:dyDescent="0.2">
      <c r="A820">
        <v>62632</v>
      </c>
      <c r="B820" t="s">
        <v>37</v>
      </c>
      <c r="C820" t="s">
        <v>38</v>
      </c>
      <c r="D820" t="s">
        <v>674</v>
      </c>
      <c r="E820" t="s">
        <v>40</v>
      </c>
      <c r="G820" s="4">
        <v>43948.009560185185</v>
      </c>
      <c r="H820" s="4">
        <v>43948.010231481481</v>
      </c>
      <c r="I820" t="s">
        <v>987</v>
      </c>
      <c r="J820" s="5">
        <v>57.99999999999999999999999999999999999997</v>
      </c>
      <c r="K820" t="s">
        <v>38</v>
      </c>
      <c r="M820">
        <v>62633</v>
      </c>
      <c r="N820" t="s">
        <v>705</v>
      </c>
      <c r="O820" t="s">
        <v>706</v>
      </c>
      <c r="P820" t="s">
        <v>38</v>
      </c>
      <c r="Q820" t="s">
        <v>313</v>
      </c>
      <c r="R820">
        <v>13</v>
      </c>
      <c r="S820" t="s">
        <v>45</v>
      </c>
      <c r="T82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0">
        <v>62634</v>
      </c>
      <c r="V820" t="s">
        <v>38</v>
      </c>
      <c r="W820" t="s">
        <v>313</v>
      </c>
      <c r="X820">
        <v>13</v>
      </c>
      <c r="Y820">
        <v>0</v>
      </c>
      <c r="Z820" t="s">
        <v>46</v>
      </c>
      <c r="AA820">
        <v>62676</v>
      </c>
      <c r="AB820" t="s">
        <v>1106</v>
      </c>
      <c r="AC820" t="s">
        <v>103</v>
      </c>
      <c r="AD820" t="s">
        <v>38</v>
      </c>
      <c r="AE820" t="s">
        <v>49</v>
      </c>
      <c r="AF820" t="s">
        <v>50</v>
      </c>
      <c r="AG820">
        <v>0</v>
      </c>
      <c r="AH820">
        <v>0</v>
      </c>
      <c r="AI820" t="s">
        <v>51</v>
      </c>
      <c r="AJ820" t="s">
        <v>51</v>
      </c>
      <c r="AK820" t="s">
        <v>51</v>
      </c>
    </row>
    <row r="821" spans="1:37" x14ac:dyDescent="0.2">
      <c r="A821">
        <v>62632</v>
      </c>
      <c r="B821" t="s">
        <v>37</v>
      </c>
      <c r="C821" t="s">
        <v>38</v>
      </c>
      <c r="D821" t="s">
        <v>674</v>
      </c>
      <c r="E821" t="s">
        <v>40</v>
      </c>
      <c r="G821" s="4">
        <v>43948.009560185185</v>
      </c>
      <c r="H821" s="4">
        <v>43948.010231481481</v>
      </c>
      <c r="I821" t="s">
        <v>987</v>
      </c>
      <c r="J821" s="5">
        <v>57.99999999999999999999999999999999999997</v>
      </c>
      <c r="K821" t="s">
        <v>38</v>
      </c>
      <c r="M821">
        <v>62633</v>
      </c>
      <c r="N821" t="s">
        <v>705</v>
      </c>
      <c r="O821" t="s">
        <v>706</v>
      </c>
      <c r="P821" t="s">
        <v>38</v>
      </c>
      <c r="Q821" t="s">
        <v>313</v>
      </c>
      <c r="R821">
        <v>13</v>
      </c>
      <c r="S821" t="s">
        <v>45</v>
      </c>
      <c r="T82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1">
        <v>62634</v>
      </c>
      <c r="V821" t="s">
        <v>38</v>
      </c>
      <c r="W821" t="s">
        <v>313</v>
      </c>
      <c r="X821">
        <v>13</v>
      </c>
      <c r="Y821">
        <v>0</v>
      </c>
      <c r="Z821" t="s">
        <v>46</v>
      </c>
      <c r="AA821">
        <v>62675</v>
      </c>
      <c r="AB821" t="s">
        <v>1107</v>
      </c>
      <c r="AC821" t="s">
        <v>103</v>
      </c>
      <c r="AD821" t="s">
        <v>38</v>
      </c>
      <c r="AE821" t="s">
        <v>49</v>
      </c>
      <c r="AF821" t="s">
        <v>50</v>
      </c>
      <c r="AG821">
        <v>0</v>
      </c>
      <c r="AH821">
        <v>0</v>
      </c>
      <c r="AI821" t="s">
        <v>51</v>
      </c>
      <c r="AJ821" t="s">
        <v>51</v>
      </c>
      <c r="AK821" t="s">
        <v>51</v>
      </c>
    </row>
    <row r="822" spans="1:37" x14ac:dyDescent="0.2">
      <c r="A822">
        <v>62632</v>
      </c>
      <c r="B822" t="s">
        <v>37</v>
      </c>
      <c r="C822" t="s">
        <v>38</v>
      </c>
      <c r="D822" t="s">
        <v>674</v>
      </c>
      <c r="E822" t="s">
        <v>40</v>
      </c>
      <c r="G822" s="4">
        <v>43948.009560185185</v>
      </c>
      <c r="H822" s="4">
        <v>43948.010231481481</v>
      </c>
      <c r="I822" t="s">
        <v>987</v>
      </c>
      <c r="J822" s="5">
        <v>57.99999999999999999999999999999999999997</v>
      </c>
      <c r="K822" t="s">
        <v>38</v>
      </c>
      <c r="M822">
        <v>62633</v>
      </c>
      <c r="N822" t="s">
        <v>705</v>
      </c>
      <c r="O822" t="s">
        <v>706</v>
      </c>
      <c r="P822" t="s">
        <v>38</v>
      </c>
      <c r="Q822" t="s">
        <v>313</v>
      </c>
      <c r="R822">
        <v>13</v>
      </c>
      <c r="S822" t="s">
        <v>45</v>
      </c>
      <c r="T82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2">
        <v>62634</v>
      </c>
      <c r="V822" t="s">
        <v>38</v>
      </c>
      <c r="W822" t="s">
        <v>313</v>
      </c>
      <c r="X822">
        <v>13</v>
      </c>
      <c r="Y822">
        <v>0</v>
      </c>
      <c r="Z822" t="s">
        <v>46</v>
      </c>
      <c r="AA822">
        <v>62674</v>
      </c>
      <c r="AB822" t="s">
        <v>1108</v>
      </c>
      <c r="AC822" t="s">
        <v>103</v>
      </c>
      <c r="AD822" t="s">
        <v>38</v>
      </c>
      <c r="AE822" t="s">
        <v>49</v>
      </c>
      <c r="AF822" t="s">
        <v>50</v>
      </c>
      <c r="AG822">
        <v>0</v>
      </c>
      <c r="AH822">
        <v>0</v>
      </c>
      <c r="AI822" t="s">
        <v>51</v>
      </c>
      <c r="AJ822" t="s">
        <v>51</v>
      </c>
      <c r="AK822" t="s">
        <v>51</v>
      </c>
    </row>
    <row r="823" spans="1:37" x14ac:dyDescent="0.2">
      <c r="A823">
        <v>62632</v>
      </c>
      <c r="B823" t="s">
        <v>37</v>
      </c>
      <c r="C823" t="s">
        <v>38</v>
      </c>
      <c r="D823" t="s">
        <v>674</v>
      </c>
      <c r="E823" t="s">
        <v>40</v>
      </c>
      <c r="G823" s="4">
        <v>43948.009560185185</v>
      </c>
      <c r="H823" s="4">
        <v>43948.010231481481</v>
      </c>
      <c r="I823" t="s">
        <v>987</v>
      </c>
      <c r="J823" s="5">
        <v>57.99999999999999999999999999999999999997</v>
      </c>
      <c r="K823" t="s">
        <v>38</v>
      </c>
      <c r="M823">
        <v>62633</v>
      </c>
      <c r="N823" t="s">
        <v>705</v>
      </c>
      <c r="O823" t="s">
        <v>706</v>
      </c>
      <c r="P823" t="s">
        <v>38</v>
      </c>
      <c r="Q823" t="s">
        <v>313</v>
      </c>
      <c r="R823">
        <v>13</v>
      </c>
      <c r="S823" t="s">
        <v>45</v>
      </c>
      <c r="T82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3">
        <v>62634</v>
      </c>
      <c r="V823" t="s">
        <v>38</v>
      </c>
      <c r="W823" t="s">
        <v>313</v>
      </c>
      <c r="X823">
        <v>13</v>
      </c>
      <c r="Y823">
        <v>0</v>
      </c>
      <c r="Z823" t="s">
        <v>46</v>
      </c>
      <c r="AA823">
        <v>62673</v>
      </c>
      <c r="AB823" t="s">
        <v>1109</v>
      </c>
      <c r="AC823" t="s">
        <v>103</v>
      </c>
      <c r="AD823" t="s">
        <v>38</v>
      </c>
      <c r="AE823" t="s">
        <v>49</v>
      </c>
      <c r="AF823" t="s">
        <v>50</v>
      </c>
      <c r="AG823">
        <v>0</v>
      </c>
      <c r="AH823">
        <v>0</v>
      </c>
      <c r="AI823" t="s">
        <v>51</v>
      </c>
      <c r="AJ823" t="s">
        <v>51</v>
      </c>
      <c r="AK823" t="s">
        <v>51</v>
      </c>
    </row>
    <row r="824" spans="1:37" x14ac:dyDescent="0.2">
      <c r="A824">
        <v>62632</v>
      </c>
      <c r="B824" t="s">
        <v>37</v>
      </c>
      <c r="C824" t="s">
        <v>38</v>
      </c>
      <c r="D824" t="s">
        <v>674</v>
      </c>
      <c r="E824" t="s">
        <v>40</v>
      </c>
      <c r="G824" s="4">
        <v>43948.009560185185</v>
      </c>
      <c r="H824" s="4">
        <v>43948.010231481481</v>
      </c>
      <c r="I824" t="s">
        <v>987</v>
      </c>
      <c r="J824" s="5">
        <v>57.99999999999999999999999999999999999997</v>
      </c>
      <c r="K824" t="s">
        <v>38</v>
      </c>
      <c r="M824">
        <v>62633</v>
      </c>
      <c r="N824" t="s">
        <v>705</v>
      </c>
      <c r="O824" t="s">
        <v>706</v>
      </c>
      <c r="P824" t="s">
        <v>38</v>
      </c>
      <c r="Q824" t="s">
        <v>313</v>
      </c>
      <c r="R824">
        <v>13</v>
      </c>
      <c r="S824" t="s">
        <v>45</v>
      </c>
      <c r="T82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4">
        <v>62634</v>
      </c>
      <c r="V824" t="s">
        <v>38</v>
      </c>
      <c r="W824" t="s">
        <v>313</v>
      </c>
      <c r="X824">
        <v>13</v>
      </c>
      <c r="Y824">
        <v>0</v>
      </c>
      <c r="Z824" t="s">
        <v>46</v>
      </c>
      <c r="AA824">
        <v>62672</v>
      </c>
      <c r="AB824" t="s">
        <v>1110</v>
      </c>
      <c r="AC824" t="s">
        <v>103</v>
      </c>
      <c r="AD824" t="s">
        <v>38</v>
      </c>
      <c r="AE824" t="s">
        <v>49</v>
      </c>
      <c r="AF824" t="s">
        <v>50</v>
      </c>
      <c r="AG824">
        <v>0</v>
      </c>
      <c r="AH824">
        <v>0</v>
      </c>
      <c r="AI824" t="s">
        <v>51</v>
      </c>
      <c r="AJ824" t="s">
        <v>51</v>
      </c>
      <c r="AK824" t="s">
        <v>51</v>
      </c>
    </row>
    <row r="825" spans="1:37" x14ac:dyDescent="0.2">
      <c r="A825">
        <v>62632</v>
      </c>
      <c r="B825" t="s">
        <v>37</v>
      </c>
      <c r="C825" t="s">
        <v>38</v>
      </c>
      <c r="D825" t="s">
        <v>674</v>
      </c>
      <c r="E825" t="s">
        <v>40</v>
      </c>
      <c r="G825" s="4">
        <v>43948.009560185185</v>
      </c>
      <c r="H825" s="4">
        <v>43948.010231481481</v>
      </c>
      <c r="I825" t="s">
        <v>987</v>
      </c>
      <c r="J825" s="5">
        <v>57.99999999999999999999999999999999999997</v>
      </c>
      <c r="K825" t="s">
        <v>38</v>
      </c>
      <c r="M825">
        <v>62633</v>
      </c>
      <c r="N825" t="s">
        <v>705</v>
      </c>
      <c r="O825" t="s">
        <v>706</v>
      </c>
      <c r="P825" t="s">
        <v>38</v>
      </c>
      <c r="Q825" t="s">
        <v>313</v>
      </c>
      <c r="R825">
        <v>13</v>
      </c>
      <c r="S825" t="s">
        <v>45</v>
      </c>
      <c r="T82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5">
        <v>62634</v>
      </c>
      <c r="V825" t="s">
        <v>38</v>
      </c>
      <c r="W825" t="s">
        <v>313</v>
      </c>
      <c r="X825">
        <v>13</v>
      </c>
      <c r="Y825">
        <v>0</v>
      </c>
      <c r="Z825" t="s">
        <v>46</v>
      </c>
      <c r="AA825">
        <v>62671</v>
      </c>
      <c r="AB825" t="s">
        <v>1111</v>
      </c>
      <c r="AC825" t="s">
        <v>103</v>
      </c>
      <c r="AD825" t="s">
        <v>38</v>
      </c>
      <c r="AE825" t="s">
        <v>49</v>
      </c>
      <c r="AF825" t="s">
        <v>50</v>
      </c>
      <c r="AG825">
        <v>0</v>
      </c>
      <c r="AH825">
        <v>0</v>
      </c>
      <c r="AI825" t="s">
        <v>51</v>
      </c>
      <c r="AJ825" t="s">
        <v>51</v>
      </c>
      <c r="AK825" t="s">
        <v>51</v>
      </c>
    </row>
    <row r="826" spans="1:37" x14ac:dyDescent="0.2">
      <c r="A826">
        <v>62632</v>
      </c>
      <c r="B826" t="s">
        <v>37</v>
      </c>
      <c r="C826" t="s">
        <v>38</v>
      </c>
      <c r="D826" t="s">
        <v>674</v>
      </c>
      <c r="E826" t="s">
        <v>40</v>
      </c>
      <c r="G826" s="4">
        <v>43948.009560185185</v>
      </c>
      <c r="H826" s="4">
        <v>43948.010231481481</v>
      </c>
      <c r="I826" t="s">
        <v>987</v>
      </c>
      <c r="J826" s="5">
        <v>57.99999999999999999999999999999999999997</v>
      </c>
      <c r="K826" t="s">
        <v>38</v>
      </c>
      <c r="M826">
        <v>62633</v>
      </c>
      <c r="N826" t="s">
        <v>705</v>
      </c>
      <c r="O826" t="s">
        <v>706</v>
      </c>
      <c r="P826" t="s">
        <v>38</v>
      </c>
      <c r="Q826" t="s">
        <v>313</v>
      </c>
      <c r="R826">
        <v>13</v>
      </c>
      <c r="S826" t="s">
        <v>45</v>
      </c>
      <c r="T82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6">
        <v>62634</v>
      </c>
      <c r="V826" t="s">
        <v>38</v>
      </c>
      <c r="W826" t="s">
        <v>313</v>
      </c>
      <c r="X826">
        <v>13</v>
      </c>
      <c r="Y826">
        <v>0</v>
      </c>
      <c r="Z826" t="s">
        <v>46</v>
      </c>
      <c r="AA826">
        <v>62670</v>
      </c>
      <c r="AB826" t="s">
        <v>1112</v>
      </c>
      <c r="AC826" t="s">
        <v>103</v>
      </c>
      <c r="AD826" t="s">
        <v>38</v>
      </c>
      <c r="AE826" t="s">
        <v>49</v>
      </c>
      <c r="AF826" t="s">
        <v>50</v>
      </c>
      <c r="AG826">
        <v>0</v>
      </c>
      <c r="AH826">
        <v>0</v>
      </c>
      <c r="AI826" t="s">
        <v>51</v>
      </c>
      <c r="AJ826" t="s">
        <v>51</v>
      </c>
      <c r="AK826" t="s">
        <v>51</v>
      </c>
    </row>
    <row r="827" spans="1:37" x14ac:dyDescent="0.2">
      <c r="A827">
        <v>62632</v>
      </c>
      <c r="B827" t="s">
        <v>37</v>
      </c>
      <c r="C827" t="s">
        <v>38</v>
      </c>
      <c r="D827" t="s">
        <v>674</v>
      </c>
      <c r="E827" t="s">
        <v>40</v>
      </c>
      <c r="G827" s="4">
        <v>43948.009560185185</v>
      </c>
      <c r="H827" s="4">
        <v>43948.010231481481</v>
      </c>
      <c r="I827" t="s">
        <v>987</v>
      </c>
      <c r="J827" s="5">
        <v>57.99999999999999999999999999999999999997</v>
      </c>
      <c r="K827" t="s">
        <v>38</v>
      </c>
      <c r="M827">
        <v>62633</v>
      </c>
      <c r="N827" t="s">
        <v>705</v>
      </c>
      <c r="O827" t="s">
        <v>706</v>
      </c>
      <c r="P827" t="s">
        <v>38</v>
      </c>
      <c r="Q827" t="s">
        <v>313</v>
      </c>
      <c r="R827">
        <v>13</v>
      </c>
      <c r="S827" t="s">
        <v>45</v>
      </c>
      <c r="T82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7">
        <v>62634</v>
      </c>
      <c r="V827" t="s">
        <v>38</v>
      </c>
      <c r="W827" t="s">
        <v>313</v>
      </c>
      <c r="X827">
        <v>13</v>
      </c>
      <c r="Y827">
        <v>0</v>
      </c>
      <c r="Z827" t="s">
        <v>46</v>
      </c>
      <c r="AA827">
        <v>62669</v>
      </c>
      <c r="AB827" t="s">
        <v>1113</v>
      </c>
      <c r="AC827" t="s">
        <v>103</v>
      </c>
      <c r="AD827" t="s">
        <v>38</v>
      </c>
      <c r="AE827" t="s">
        <v>49</v>
      </c>
      <c r="AF827" t="s">
        <v>50</v>
      </c>
      <c r="AG827">
        <v>0</v>
      </c>
      <c r="AH827">
        <v>0</v>
      </c>
      <c r="AI827" t="s">
        <v>51</v>
      </c>
      <c r="AJ827" t="s">
        <v>51</v>
      </c>
      <c r="AK827" t="s">
        <v>51</v>
      </c>
    </row>
    <row r="828" spans="1:37" x14ac:dyDescent="0.2">
      <c r="A828">
        <v>62632</v>
      </c>
      <c r="B828" t="s">
        <v>37</v>
      </c>
      <c r="C828" t="s">
        <v>38</v>
      </c>
      <c r="D828" t="s">
        <v>674</v>
      </c>
      <c r="E828" t="s">
        <v>40</v>
      </c>
      <c r="G828" s="4">
        <v>43948.009560185185</v>
      </c>
      <c r="H828" s="4">
        <v>43948.010231481481</v>
      </c>
      <c r="I828" t="s">
        <v>987</v>
      </c>
      <c r="J828" s="5">
        <v>57.99999999999999999999999999999999999997</v>
      </c>
      <c r="K828" t="s">
        <v>38</v>
      </c>
      <c r="M828">
        <v>62633</v>
      </c>
      <c r="N828" t="s">
        <v>705</v>
      </c>
      <c r="O828" t="s">
        <v>706</v>
      </c>
      <c r="P828" t="s">
        <v>38</v>
      </c>
      <c r="Q828" t="s">
        <v>313</v>
      </c>
      <c r="R828">
        <v>13</v>
      </c>
      <c r="S828" t="s">
        <v>45</v>
      </c>
      <c r="T82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8">
        <v>62634</v>
      </c>
      <c r="V828" t="s">
        <v>38</v>
      </c>
      <c r="W828" t="s">
        <v>313</v>
      </c>
      <c r="X828">
        <v>13</v>
      </c>
      <c r="Y828">
        <v>0</v>
      </c>
      <c r="Z828" t="s">
        <v>46</v>
      </c>
      <c r="AA828">
        <v>62668</v>
      </c>
      <c r="AB828" t="s">
        <v>1114</v>
      </c>
      <c r="AC828" t="s">
        <v>103</v>
      </c>
      <c r="AD828" t="s">
        <v>38</v>
      </c>
      <c r="AE828" t="s">
        <v>49</v>
      </c>
      <c r="AF828" t="s">
        <v>50</v>
      </c>
      <c r="AG828">
        <v>0</v>
      </c>
      <c r="AH828">
        <v>0</v>
      </c>
      <c r="AI828" t="s">
        <v>51</v>
      </c>
      <c r="AJ828" t="s">
        <v>51</v>
      </c>
      <c r="AK828" t="s">
        <v>51</v>
      </c>
    </row>
    <row r="829" spans="1:37" x14ac:dyDescent="0.2">
      <c r="A829">
        <v>62632</v>
      </c>
      <c r="B829" t="s">
        <v>37</v>
      </c>
      <c r="C829" t="s">
        <v>38</v>
      </c>
      <c r="D829" t="s">
        <v>674</v>
      </c>
      <c r="E829" t="s">
        <v>40</v>
      </c>
      <c r="G829" s="4">
        <v>43948.009560185185</v>
      </c>
      <c r="H829" s="4">
        <v>43948.010231481481</v>
      </c>
      <c r="I829" t="s">
        <v>987</v>
      </c>
      <c r="J829" s="5">
        <v>57.99999999999999999999999999999999999997</v>
      </c>
      <c r="K829" t="s">
        <v>38</v>
      </c>
      <c r="M829">
        <v>62633</v>
      </c>
      <c r="N829" t="s">
        <v>705</v>
      </c>
      <c r="O829" t="s">
        <v>706</v>
      </c>
      <c r="P829" t="s">
        <v>38</v>
      </c>
      <c r="Q829" t="s">
        <v>313</v>
      </c>
      <c r="R829">
        <v>13</v>
      </c>
      <c r="S829" t="s">
        <v>45</v>
      </c>
      <c r="T82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29">
        <v>62634</v>
      </c>
      <c r="V829" t="s">
        <v>38</v>
      </c>
      <c r="W829" t="s">
        <v>313</v>
      </c>
      <c r="X829">
        <v>13</v>
      </c>
      <c r="Y829">
        <v>0</v>
      </c>
      <c r="Z829" t="s">
        <v>46</v>
      </c>
      <c r="AA829">
        <v>62667</v>
      </c>
      <c r="AB829" t="s">
        <v>1115</v>
      </c>
      <c r="AC829" t="s">
        <v>103</v>
      </c>
      <c r="AD829" t="s">
        <v>38</v>
      </c>
      <c r="AE829" t="s">
        <v>49</v>
      </c>
      <c r="AF829" t="s">
        <v>50</v>
      </c>
      <c r="AG829">
        <v>0</v>
      </c>
      <c r="AH829">
        <v>0</v>
      </c>
      <c r="AI829" t="s">
        <v>51</v>
      </c>
      <c r="AJ829" t="s">
        <v>51</v>
      </c>
      <c r="AK829" t="s">
        <v>51</v>
      </c>
    </row>
    <row r="830" spans="1:37" x14ac:dyDescent="0.2">
      <c r="A830">
        <v>62632</v>
      </c>
      <c r="B830" t="s">
        <v>37</v>
      </c>
      <c r="C830" t="s">
        <v>38</v>
      </c>
      <c r="D830" t="s">
        <v>674</v>
      </c>
      <c r="E830" t="s">
        <v>40</v>
      </c>
      <c r="G830" s="4">
        <v>43948.009560185185</v>
      </c>
      <c r="H830" s="4">
        <v>43948.010231481481</v>
      </c>
      <c r="I830" t="s">
        <v>987</v>
      </c>
      <c r="J830" s="5">
        <v>57.99999999999999999999999999999999999997</v>
      </c>
      <c r="K830" t="s">
        <v>38</v>
      </c>
      <c r="M830">
        <v>62633</v>
      </c>
      <c r="N830" t="s">
        <v>705</v>
      </c>
      <c r="O830" t="s">
        <v>706</v>
      </c>
      <c r="P830" t="s">
        <v>38</v>
      </c>
      <c r="Q830" t="s">
        <v>313</v>
      </c>
      <c r="R830">
        <v>13</v>
      </c>
      <c r="S830" t="s">
        <v>45</v>
      </c>
      <c r="T83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0">
        <v>62634</v>
      </c>
      <c r="V830" t="s">
        <v>38</v>
      </c>
      <c r="W830" t="s">
        <v>313</v>
      </c>
      <c r="X830">
        <v>13</v>
      </c>
      <c r="Y830">
        <v>0</v>
      </c>
      <c r="Z830" t="s">
        <v>46</v>
      </c>
      <c r="AA830">
        <v>62666</v>
      </c>
      <c r="AB830" t="s">
        <v>1116</v>
      </c>
      <c r="AC830" t="s">
        <v>103</v>
      </c>
      <c r="AD830" t="s">
        <v>38</v>
      </c>
      <c r="AE830" t="s">
        <v>49</v>
      </c>
      <c r="AF830" t="s">
        <v>50</v>
      </c>
      <c r="AG830">
        <v>0</v>
      </c>
      <c r="AH830">
        <v>0</v>
      </c>
      <c r="AI830" t="s">
        <v>51</v>
      </c>
      <c r="AJ830" t="s">
        <v>51</v>
      </c>
      <c r="AK830" t="s">
        <v>51</v>
      </c>
    </row>
    <row r="831" spans="1:37" x14ac:dyDescent="0.2">
      <c r="A831">
        <v>62632</v>
      </c>
      <c r="B831" t="s">
        <v>37</v>
      </c>
      <c r="C831" t="s">
        <v>38</v>
      </c>
      <c r="D831" t="s">
        <v>674</v>
      </c>
      <c r="E831" t="s">
        <v>40</v>
      </c>
      <c r="G831" s="4">
        <v>43948.009560185185</v>
      </c>
      <c r="H831" s="4">
        <v>43948.010231481481</v>
      </c>
      <c r="I831" t="s">
        <v>987</v>
      </c>
      <c r="J831" s="5">
        <v>57.99999999999999999999999999999999999997</v>
      </c>
      <c r="K831" t="s">
        <v>38</v>
      </c>
      <c r="M831">
        <v>62633</v>
      </c>
      <c r="N831" t="s">
        <v>705</v>
      </c>
      <c r="O831" t="s">
        <v>706</v>
      </c>
      <c r="P831" t="s">
        <v>38</v>
      </c>
      <c r="Q831" t="s">
        <v>313</v>
      </c>
      <c r="R831">
        <v>13</v>
      </c>
      <c r="S831" t="s">
        <v>45</v>
      </c>
      <c r="T83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1">
        <v>62634</v>
      </c>
      <c r="V831" t="s">
        <v>38</v>
      </c>
      <c r="W831" t="s">
        <v>313</v>
      </c>
      <c r="X831">
        <v>13</v>
      </c>
      <c r="Y831">
        <v>0</v>
      </c>
      <c r="Z831" t="s">
        <v>46</v>
      </c>
      <c r="AA831">
        <v>62665</v>
      </c>
      <c r="AB831" t="s">
        <v>1117</v>
      </c>
      <c r="AC831" t="s">
        <v>103</v>
      </c>
      <c r="AD831" t="s">
        <v>38</v>
      </c>
      <c r="AE831" t="s">
        <v>49</v>
      </c>
      <c r="AF831" t="s">
        <v>50</v>
      </c>
      <c r="AG831">
        <v>0</v>
      </c>
      <c r="AH831">
        <v>0</v>
      </c>
      <c r="AI831" t="s">
        <v>51</v>
      </c>
      <c r="AJ831" t="s">
        <v>51</v>
      </c>
      <c r="AK831" t="s">
        <v>51</v>
      </c>
    </row>
    <row r="832" spans="1:37" x14ac:dyDescent="0.2">
      <c r="A832">
        <v>62632</v>
      </c>
      <c r="B832" t="s">
        <v>37</v>
      </c>
      <c r="C832" t="s">
        <v>38</v>
      </c>
      <c r="D832" t="s">
        <v>674</v>
      </c>
      <c r="E832" t="s">
        <v>40</v>
      </c>
      <c r="G832" s="4">
        <v>43948.009560185185</v>
      </c>
      <c r="H832" s="4">
        <v>43948.010231481481</v>
      </c>
      <c r="I832" t="s">
        <v>987</v>
      </c>
      <c r="J832" s="5">
        <v>57.99999999999999999999999999999999999997</v>
      </c>
      <c r="K832" t="s">
        <v>38</v>
      </c>
      <c r="M832">
        <v>62633</v>
      </c>
      <c r="N832" t="s">
        <v>705</v>
      </c>
      <c r="O832" t="s">
        <v>706</v>
      </c>
      <c r="P832" t="s">
        <v>38</v>
      </c>
      <c r="Q832" t="s">
        <v>313</v>
      </c>
      <c r="R832">
        <v>13</v>
      </c>
      <c r="S832" t="s">
        <v>45</v>
      </c>
      <c r="T83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2">
        <v>62634</v>
      </c>
      <c r="V832" t="s">
        <v>38</v>
      </c>
      <c r="W832" t="s">
        <v>313</v>
      </c>
      <c r="X832">
        <v>13</v>
      </c>
      <c r="Y832">
        <v>0</v>
      </c>
      <c r="Z832" t="s">
        <v>46</v>
      </c>
      <c r="AA832">
        <v>62664</v>
      </c>
      <c r="AB832" t="s">
        <v>1118</v>
      </c>
      <c r="AC832" t="s">
        <v>103</v>
      </c>
      <c r="AD832" t="s">
        <v>38</v>
      </c>
      <c r="AE832" t="s">
        <v>49</v>
      </c>
      <c r="AF832" t="s">
        <v>50</v>
      </c>
      <c r="AG832">
        <v>0</v>
      </c>
      <c r="AH832">
        <v>0</v>
      </c>
      <c r="AI832" t="s">
        <v>51</v>
      </c>
      <c r="AJ832" t="s">
        <v>51</v>
      </c>
      <c r="AK832" t="s">
        <v>51</v>
      </c>
    </row>
    <row r="833" spans="1:37" x14ac:dyDescent="0.2">
      <c r="A833">
        <v>62632</v>
      </c>
      <c r="B833" t="s">
        <v>37</v>
      </c>
      <c r="C833" t="s">
        <v>38</v>
      </c>
      <c r="D833" t="s">
        <v>674</v>
      </c>
      <c r="E833" t="s">
        <v>40</v>
      </c>
      <c r="G833" s="4">
        <v>43948.009560185185</v>
      </c>
      <c r="H833" s="4">
        <v>43948.010231481481</v>
      </c>
      <c r="I833" t="s">
        <v>987</v>
      </c>
      <c r="J833" s="5">
        <v>57.99999999999999999999999999999999999997</v>
      </c>
      <c r="K833" t="s">
        <v>38</v>
      </c>
      <c r="M833">
        <v>62633</v>
      </c>
      <c r="N833" t="s">
        <v>705</v>
      </c>
      <c r="O833" t="s">
        <v>706</v>
      </c>
      <c r="P833" t="s">
        <v>38</v>
      </c>
      <c r="Q833" t="s">
        <v>313</v>
      </c>
      <c r="R833">
        <v>13</v>
      </c>
      <c r="S833" t="s">
        <v>45</v>
      </c>
      <c r="T83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3">
        <v>62634</v>
      </c>
      <c r="V833" t="s">
        <v>38</v>
      </c>
      <c r="W833" t="s">
        <v>313</v>
      </c>
      <c r="X833">
        <v>13</v>
      </c>
      <c r="Y833">
        <v>0</v>
      </c>
      <c r="Z833" t="s">
        <v>46</v>
      </c>
      <c r="AA833">
        <v>62663</v>
      </c>
      <c r="AB833" t="s">
        <v>1119</v>
      </c>
      <c r="AC833" t="s">
        <v>103</v>
      </c>
      <c r="AD833" t="s">
        <v>38</v>
      </c>
      <c r="AE833" t="s">
        <v>49</v>
      </c>
      <c r="AF833" t="s">
        <v>50</v>
      </c>
      <c r="AG833">
        <v>0</v>
      </c>
      <c r="AH833">
        <v>0</v>
      </c>
      <c r="AI833" t="s">
        <v>51</v>
      </c>
      <c r="AJ833" t="s">
        <v>51</v>
      </c>
      <c r="AK833" t="s">
        <v>51</v>
      </c>
    </row>
    <row r="834" spans="1:37" x14ac:dyDescent="0.2">
      <c r="A834">
        <v>62632</v>
      </c>
      <c r="B834" t="s">
        <v>37</v>
      </c>
      <c r="C834" t="s">
        <v>38</v>
      </c>
      <c r="D834" t="s">
        <v>674</v>
      </c>
      <c r="E834" t="s">
        <v>40</v>
      </c>
      <c r="G834" s="4">
        <v>43948.009560185185</v>
      </c>
      <c r="H834" s="4">
        <v>43948.010231481481</v>
      </c>
      <c r="I834" t="s">
        <v>987</v>
      </c>
      <c r="J834" s="5">
        <v>57.99999999999999999999999999999999999997</v>
      </c>
      <c r="K834" t="s">
        <v>38</v>
      </c>
      <c r="M834">
        <v>62633</v>
      </c>
      <c r="N834" t="s">
        <v>705</v>
      </c>
      <c r="O834" t="s">
        <v>706</v>
      </c>
      <c r="P834" t="s">
        <v>38</v>
      </c>
      <c r="Q834" t="s">
        <v>313</v>
      </c>
      <c r="R834">
        <v>13</v>
      </c>
      <c r="S834" t="s">
        <v>45</v>
      </c>
      <c r="T83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4">
        <v>62634</v>
      </c>
      <c r="V834" t="s">
        <v>38</v>
      </c>
      <c r="W834" t="s">
        <v>313</v>
      </c>
      <c r="X834">
        <v>13</v>
      </c>
      <c r="Y834">
        <v>0</v>
      </c>
      <c r="Z834" t="s">
        <v>46</v>
      </c>
      <c r="AA834">
        <v>62662</v>
      </c>
      <c r="AB834" t="s">
        <v>1120</v>
      </c>
      <c r="AC834" t="s">
        <v>103</v>
      </c>
      <c r="AD834" t="s">
        <v>38</v>
      </c>
      <c r="AE834" t="s">
        <v>49</v>
      </c>
      <c r="AF834" t="s">
        <v>50</v>
      </c>
      <c r="AG834">
        <v>0</v>
      </c>
      <c r="AH834">
        <v>0</v>
      </c>
      <c r="AI834" t="s">
        <v>51</v>
      </c>
      <c r="AJ834" t="s">
        <v>51</v>
      </c>
      <c r="AK834" t="s">
        <v>51</v>
      </c>
    </row>
    <row r="835" spans="1:37" x14ac:dyDescent="0.2">
      <c r="A835">
        <v>62632</v>
      </c>
      <c r="B835" t="s">
        <v>37</v>
      </c>
      <c r="C835" t="s">
        <v>38</v>
      </c>
      <c r="D835" t="s">
        <v>674</v>
      </c>
      <c r="E835" t="s">
        <v>40</v>
      </c>
      <c r="G835" s="4">
        <v>43948.009560185185</v>
      </c>
      <c r="H835" s="4">
        <v>43948.010231481481</v>
      </c>
      <c r="I835" t="s">
        <v>987</v>
      </c>
      <c r="J835" s="5">
        <v>57.99999999999999999999999999999999999997</v>
      </c>
      <c r="K835" t="s">
        <v>38</v>
      </c>
      <c r="M835">
        <v>62633</v>
      </c>
      <c r="N835" t="s">
        <v>705</v>
      </c>
      <c r="O835" t="s">
        <v>706</v>
      </c>
      <c r="P835" t="s">
        <v>38</v>
      </c>
      <c r="Q835" t="s">
        <v>313</v>
      </c>
      <c r="R835">
        <v>13</v>
      </c>
      <c r="S835" t="s">
        <v>45</v>
      </c>
      <c r="T83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5">
        <v>62634</v>
      </c>
      <c r="V835" t="s">
        <v>38</v>
      </c>
      <c r="W835" t="s">
        <v>313</v>
      </c>
      <c r="X835">
        <v>13</v>
      </c>
      <c r="Y835">
        <v>0</v>
      </c>
      <c r="Z835" t="s">
        <v>46</v>
      </c>
      <c r="AA835">
        <v>62661</v>
      </c>
      <c r="AB835" t="s">
        <v>1121</v>
      </c>
      <c r="AC835" t="s">
        <v>103</v>
      </c>
      <c r="AD835" t="s">
        <v>38</v>
      </c>
      <c r="AE835" t="s">
        <v>49</v>
      </c>
      <c r="AF835" t="s">
        <v>50</v>
      </c>
      <c r="AG835">
        <v>0</v>
      </c>
      <c r="AH835">
        <v>0</v>
      </c>
      <c r="AI835" t="s">
        <v>51</v>
      </c>
      <c r="AJ835" t="s">
        <v>51</v>
      </c>
      <c r="AK835" t="s">
        <v>51</v>
      </c>
    </row>
    <row r="836" spans="1:37" x14ac:dyDescent="0.2">
      <c r="A836">
        <v>62632</v>
      </c>
      <c r="B836" t="s">
        <v>37</v>
      </c>
      <c r="C836" t="s">
        <v>38</v>
      </c>
      <c r="D836" t="s">
        <v>674</v>
      </c>
      <c r="E836" t="s">
        <v>40</v>
      </c>
      <c r="G836" s="4">
        <v>43948.009560185185</v>
      </c>
      <c r="H836" s="4">
        <v>43948.010231481481</v>
      </c>
      <c r="I836" t="s">
        <v>987</v>
      </c>
      <c r="J836" s="5">
        <v>57.99999999999999999999999999999999999997</v>
      </c>
      <c r="K836" t="s">
        <v>38</v>
      </c>
      <c r="M836">
        <v>62633</v>
      </c>
      <c r="N836" t="s">
        <v>705</v>
      </c>
      <c r="O836" t="s">
        <v>706</v>
      </c>
      <c r="P836" t="s">
        <v>38</v>
      </c>
      <c r="Q836" t="s">
        <v>313</v>
      </c>
      <c r="R836">
        <v>13</v>
      </c>
      <c r="S836" t="s">
        <v>45</v>
      </c>
      <c r="T83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6">
        <v>62634</v>
      </c>
      <c r="V836" t="s">
        <v>38</v>
      </c>
      <c r="W836" t="s">
        <v>313</v>
      </c>
      <c r="X836">
        <v>13</v>
      </c>
      <c r="Y836">
        <v>0</v>
      </c>
      <c r="Z836" t="s">
        <v>46</v>
      </c>
      <c r="AA836">
        <v>62660</v>
      </c>
      <c r="AB836" t="s">
        <v>1122</v>
      </c>
      <c r="AC836" t="s">
        <v>103</v>
      </c>
      <c r="AD836" t="s">
        <v>38</v>
      </c>
      <c r="AE836" t="s">
        <v>49</v>
      </c>
      <c r="AF836" t="s">
        <v>50</v>
      </c>
      <c r="AG836">
        <v>0</v>
      </c>
      <c r="AH836">
        <v>0</v>
      </c>
      <c r="AI836" t="s">
        <v>51</v>
      </c>
      <c r="AJ836" t="s">
        <v>51</v>
      </c>
      <c r="AK836" t="s">
        <v>51</v>
      </c>
    </row>
    <row r="837" spans="1:37" x14ac:dyDescent="0.2">
      <c r="A837">
        <v>62632</v>
      </c>
      <c r="B837" t="s">
        <v>37</v>
      </c>
      <c r="C837" t="s">
        <v>38</v>
      </c>
      <c r="D837" t="s">
        <v>674</v>
      </c>
      <c r="E837" t="s">
        <v>40</v>
      </c>
      <c r="G837" s="4">
        <v>43948.009560185185</v>
      </c>
      <c r="H837" s="4">
        <v>43948.010231481481</v>
      </c>
      <c r="I837" t="s">
        <v>987</v>
      </c>
      <c r="J837" s="5">
        <v>57.99999999999999999999999999999999999997</v>
      </c>
      <c r="K837" t="s">
        <v>38</v>
      </c>
      <c r="M837">
        <v>62633</v>
      </c>
      <c r="N837" t="s">
        <v>705</v>
      </c>
      <c r="O837" t="s">
        <v>706</v>
      </c>
      <c r="P837" t="s">
        <v>38</v>
      </c>
      <c r="Q837" t="s">
        <v>313</v>
      </c>
      <c r="R837">
        <v>13</v>
      </c>
      <c r="S837" t="s">
        <v>45</v>
      </c>
      <c r="T83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7">
        <v>62634</v>
      </c>
      <c r="V837" t="s">
        <v>38</v>
      </c>
      <c r="W837" t="s">
        <v>313</v>
      </c>
      <c r="X837">
        <v>13</v>
      </c>
      <c r="Y837">
        <v>0</v>
      </c>
      <c r="Z837" t="s">
        <v>46</v>
      </c>
      <c r="AA837">
        <v>62659</v>
      </c>
      <c r="AB837" t="s">
        <v>1123</v>
      </c>
      <c r="AC837" t="s">
        <v>103</v>
      </c>
      <c r="AD837" t="s">
        <v>38</v>
      </c>
      <c r="AE837" t="s">
        <v>49</v>
      </c>
      <c r="AF837" t="s">
        <v>50</v>
      </c>
      <c r="AG837">
        <v>0</v>
      </c>
      <c r="AH837">
        <v>0</v>
      </c>
      <c r="AI837" t="s">
        <v>51</v>
      </c>
      <c r="AJ837" t="s">
        <v>51</v>
      </c>
      <c r="AK837" t="s">
        <v>51</v>
      </c>
    </row>
    <row r="838" spans="1:37" x14ac:dyDescent="0.2">
      <c r="A838">
        <v>62632</v>
      </c>
      <c r="B838" t="s">
        <v>37</v>
      </c>
      <c r="C838" t="s">
        <v>38</v>
      </c>
      <c r="D838" t="s">
        <v>674</v>
      </c>
      <c r="E838" t="s">
        <v>40</v>
      </c>
      <c r="G838" s="4">
        <v>43948.009560185185</v>
      </c>
      <c r="H838" s="4">
        <v>43948.010231481481</v>
      </c>
      <c r="I838" t="s">
        <v>987</v>
      </c>
      <c r="J838" s="5">
        <v>57.99999999999999999999999999999999999997</v>
      </c>
      <c r="K838" t="s">
        <v>38</v>
      </c>
      <c r="M838">
        <v>62633</v>
      </c>
      <c r="N838" t="s">
        <v>705</v>
      </c>
      <c r="O838" t="s">
        <v>706</v>
      </c>
      <c r="P838" t="s">
        <v>38</v>
      </c>
      <c r="Q838" t="s">
        <v>313</v>
      </c>
      <c r="R838">
        <v>13</v>
      </c>
      <c r="S838" t="s">
        <v>45</v>
      </c>
      <c r="T83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8">
        <v>62634</v>
      </c>
      <c r="V838" t="s">
        <v>38</v>
      </c>
      <c r="W838" t="s">
        <v>313</v>
      </c>
      <c r="X838">
        <v>13</v>
      </c>
      <c r="Y838">
        <v>0</v>
      </c>
      <c r="Z838" t="s">
        <v>46</v>
      </c>
      <c r="AA838">
        <v>62658</v>
      </c>
      <c r="AB838" t="s">
        <v>1124</v>
      </c>
      <c r="AC838" t="s">
        <v>103</v>
      </c>
      <c r="AD838" t="s">
        <v>38</v>
      </c>
      <c r="AE838" t="s">
        <v>49</v>
      </c>
      <c r="AF838" t="s">
        <v>50</v>
      </c>
      <c r="AG838">
        <v>0</v>
      </c>
      <c r="AH838">
        <v>0</v>
      </c>
      <c r="AI838" t="s">
        <v>51</v>
      </c>
      <c r="AJ838" t="s">
        <v>51</v>
      </c>
      <c r="AK838" t="s">
        <v>51</v>
      </c>
    </row>
    <row r="839" spans="1:37" x14ac:dyDescent="0.2">
      <c r="A839">
        <v>62632</v>
      </c>
      <c r="B839" t="s">
        <v>37</v>
      </c>
      <c r="C839" t="s">
        <v>38</v>
      </c>
      <c r="D839" t="s">
        <v>674</v>
      </c>
      <c r="E839" t="s">
        <v>40</v>
      </c>
      <c r="G839" s="4">
        <v>43948.009560185185</v>
      </c>
      <c r="H839" s="4">
        <v>43948.010231481481</v>
      </c>
      <c r="I839" t="s">
        <v>987</v>
      </c>
      <c r="J839" s="5">
        <v>57.99999999999999999999999999999999999997</v>
      </c>
      <c r="K839" t="s">
        <v>38</v>
      </c>
      <c r="M839">
        <v>62633</v>
      </c>
      <c r="N839" t="s">
        <v>705</v>
      </c>
      <c r="O839" t="s">
        <v>706</v>
      </c>
      <c r="P839" t="s">
        <v>38</v>
      </c>
      <c r="Q839" t="s">
        <v>313</v>
      </c>
      <c r="R839">
        <v>13</v>
      </c>
      <c r="S839" t="s">
        <v>45</v>
      </c>
      <c r="T83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39">
        <v>62634</v>
      </c>
      <c r="V839" t="s">
        <v>38</v>
      </c>
      <c r="W839" t="s">
        <v>313</v>
      </c>
      <c r="X839">
        <v>13</v>
      </c>
      <c r="Y839">
        <v>0</v>
      </c>
      <c r="Z839" t="s">
        <v>46</v>
      </c>
      <c r="AA839">
        <v>62657</v>
      </c>
      <c r="AB839" t="s">
        <v>1125</v>
      </c>
      <c r="AC839" t="s">
        <v>103</v>
      </c>
      <c r="AD839" t="s">
        <v>38</v>
      </c>
      <c r="AE839" t="s">
        <v>49</v>
      </c>
      <c r="AF839" t="s">
        <v>50</v>
      </c>
      <c r="AG839">
        <v>0</v>
      </c>
      <c r="AH839">
        <v>0</v>
      </c>
      <c r="AI839" t="s">
        <v>51</v>
      </c>
      <c r="AJ839" t="s">
        <v>51</v>
      </c>
      <c r="AK839" t="s">
        <v>51</v>
      </c>
    </row>
    <row r="840" spans="1:37" x14ac:dyDescent="0.2">
      <c r="A840">
        <v>62632</v>
      </c>
      <c r="B840" t="s">
        <v>37</v>
      </c>
      <c r="C840" t="s">
        <v>38</v>
      </c>
      <c r="D840" t="s">
        <v>674</v>
      </c>
      <c r="E840" t="s">
        <v>40</v>
      </c>
      <c r="G840" s="4">
        <v>43948.009560185185</v>
      </c>
      <c r="H840" s="4">
        <v>43948.010231481481</v>
      </c>
      <c r="I840" t="s">
        <v>987</v>
      </c>
      <c r="J840" s="5">
        <v>57.99999999999999999999999999999999999997</v>
      </c>
      <c r="K840" t="s">
        <v>38</v>
      </c>
      <c r="M840">
        <v>62633</v>
      </c>
      <c r="N840" t="s">
        <v>705</v>
      </c>
      <c r="O840" t="s">
        <v>706</v>
      </c>
      <c r="P840" t="s">
        <v>38</v>
      </c>
      <c r="Q840" t="s">
        <v>313</v>
      </c>
      <c r="R840">
        <v>13</v>
      </c>
      <c r="S840" t="s">
        <v>45</v>
      </c>
      <c r="T84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0">
        <v>62634</v>
      </c>
      <c r="V840" t="s">
        <v>38</v>
      </c>
      <c r="W840" t="s">
        <v>313</v>
      </c>
      <c r="X840">
        <v>13</v>
      </c>
      <c r="Y840">
        <v>0</v>
      </c>
      <c r="Z840" t="s">
        <v>46</v>
      </c>
      <c r="AA840">
        <v>62656</v>
      </c>
      <c r="AB840" t="s">
        <v>1126</v>
      </c>
      <c r="AC840" t="s">
        <v>103</v>
      </c>
      <c r="AD840" t="s">
        <v>38</v>
      </c>
      <c r="AE840" t="s">
        <v>49</v>
      </c>
      <c r="AF840" t="s">
        <v>50</v>
      </c>
      <c r="AG840">
        <v>.9999999999999999999999999999999999999996</v>
      </c>
      <c r="AH840">
        <v>0</v>
      </c>
      <c r="AI840" t="s">
        <v>51</v>
      </c>
      <c r="AJ840" t="s">
        <v>51</v>
      </c>
      <c r="AK840" t="s">
        <v>51</v>
      </c>
    </row>
    <row r="841" spans="1:37" x14ac:dyDescent="0.2">
      <c r="A841">
        <v>62632</v>
      </c>
      <c r="B841" t="s">
        <v>37</v>
      </c>
      <c r="C841" t="s">
        <v>38</v>
      </c>
      <c r="D841" t="s">
        <v>674</v>
      </c>
      <c r="E841" t="s">
        <v>40</v>
      </c>
      <c r="G841" s="4">
        <v>43948.009560185185</v>
      </c>
      <c r="H841" s="4">
        <v>43948.010231481481</v>
      </c>
      <c r="I841" t="s">
        <v>987</v>
      </c>
      <c r="J841" s="5">
        <v>57.99999999999999999999999999999999999997</v>
      </c>
      <c r="K841" t="s">
        <v>38</v>
      </c>
      <c r="M841">
        <v>62633</v>
      </c>
      <c r="N841" t="s">
        <v>705</v>
      </c>
      <c r="O841" t="s">
        <v>706</v>
      </c>
      <c r="P841" t="s">
        <v>38</v>
      </c>
      <c r="Q841" t="s">
        <v>313</v>
      </c>
      <c r="R841">
        <v>13</v>
      </c>
      <c r="S841" t="s">
        <v>45</v>
      </c>
      <c r="T84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1">
        <v>62634</v>
      </c>
      <c r="V841" t="s">
        <v>38</v>
      </c>
      <c r="W841" t="s">
        <v>313</v>
      </c>
      <c r="X841">
        <v>13</v>
      </c>
      <c r="Y841">
        <v>0</v>
      </c>
      <c r="Z841" t="s">
        <v>46</v>
      </c>
      <c r="AA841">
        <v>62655</v>
      </c>
      <c r="AB841" t="s">
        <v>1127</v>
      </c>
      <c r="AC841" t="s">
        <v>103</v>
      </c>
      <c r="AD841" t="s">
        <v>38</v>
      </c>
      <c r="AE841" t="s">
        <v>49</v>
      </c>
      <c r="AF841" t="s">
        <v>50</v>
      </c>
      <c r="AG841">
        <v>0</v>
      </c>
      <c r="AH841">
        <v>0</v>
      </c>
      <c r="AI841" t="s">
        <v>51</v>
      </c>
      <c r="AJ841" t="s">
        <v>51</v>
      </c>
      <c r="AK841" t="s">
        <v>51</v>
      </c>
    </row>
    <row r="842" spans="1:37" x14ac:dyDescent="0.2">
      <c r="A842">
        <v>62632</v>
      </c>
      <c r="B842" t="s">
        <v>37</v>
      </c>
      <c r="C842" t="s">
        <v>38</v>
      </c>
      <c r="D842" t="s">
        <v>674</v>
      </c>
      <c r="E842" t="s">
        <v>40</v>
      </c>
      <c r="G842" s="4">
        <v>43948.009560185185</v>
      </c>
      <c r="H842" s="4">
        <v>43948.010231481481</v>
      </c>
      <c r="I842" t="s">
        <v>987</v>
      </c>
      <c r="J842" s="5">
        <v>57.99999999999999999999999999999999999997</v>
      </c>
      <c r="K842" t="s">
        <v>38</v>
      </c>
      <c r="M842">
        <v>62633</v>
      </c>
      <c r="N842" t="s">
        <v>705</v>
      </c>
      <c r="O842" t="s">
        <v>706</v>
      </c>
      <c r="P842" t="s">
        <v>38</v>
      </c>
      <c r="Q842" t="s">
        <v>313</v>
      </c>
      <c r="R842">
        <v>13</v>
      </c>
      <c r="S842" t="s">
        <v>45</v>
      </c>
      <c r="T84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2">
        <v>62634</v>
      </c>
      <c r="V842" t="s">
        <v>38</v>
      </c>
      <c r="W842" t="s">
        <v>313</v>
      </c>
      <c r="X842">
        <v>13</v>
      </c>
      <c r="Y842">
        <v>0</v>
      </c>
      <c r="Z842" t="s">
        <v>46</v>
      </c>
      <c r="AA842">
        <v>62654</v>
      </c>
      <c r="AB842" t="s">
        <v>1128</v>
      </c>
      <c r="AC842" t="s">
        <v>103</v>
      </c>
      <c r="AD842" t="s">
        <v>38</v>
      </c>
      <c r="AE842" t="s">
        <v>49</v>
      </c>
      <c r="AF842" t="s">
        <v>50</v>
      </c>
      <c r="AG842">
        <v>0</v>
      </c>
      <c r="AH842">
        <v>0</v>
      </c>
      <c r="AI842" t="s">
        <v>51</v>
      </c>
      <c r="AJ842" t="s">
        <v>51</v>
      </c>
      <c r="AK842" t="s">
        <v>51</v>
      </c>
    </row>
    <row r="843" spans="1:37" x14ac:dyDescent="0.2">
      <c r="A843">
        <v>62632</v>
      </c>
      <c r="B843" t="s">
        <v>37</v>
      </c>
      <c r="C843" t="s">
        <v>38</v>
      </c>
      <c r="D843" t="s">
        <v>674</v>
      </c>
      <c r="E843" t="s">
        <v>40</v>
      </c>
      <c r="G843" s="4">
        <v>43948.009560185185</v>
      </c>
      <c r="H843" s="4">
        <v>43948.010231481481</v>
      </c>
      <c r="I843" t="s">
        <v>987</v>
      </c>
      <c r="J843" s="5">
        <v>57.99999999999999999999999999999999999997</v>
      </c>
      <c r="K843" t="s">
        <v>38</v>
      </c>
      <c r="M843">
        <v>62633</v>
      </c>
      <c r="N843" t="s">
        <v>705</v>
      </c>
      <c r="O843" t="s">
        <v>706</v>
      </c>
      <c r="P843" t="s">
        <v>38</v>
      </c>
      <c r="Q843" t="s">
        <v>313</v>
      </c>
      <c r="R843">
        <v>13</v>
      </c>
      <c r="S843" t="s">
        <v>45</v>
      </c>
      <c r="T84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3">
        <v>62634</v>
      </c>
      <c r="V843" t="s">
        <v>38</v>
      </c>
      <c r="W843" t="s">
        <v>313</v>
      </c>
      <c r="X843">
        <v>13</v>
      </c>
      <c r="Y843">
        <v>0</v>
      </c>
      <c r="Z843" t="s">
        <v>46</v>
      </c>
      <c r="AA843">
        <v>62653</v>
      </c>
      <c r="AB843" t="s">
        <v>1129</v>
      </c>
      <c r="AC843" t="s">
        <v>103</v>
      </c>
      <c r="AD843" t="s">
        <v>38</v>
      </c>
      <c r="AE843" t="s">
        <v>49</v>
      </c>
      <c r="AF843" t="s">
        <v>50</v>
      </c>
      <c r="AG843">
        <v>0</v>
      </c>
      <c r="AH843">
        <v>0</v>
      </c>
      <c r="AI843" t="s">
        <v>51</v>
      </c>
      <c r="AJ843" t="s">
        <v>51</v>
      </c>
      <c r="AK843" t="s">
        <v>51</v>
      </c>
    </row>
    <row r="844" spans="1:37" x14ac:dyDescent="0.2">
      <c r="A844">
        <v>62632</v>
      </c>
      <c r="B844" t="s">
        <v>37</v>
      </c>
      <c r="C844" t="s">
        <v>38</v>
      </c>
      <c r="D844" t="s">
        <v>674</v>
      </c>
      <c r="E844" t="s">
        <v>40</v>
      </c>
      <c r="G844" s="4">
        <v>43948.009560185185</v>
      </c>
      <c r="H844" s="4">
        <v>43948.010231481481</v>
      </c>
      <c r="I844" t="s">
        <v>987</v>
      </c>
      <c r="J844" s="5">
        <v>57.99999999999999999999999999999999999997</v>
      </c>
      <c r="K844" t="s">
        <v>38</v>
      </c>
      <c r="M844">
        <v>62633</v>
      </c>
      <c r="N844" t="s">
        <v>705</v>
      </c>
      <c r="O844" t="s">
        <v>706</v>
      </c>
      <c r="P844" t="s">
        <v>38</v>
      </c>
      <c r="Q844" t="s">
        <v>313</v>
      </c>
      <c r="R844">
        <v>13</v>
      </c>
      <c r="S844" t="s">
        <v>45</v>
      </c>
      <c r="T84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4">
        <v>62634</v>
      </c>
      <c r="V844" t="s">
        <v>38</v>
      </c>
      <c r="W844" t="s">
        <v>313</v>
      </c>
      <c r="X844">
        <v>13</v>
      </c>
      <c r="Y844">
        <v>0</v>
      </c>
      <c r="Z844" t="s">
        <v>46</v>
      </c>
      <c r="AA844">
        <v>62652</v>
      </c>
      <c r="AB844" t="s">
        <v>1130</v>
      </c>
      <c r="AC844" t="s">
        <v>103</v>
      </c>
      <c r="AD844" t="s">
        <v>38</v>
      </c>
      <c r="AE844" t="s">
        <v>49</v>
      </c>
      <c r="AF844" t="s">
        <v>50</v>
      </c>
      <c r="AG844">
        <v>0</v>
      </c>
      <c r="AH844">
        <v>0</v>
      </c>
      <c r="AI844" t="s">
        <v>51</v>
      </c>
      <c r="AJ844" t="s">
        <v>51</v>
      </c>
      <c r="AK844" t="s">
        <v>51</v>
      </c>
    </row>
    <row r="845" spans="1:37" x14ac:dyDescent="0.2">
      <c r="A845">
        <v>62632</v>
      </c>
      <c r="B845" t="s">
        <v>37</v>
      </c>
      <c r="C845" t="s">
        <v>38</v>
      </c>
      <c r="D845" t="s">
        <v>674</v>
      </c>
      <c r="E845" t="s">
        <v>40</v>
      </c>
      <c r="G845" s="4">
        <v>43948.009560185185</v>
      </c>
      <c r="H845" s="4">
        <v>43948.010231481481</v>
      </c>
      <c r="I845" t="s">
        <v>987</v>
      </c>
      <c r="J845" s="5">
        <v>57.99999999999999999999999999999999999997</v>
      </c>
      <c r="K845" t="s">
        <v>38</v>
      </c>
      <c r="M845">
        <v>62633</v>
      </c>
      <c r="N845" t="s">
        <v>705</v>
      </c>
      <c r="O845" t="s">
        <v>706</v>
      </c>
      <c r="P845" t="s">
        <v>38</v>
      </c>
      <c r="Q845" t="s">
        <v>313</v>
      </c>
      <c r="R845">
        <v>13</v>
      </c>
      <c r="S845" t="s">
        <v>45</v>
      </c>
      <c r="T84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5">
        <v>62634</v>
      </c>
      <c r="V845" t="s">
        <v>38</v>
      </c>
      <c r="W845" t="s">
        <v>313</v>
      </c>
      <c r="X845">
        <v>13</v>
      </c>
      <c r="Y845">
        <v>0</v>
      </c>
      <c r="Z845" t="s">
        <v>46</v>
      </c>
      <c r="AA845">
        <v>62651</v>
      </c>
      <c r="AB845" t="s">
        <v>1131</v>
      </c>
      <c r="AC845" t="s">
        <v>103</v>
      </c>
      <c r="AD845" t="s">
        <v>38</v>
      </c>
      <c r="AE845" t="s">
        <v>49</v>
      </c>
      <c r="AF845" t="s">
        <v>50</v>
      </c>
      <c r="AG845">
        <v>0</v>
      </c>
      <c r="AH845">
        <v>0</v>
      </c>
      <c r="AI845" t="s">
        <v>51</v>
      </c>
      <c r="AJ845" t="s">
        <v>51</v>
      </c>
      <c r="AK845" t="s">
        <v>51</v>
      </c>
    </row>
    <row r="846" spans="1:37" x14ac:dyDescent="0.2">
      <c r="A846">
        <v>62632</v>
      </c>
      <c r="B846" t="s">
        <v>37</v>
      </c>
      <c r="C846" t="s">
        <v>38</v>
      </c>
      <c r="D846" t="s">
        <v>674</v>
      </c>
      <c r="E846" t="s">
        <v>40</v>
      </c>
      <c r="G846" s="4">
        <v>43948.009560185185</v>
      </c>
      <c r="H846" s="4">
        <v>43948.010231481481</v>
      </c>
      <c r="I846" t="s">
        <v>987</v>
      </c>
      <c r="J846" s="5">
        <v>57.99999999999999999999999999999999999997</v>
      </c>
      <c r="K846" t="s">
        <v>38</v>
      </c>
      <c r="M846">
        <v>62633</v>
      </c>
      <c r="N846" t="s">
        <v>705</v>
      </c>
      <c r="O846" t="s">
        <v>706</v>
      </c>
      <c r="P846" t="s">
        <v>38</v>
      </c>
      <c r="Q846" t="s">
        <v>313</v>
      </c>
      <c r="R846">
        <v>13</v>
      </c>
      <c r="S846" t="s">
        <v>45</v>
      </c>
      <c r="T84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6">
        <v>62634</v>
      </c>
      <c r="V846" t="s">
        <v>38</v>
      </c>
      <c r="W846" t="s">
        <v>313</v>
      </c>
      <c r="X846">
        <v>13</v>
      </c>
      <c r="Y846">
        <v>0</v>
      </c>
      <c r="Z846" t="s">
        <v>46</v>
      </c>
      <c r="AA846">
        <v>62650</v>
      </c>
      <c r="AB846" t="s">
        <v>1132</v>
      </c>
      <c r="AC846" t="s">
        <v>103</v>
      </c>
      <c r="AD846" t="s">
        <v>38</v>
      </c>
      <c r="AE846" t="s">
        <v>49</v>
      </c>
      <c r="AF846" t="s">
        <v>50</v>
      </c>
      <c r="AG846">
        <v>0</v>
      </c>
      <c r="AH846">
        <v>0</v>
      </c>
      <c r="AI846" t="s">
        <v>51</v>
      </c>
      <c r="AJ846" t="s">
        <v>51</v>
      </c>
      <c r="AK846" t="s">
        <v>51</v>
      </c>
    </row>
    <row r="847" spans="1:37" x14ac:dyDescent="0.2">
      <c r="A847">
        <v>62632</v>
      </c>
      <c r="B847" t="s">
        <v>37</v>
      </c>
      <c r="C847" t="s">
        <v>38</v>
      </c>
      <c r="D847" t="s">
        <v>674</v>
      </c>
      <c r="E847" t="s">
        <v>40</v>
      </c>
      <c r="G847" s="4">
        <v>43948.009560185185</v>
      </c>
      <c r="H847" s="4">
        <v>43948.010231481481</v>
      </c>
      <c r="I847" t="s">
        <v>987</v>
      </c>
      <c r="J847" s="5">
        <v>57.99999999999999999999999999999999999997</v>
      </c>
      <c r="K847" t="s">
        <v>38</v>
      </c>
      <c r="M847">
        <v>62633</v>
      </c>
      <c r="N847" t="s">
        <v>705</v>
      </c>
      <c r="O847" t="s">
        <v>706</v>
      </c>
      <c r="P847" t="s">
        <v>38</v>
      </c>
      <c r="Q847" t="s">
        <v>313</v>
      </c>
      <c r="R847">
        <v>13</v>
      </c>
      <c r="S847" t="s">
        <v>45</v>
      </c>
      <c r="T84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7">
        <v>62634</v>
      </c>
      <c r="V847" t="s">
        <v>38</v>
      </c>
      <c r="W847" t="s">
        <v>313</v>
      </c>
      <c r="X847">
        <v>13</v>
      </c>
      <c r="Y847">
        <v>0</v>
      </c>
      <c r="Z847" t="s">
        <v>46</v>
      </c>
      <c r="AA847">
        <v>62649</v>
      </c>
      <c r="AB847" t="s">
        <v>1133</v>
      </c>
      <c r="AC847" t="s">
        <v>103</v>
      </c>
      <c r="AD847" t="s">
        <v>38</v>
      </c>
      <c r="AE847" t="s">
        <v>49</v>
      </c>
      <c r="AF847" t="s">
        <v>50</v>
      </c>
      <c r="AG847">
        <v>0</v>
      </c>
      <c r="AH847">
        <v>0</v>
      </c>
      <c r="AI847" t="s">
        <v>51</v>
      </c>
      <c r="AJ847" t="s">
        <v>51</v>
      </c>
      <c r="AK847" t="s">
        <v>51</v>
      </c>
    </row>
    <row r="848" spans="1:37" x14ac:dyDescent="0.2">
      <c r="A848">
        <v>62632</v>
      </c>
      <c r="B848" t="s">
        <v>37</v>
      </c>
      <c r="C848" t="s">
        <v>38</v>
      </c>
      <c r="D848" t="s">
        <v>674</v>
      </c>
      <c r="E848" t="s">
        <v>40</v>
      </c>
      <c r="G848" s="4">
        <v>43948.009560185185</v>
      </c>
      <c r="H848" s="4">
        <v>43948.010231481481</v>
      </c>
      <c r="I848" t="s">
        <v>987</v>
      </c>
      <c r="J848" s="5">
        <v>57.99999999999999999999999999999999999997</v>
      </c>
      <c r="K848" t="s">
        <v>38</v>
      </c>
      <c r="M848">
        <v>62633</v>
      </c>
      <c r="N848" t="s">
        <v>705</v>
      </c>
      <c r="O848" t="s">
        <v>706</v>
      </c>
      <c r="P848" t="s">
        <v>38</v>
      </c>
      <c r="Q848" t="s">
        <v>313</v>
      </c>
      <c r="R848">
        <v>13</v>
      </c>
      <c r="S848" t="s">
        <v>45</v>
      </c>
      <c r="T84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8">
        <v>62634</v>
      </c>
      <c r="V848" t="s">
        <v>38</v>
      </c>
      <c r="W848" t="s">
        <v>313</v>
      </c>
      <c r="X848">
        <v>13</v>
      </c>
      <c r="Y848">
        <v>0</v>
      </c>
      <c r="Z848" t="s">
        <v>46</v>
      </c>
      <c r="AA848">
        <v>62648</v>
      </c>
      <c r="AB848" t="s">
        <v>1134</v>
      </c>
      <c r="AC848" t="s">
        <v>103</v>
      </c>
      <c r="AD848" t="s">
        <v>38</v>
      </c>
      <c r="AE848" t="s">
        <v>49</v>
      </c>
      <c r="AF848" t="s">
        <v>50</v>
      </c>
      <c r="AG848">
        <v>0</v>
      </c>
      <c r="AH848">
        <v>0</v>
      </c>
      <c r="AI848" t="s">
        <v>51</v>
      </c>
      <c r="AJ848" t="s">
        <v>51</v>
      </c>
      <c r="AK848" t="s">
        <v>51</v>
      </c>
    </row>
    <row r="849" spans="1:37" x14ac:dyDescent="0.2">
      <c r="A849">
        <v>62632</v>
      </c>
      <c r="B849" t="s">
        <v>37</v>
      </c>
      <c r="C849" t="s">
        <v>38</v>
      </c>
      <c r="D849" t="s">
        <v>674</v>
      </c>
      <c r="E849" t="s">
        <v>40</v>
      </c>
      <c r="G849" s="4">
        <v>43948.009560185185</v>
      </c>
      <c r="H849" s="4">
        <v>43948.010231481481</v>
      </c>
      <c r="I849" t="s">
        <v>987</v>
      </c>
      <c r="J849" s="5">
        <v>57.99999999999999999999999999999999999997</v>
      </c>
      <c r="K849" t="s">
        <v>38</v>
      </c>
      <c r="M849">
        <v>62633</v>
      </c>
      <c r="N849" t="s">
        <v>705</v>
      </c>
      <c r="O849" t="s">
        <v>706</v>
      </c>
      <c r="P849" t="s">
        <v>38</v>
      </c>
      <c r="Q849" t="s">
        <v>313</v>
      </c>
      <c r="R849">
        <v>13</v>
      </c>
      <c r="S849" t="s">
        <v>45</v>
      </c>
      <c r="T84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49">
        <v>62634</v>
      </c>
      <c r="V849" t="s">
        <v>38</v>
      </c>
      <c r="W849" t="s">
        <v>313</v>
      </c>
      <c r="X849">
        <v>13</v>
      </c>
      <c r="Y849">
        <v>0</v>
      </c>
      <c r="Z849" t="s">
        <v>46</v>
      </c>
      <c r="AA849">
        <v>62647</v>
      </c>
      <c r="AB849" t="s">
        <v>1135</v>
      </c>
      <c r="AC849" t="s">
        <v>103</v>
      </c>
      <c r="AD849" t="s">
        <v>38</v>
      </c>
      <c r="AE849" t="s">
        <v>49</v>
      </c>
      <c r="AF849" t="s">
        <v>50</v>
      </c>
      <c r="AG849">
        <v>0</v>
      </c>
      <c r="AH849">
        <v>0</v>
      </c>
      <c r="AI849" t="s">
        <v>51</v>
      </c>
      <c r="AJ849" t="s">
        <v>51</v>
      </c>
      <c r="AK849" t="s">
        <v>51</v>
      </c>
    </row>
    <row r="850" spans="1:37" x14ac:dyDescent="0.2">
      <c r="A850">
        <v>62632</v>
      </c>
      <c r="B850" t="s">
        <v>37</v>
      </c>
      <c r="C850" t="s">
        <v>38</v>
      </c>
      <c r="D850" t="s">
        <v>674</v>
      </c>
      <c r="E850" t="s">
        <v>40</v>
      </c>
      <c r="G850" s="4">
        <v>43948.009560185185</v>
      </c>
      <c r="H850" s="4">
        <v>43948.010231481481</v>
      </c>
      <c r="I850" t="s">
        <v>987</v>
      </c>
      <c r="J850" s="5">
        <v>57.99999999999999999999999999999999999997</v>
      </c>
      <c r="K850" t="s">
        <v>38</v>
      </c>
      <c r="M850">
        <v>62633</v>
      </c>
      <c r="N850" t="s">
        <v>705</v>
      </c>
      <c r="O850" t="s">
        <v>706</v>
      </c>
      <c r="P850" t="s">
        <v>38</v>
      </c>
      <c r="Q850" t="s">
        <v>313</v>
      </c>
      <c r="R850">
        <v>13</v>
      </c>
      <c r="S850" t="s">
        <v>45</v>
      </c>
      <c r="T85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0">
        <v>62634</v>
      </c>
      <c r="V850" t="s">
        <v>38</v>
      </c>
      <c r="W850" t="s">
        <v>313</v>
      </c>
      <c r="X850">
        <v>13</v>
      </c>
      <c r="Y850">
        <v>0</v>
      </c>
      <c r="Z850" t="s">
        <v>46</v>
      </c>
      <c r="AA850">
        <v>62646</v>
      </c>
      <c r="AB850" t="s">
        <v>1136</v>
      </c>
      <c r="AC850" t="s">
        <v>103</v>
      </c>
      <c r="AD850" t="s">
        <v>38</v>
      </c>
      <c r="AE850" t="s">
        <v>49</v>
      </c>
      <c r="AF850" t="s">
        <v>50</v>
      </c>
      <c r="AG850">
        <v>0</v>
      </c>
      <c r="AH850">
        <v>0</v>
      </c>
      <c r="AI850" t="s">
        <v>51</v>
      </c>
      <c r="AJ850" t="s">
        <v>51</v>
      </c>
      <c r="AK850" t="s">
        <v>51</v>
      </c>
    </row>
    <row r="851" spans="1:37" x14ac:dyDescent="0.2">
      <c r="A851">
        <v>62632</v>
      </c>
      <c r="B851" t="s">
        <v>37</v>
      </c>
      <c r="C851" t="s">
        <v>38</v>
      </c>
      <c r="D851" t="s">
        <v>674</v>
      </c>
      <c r="E851" t="s">
        <v>40</v>
      </c>
      <c r="G851" s="4">
        <v>43948.009560185185</v>
      </c>
      <c r="H851" s="4">
        <v>43948.010231481481</v>
      </c>
      <c r="I851" t="s">
        <v>987</v>
      </c>
      <c r="J851" s="5">
        <v>57.99999999999999999999999999999999999997</v>
      </c>
      <c r="K851" t="s">
        <v>38</v>
      </c>
      <c r="M851">
        <v>62633</v>
      </c>
      <c r="N851" t="s">
        <v>705</v>
      </c>
      <c r="O851" t="s">
        <v>706</v>
      </c>
      <c r="P851" t="s">
        <v>38</v>
      </c>
      <c r="Q851" t="s">
        <v>313</v>
      </c>
      <c r="R851">
        <v>13</v>
      </c>
      <c r="S851" t="s">
        <v>45</v>
      </c>
      <c r="T85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1">
        <v>62634</v>
      </c>
      <c r="V851" t="s">
        <v>38</v>
      </c>
      <c r="W851" t="s">
        <v>313</v>
      </c>
      <c r="X851">
        <v>13</v>
      </c>
      <c r="Y851">
        <v>0</v>
      </c>
      <c r="Z851" t="s">
        <v>46</v>
      </c>
      <c r="AA851">
        <v>62645</v>
      </c>
      <c r="AB851" t="s">
        <v>1137</v>
      </c>
      <c r="AC851" t="s">
        <v>103</v>
      </c>
      <c r="AD851" t="s">
        <v>38</v>
      </c>
      <c r="AE851" t="s">
        <v>49</v>
      </c>
      <c r="AF851" t="s">
        <v>50</v>
      </c>
      <c r="AG851">
        <v>0</v>
      </c>
      <c r="AH851">
        <v>0</v>
      </c>
      <c r="AI851" t="s">
        <v>51</v>
      </c>
      <c r="AJ851" t="s">
        <v>51</v>
      </c>
      <c r="AK851" t="s">
        <v>51</v>
      </c>
    </row>
    <row r="852" spans="1:37" x14ac:dyDescent="0.2">
      <c r="A852">
        <v>62632</v>
      </c>
      <c r="B852" t="s">
        <v>37</v>
      </c>
      <c r="C852" t="s">
        <v>38</v>
      </c>
      <c r="D852" t="s">
        <v>674</v>
      </c>
      <c r="E852" t="s">
        <v>40</v>
      </c>
      <c r="G852" s="4">
        <v>43948.009560185185</v>
      </c>
      <c r="H852" s="4">
        <v>43948.010231481481</v>
      </c>
      <c r="I852" t="s">
        <v>987</v>
      </c>
      <c r="J852" s="5">
        <v>57.99999999999999999999999999999999999997</v>
      </c>
      <c r="K852" t="s">
        <v>38</v>
      </c>
      <c r="M852">
        <v>62633</v>
      </c>
      <c r="N852" t="s">
        <v>705</v>
      </c>
      <c r="O852" t="s">
        <v>706</v>
      </c>
      <c r="P852" t="s">
        <v>38</v>
      </c>
      <c r="Q852" t="s">
        <v>313</v>
      </c>
      <c r="R852">
        <v>13</v>
      </c>
      <c r="S852" t="s">
        <v>45</v>
      </c>
      <c r="T852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2">
        <v>62634</v>
      </c>
      <c r="V852" t="s">
        <v>38</v>
      </c>
      <c r="W852" t="s">
        <v>313</v>
      </c>
      <c r="X852">
        <v>13</v>
      </c>
      <c r="Y852">
        <v>0</v>
      </c>
      <c r="Z852" t="s">
        <v>46</v>
      </c>
      <c r="AA852">
        <v>62644</v>
      </c>
      <c r="AB852" t="s">
        <v>1138</v>
      </c>
      <c r="AC852" t="s">
        <v>103</v>
      </c>
      <c r="AD852" t="s">
        <v>38</v>
      </c>
      <c r="AE852" t="s">
        <v>49</v>
      </c>
      <c r="AF852" t="s">
        <v>50</v>
      </c>
      <c r="AG852">
        <v>0</v>
      </c>
      <c r="AH852">
        <v>0</v>
      </c>
      <c r="AI852" t="s">
        <v>51</v>
      </c>
      <c r="AJ852" t="s">
        <v>51</v>
      </c>
      <c r="AK852" t="s">
        <v>51</v>
      </c>
    </row>
    <row r="853" spans="1:37" x14ac:dyDescent="0.2">
      <c r="A853">
        <v>62632</v>
      </c>
      <c r="B853" t="s">
        <v>37</v>
      </c>
      <c r="C853" t="s">
        <v>38</v>
      </c>
      <c r="D853" t="s">
        <v>674</v>
      </c>
      <c r="E853" t="s">
        <v>40</v>
      </c>
      <c r="G853" s="4">
        <v>43948.009560185185</v>
      </c>
      <c r="H853" s="4">
        <v>43948.010231481481</v>
      </c>
      <c r="I853" t="s">
        <v>987</v>
      </c>
      <c r="J853" s="5">
        <v>57.99999999999999999999999999999999999997</v>
      </c>
      <c r="K853" t="s">
        <v>38</v>
      </c>
      <c r="M853">
        <v>62633</v>
      </c>
      <c r="N853" t="s">
        <v>705</v>
      </c>
      <c r="O853" t="s">
        <v>706</v>
      </c>
      <c r="P853" t="s">
        <v>38</v>
      </c>
      <c r="Q853" t="s">
        <v>313</v>
      </c>
      <c r="R853">
        <v>13</v>
      </c>
      <c r="S853" t="s">
        <v>45</v>
      </c>
      <c r="T853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3">
        <v>62634</v>
      </c>
      <c r="V853" t="s">
        <v>38</v>
      </c>
      <c r="W853" t="s">
        <v>313</v>
      </c>
      <c r="X853">
        <v>13</v>
      </c>
      <c r="Y853">
        <v>0</v>
      </c>
      <c r="Z853" t="s">
        <v>46</v>
      </c>
      <c r="AA853">
        <v>62643</v>
      </c>
      <c r="AB853" t="s">
        <v>1139</v>
      </c>
      <c r="AC853" t="s">
        <v>103</v>
      </c>
      <c r="AD853" t="s">
        <v>38</v>
      </c>
      <c r="AE853" t="s">
        <v>49</v>
      </c>
      <c r="AF853" t="s">
        <v>50</v>
      </c>
      <c r="AG853">
        <v>0</v>
      </c>
      <c r="AH853">
        <v>0</v>
      </c>
      <c r="AI853" t="s">
        <v>51</v>
      </c>
      <c r="AJ853" t="s">
        <v>51</v>
      </c>
      <c r="AK853" t="s">
        <v>51</v>
      </c>
    </row>
    <row r="854" spans="1:37" x14ac:dyDescent="0.2">
      <c r="A854">
        <v>62632</v>
      </c>
      <c r="B854" t="s">
        <v>37</v>
      </c>
      <c r="C854" t="s">
        <v>38</v>
      </c>
      <c r="D854" t="s">
        <v>674</v>
      </c>
      <c r="E854" t="s">
        <v>40</v>
      </c>
      <c r="G854" s="4">
        <v>43948.009560185185</v>
      </c>
      <c r="H854" s="4">
        <v>43948.010231481481</v>
      </c>
      <c r="I854" t="s">
        <v>987</v>
      </c>
      <c r="J854" s="5">
        <v>57.99999999999999999999999999999999999997</v>
      </c>
      <c r="K854" t="s">
        <v>38</v>
      </c>
      <c r="M854">
        <v>62633</v>
      </c>
      <c r="N854" t="s">
        <v>705</v>
      </c>
      <c r="O854" t="s">
        <v>706</v>
      </c>
      <c r="P854" t="s">
        <v>38</v>
      </c>
      <c r="Q854" t="s">
        <v>313</v>
      </c>
      <c r="R854">
        <v>13</v>
      </c>
      <c r="S854" t="s">
        <v>45</v>
      </c>
      <c r="T854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4">
        <v>62634</v>
      </c>
      <c r="V854" t="s">
        <v>38</v>
      </c>
      <c r="W854" t="s">
        <v>313</v>
      </c>
      <c r="X854">
        <v>13</v>
      </c>
      <c r="Y854">
        <v>0</v>
      </c>
      <c r="Z854" t="s">
        <v>46</v>
      </c>
      <c r="AA854">
        <v>62642</v>
      </c>
      <c r="AB854" t="s">
        <v>1140</v>
      </c>
      <c r="AC854" t="s">
        <v>103</v>
      </c>
      <c r="AD854" t="s">
        <v>38</v>
      </c>
      <c r="AE854" t="s">
        <v>49</v>
      </c>
      <c r="AF854" t="s">
        <v>50</v>
      </c>
      <c r="AG854">
        <v>0</v>
      </c>
      <c r="AH854">
        <v>0</v>
      </c>
      <c r="AI854" t="s">
        <v>51</v>
      </c>
      <c r="AJ854" t="s">
        <v>51</v>
      </c>
      <c r="AK854" t="s">
        <v>51</v>
      </c>
    </row>
    <row r="855" spans="1:37" x14ac:dyDescent="0.2">
      <c r="A855">
        <v>62632</v>
      </c>
      <c r="B855" t="s">
        <v>37</v>
      </c>
      <c r="C855" t="s">
        <v>38</v>
      </c>
      <c r="D855" t="s">
        <v>674</v>
      </c>
      <c r="E855" t="s">
        <v>40</v>
      </c>
      <c r="G855" s="4">
        <v>43948.009560185185</v>
      </c>
      <c r="H855" s="4">
        <v>43948.010231481481</v>
      </c>
      <c r="I855" t="s">
        <v>987</v>
      </c>
      <c r="J855" s="5">
        <v>57.99999999999999999999999999999999999997</v>
      </c>
      <c r="K855" t="s">
        <v>38</v>
      </c>
      <c r="M855">
        <v>62633</v>
      </c>
      <c r="N855" t="s">
        <v>705</v>
      </c>
      <c r="O855" t="s">
        <v>706</v>
      </c>
      <c r="P855" t="s">
        <v>38</v>
      </c>
      <c r="Q855" t="s">
        <v>313</v>
      </c>
      <c r="R855">
        <v>13</v>
      </c>
      <c r="S855" t="s">
        <v>45</v>
      </c>
      <c r="T855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5">
        <v>62634</v>
      </c>
      <c r="V855" t="s">
        <v>38</v>
      </c>
      <c r="W855" t="s">
        <v>313</v>
      </c>
      <c r="X855">
        <v>13</v>
      </c>
      <c r="Y855">
        <v>0</v>
      </c>
      <c r="Z855" t="s">
        <v>46</v>
      </c>
      <c r="AA855">
        <v>62641</v>
      </c>
      <c r="AB855" t="s">
        <v>1141</v>
      </c>
      <c r="AC855" t="s">
        <v>103</v>
      </c>
      <c r="AD855" t="s">
        <v>38</v>
      </c>
      <c r="AE855" t="s">
        <v>49</v>
      </c>
      <c r="AF855" t="s">
        <v>50</v>
      </c>
      <c r="AG855">
        <v>0</v>
      </c>
      <c r="AH855">
        <v>0</v>
      </c>
      <c r="AI855" t="s">
        <v>51</v>
      </c>
      <c r="AJ855" t="s">
        <v>51</v>
      </c>
      <c r="AK855" t="s">
        <v>51</v>
      </c>
    </row>
    <row r="856" spans="1:37" x14ac:dyDescent="0.2">
      <c r="A856">
        <v>62632</v>
      </c>
      <c r="B856" t="s">
        <v>37</v>
      </c>
      <c r="C856" t="s">
        <v>38</v>
      </c>
      <c r="D856" t="s">
        <v>674</v>
      </c>
      <c r="E856" t="s">
        <v>40</v>
      </c>
      <c r="G856" s="4">
        <v>43948.009560185185</v>
      </c>
      <c r="H856" s="4">
        <v>43948.010231481481</v>
      </c>
      <c r="I856" t="s">
        <v>987</v>
      </c>
      <c r="J856" s="5">
        <v>57.99999999999999999999999999999999999997</v>
      </c>
      <c r="K856" t="s">
        <v>38</v>
      </c>
      <c r="M856">
        <v>62633</v>
      </c>
      <c r="N856" t="s">
        <v>705</v>
      </c>
      <c r="O856" t="s">
        <v>706</v>
      </c>
      <c r="P856" t="s">
        <v>38</v>
      </c>
      <c r="Q856" t="s">
        <v>313</v>
      </c>
      <c r="R856">
        <v>13</v>
      </c>
      <c r="S856" t="s">
        <v>45</v>
      </c>
      <c r="T856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6">
        <v>62634</v>
      </c>
      <c r="V856" t="s">
        <v>38</v>
      </c>
      <c r="W856" t="s">
        <v>313</v>
      </c>
      <c r="X856">
        <v>13</v>
      </c>
      <c r="Y856">
        <v>0</v>
      </c>
      <c r="Z856" t="s">
        <v>46</v>
      </c>
      <c r="AA856">
        <v>62640</v>
      </c>
      <c r="AB856" t="s">
        <v>1142</v>
      </c>
      <c r="AC856" t="s">
        <v>103</v>
      </c>
      <c r="AD856" t="s">
        <v>38</v>
      </c>
      <c r="AE856" t="s">
        <v>49</v>
      </c>
      <c r="AF856" t="s">
        <v>50</v>
      </c>
      <c r="AG856">
        <v>0</v>
      </c>
      <c r="AH856">
        <v>0</v>
      </c>
      <c r="AI856" t="s">
        <v>51</v>
      </c>
      <c r="AJ856" t="s">
        <v>51</v>
      </c>
      <c r="AK856" t="s">
        <v>51</v>
      </c>
    </row>
    <row r="857" spans="1:37" x14ac:dyDescent="0.2">
      <c r="A857">
        <v>62632</v>
      </c>
      <c r="B857" t="s">
        <v>37</v>
      </c>
      <c r="C857" t="s">
        <v>38</v>
      </c>
      <c r="D857" t="s">
        <v>674</v>
      </c>
      <c r="E857" t="s">
        <v>40</v>
      </c>
      <c r="G857" s="4">
        <v>43948.009560185185</v>
      </c>
      <c r="H857" s="4">
        <v>43948.010231481481</v>
      </c>
      <c r="I857" t="s">
        <v>987</v>
      </c>
      <c r="J857" s="5">
        <v>57.99999999999999999999999999999999999997</v>
      </c>
      <c r="K857" t="s">
        <v>38</v>
      </c>
      <c r="M857">
        <v>62633</v>
      </c>
      <c r="N857" t="s">
        <v>705</v>
      </c>
      <c r="O857" t="s">
        <v>706</v>
      </c>
      <c r="P857" t="s">
        <v>38</v>
      </c>
      <c r="Q857" t="s">
        <v>313</v>
      </c>
      <c r="R857">
        <v>13</v>
      </c>
      <c r="S857" t="s">
        <v>45</v>
      </c>
      <c r="T857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7">
        <v>62634</v>
      </c>
      <c r="V857" t="s">
        <v>38</v>
      </c>
      <c r="W857" t="s">
        <v>313</v>
      </c>
      <c r="X857">
        <v>13</v>
      </c>
      <c r="Y857">
        <v>0</v>
      </c>
      <c r="Z857" t="s">
        <v>46</v>
      </c>
      <c r="AA857">
        <v>62639</v>
      </c>
      <c r="AB857" t="s">
        <v>1143</v>
      </c>
      <c r="AC857" t="s">
        <v>103</v>
      </c>
      <c r="AD857" t="s">
        <v>38</v>
      </c>
      <c r="AE857" t="s">
        <v>49</v>
      </c>
      <c r="AF857" t="s">
        <v>50</v>
      </c>
      <c r="AG857">
        <v>0</v>
      </c>
      <c r="AH857">
        <v>0</v>
      </c>
      <c r="AI857" t="s">
        <v>51</v>
      </c>
      <c r="AJ857" t="s">
        <v>51</v>
      </c>
      <c r="AK857" t="s">
        <v>51</v>
      </c>
    </row>
    <row r="858" spans="1:37" x14ac:dyDescent="0.2">
      <c r="A858">
        <v>62632</v>
      </c>
      <c r="B858" t="s">
        <v>37</v>
      </c>
      <c r="C858" t="s">
        <v>38</v>
      </c>
      <c r="D858" t="s">
        <v>674</v>
      </c>
      <c r="E858" t="s">
        <v>40</v>
      </c>
      <c r="G858" s="4">
        <v>43948.009560185185</v>
      </c>
      <c r="H858" s="4">
        <v>43948.010231481481</v>
      </c>
      <c r="I858" t="s">
        <v>987</v>
      </c>
      <c r="J858" s="5">
        <v>57.99999999999999999999999999999999999997</v>
      </c>
      <c r="K858" t="s">
        <v>38</v>
      </c>
      <c r="M858">
        <v>62633</v>
      </c>
      <c r="N858" t="s">
        <v>705</v>
      </c>
      <c r="O858" t="s">
        <v>706</v>
      </c>
      <c r="P858" t="s">
        <v>38</v>
      </c>
      <c r="Q858" t="s">
        <v>313</v>
      </c>
      <c r="R858">
        <v>13</v>
      </c>
      <c r="S858" t="s">
        <v>45</v>
      </c>
      <c r="T858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8">
        <v>62634</v>
      </c>
      <c r="V858" t="s">
        <v>38</v>
      </c>
      <c r="W858" t="s">
        <v>313</v>
      </c>
      <c r="X858">
        <v>13</v>
      </c>
      <c r="Y858">
        <v>0</v>
      </c>
      <c r="Z858" t="s">
        <v>46</v>
      </c>
      <c r="AA858">
        <v>62638</v>
      </c>
      <c r="AB858" t="s">
        <v>1144</v>
      </c>
      <c r="AC858" t="s">
        <v>103</v>
      </c>
      <c r="AD858" t="s">
        <v>38</v>
      </c>
      <c r="AE858" t="s">
        <v>49</v>
      </c>
      <c r="AF858" t="s">
        <v>50</v>
      </c>
      <c r="AG858">
        <v>.9999999999999999999999999999999999999996</v>
      </c>
      <c r="AH858">
        <v>0</v>
      </c>
      <c r="AI858" t="s">
        <v>51</v>
      </c>
      <c r="AJ858" t="s">
        <v>51</v>
      </c>
      <c r="AK858" t="s">
        <v>51</v>
      </c>
    </row>
    <row r="859" spans="1:37" x14ac:dyDescent="0.2">
      <c r="A859">
        <v>62632</v>
      </c>
      <c r="B859" t="s">
        <v>37</v>
      </c>
      <c r="C859" t="s">
        <v>38</v>
      </c>
      <c r="D859" t="s">
        <v>674</v>
      </c>
      <c r="E859" t="s">
        <v>40</v>
      </c>
      <c r="G859" s="4">
        <v>43948.009560185185</v>
      </c>
      <c r="H859" s="4">
        <v>43948.010231481481</v>
      </c>
      <c r="I859" t="s">
        <v>987</v>
      </c>
      <c r="J859" s="5">
        <v>57.99999999999999999999999999999999999997</v>
      </c>
      <c r="K859" t="s">
        <v>38</v>
      </c>
      <c r="M859">
        <v>62633</v>
      </c>
      <c r="N859" t="s">
        <v>705</v>
      </c>
      <c r="O859" t="s">
        <v>706</v>
      </c>
      <c r="P859" t="s">
        <v>38</v>
      </c>
      <c r="Q859" t="s">
        <v>313</v>
      </c>
      <c r="R859">
        <v>13</v>
      </c>
      <c r="S859" t="s">
        <v>45</v>
      </c>
      <c r="T859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59">
        <v>62634</v>
      </c>
      <c r="V859" t="s">
        <v>38</v>
      </c>
      <c r="W859" t="s">
        <v>313</v>
      </c>
      <c r="X859">
        <v>13</v>
      </c>
      <c r="Y859">
        <v>0</v>
      </c>
      <c r="Z859" t="s">
        <v>46</v>
      </c>
      <c r="AA859">
        <v>62637</v>
      </c>
      <c r="AB859" t="s">
        <v>1145</v>
      </c>
      <c r="AC859" t="s">
        <v>103</v>
      </c>
      <c r="AD859" t="s">
        <v>38</v>
      </c>
      <c r="AE859" t="s">
        <v>49</v>
      </c>
      <c r="AF859" t="s">
        <v>652</v>
      </c>
      <c r="AG859">
        <v>8</v>
      </c>
      <c r="AH859">
        <v>8</v>
      </c>
      <c r="AI859" t="s">
        <v>51</v>
      </c>
      <c r="AJ859" t="s">
        <v>51</v>
      </c>
      <c r="AK859" t="s">
        <v>51</v>
      </c>
    </row>
    <row r="860" spans="1:37" x14ac:dyDescent="0.2">
      <c r="A860">
        <v>62632</v>
      </c>
      <c r="B860" t="s">
        <v>37</v>
      </c>
      <c r="C860" t="s">
        <v>38</v>
      </c>
      <c r="D860" t="s">
        <v>674</v>
      </c>
      <c r="E860" t="s">
        <v>40</v>
      </c>
      <c r="G860" s="4">
        <v>43948.009560185185</v>
      </c>
      <c r="H860" s="4">
        <v>43948.010231481481</v>
      </c>
      <c r="I860" t="s">
        <v>987</v>
      </c>
      <c r="J860" s="5">
        <v>57.99999999999999999999999999999999999997</v>
      </c>
      <c r="K860" t="s">
        <v>38</v>
      </c>
      <c r="M860">
        <v>62633</v>
      </c>
      <c r="N860" t="s">
        <v>705</v>
      </c>
      <c r="O860" t="s">
        <v>706</v>
      </c>
      <c r="P860" t="s">
        <v>38</v>
      </c>
      <c r="Q860" t="s">
        <v>313</v>
      </c>
      <c r="R860">
        <v>13</v>
      </c>
      <c r="S860" t="s">
        <v>45</v>
      </c>
      <c r="T860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60">
        <v>62634</v>
      </c>
      <c r="V860" t="s">
        <v>38</v>
      </c>
      <c r="W860" t="s">
        <v>313</v>
      </c>
      <c r="X860">
        <v>13</v>
      </c>
      <c r="Y860">
        <v>0</v>
      </c>
      <c r="Z860" t="s">
        <v>46</v>
      </c>
      <c r="AA860">
        <v>62636</v>
      </c>
      <c r="AB860" t="s">
        <v>1146</v>
      </c>
      <c r="AC860" t="s">
        <v>48</v>
      </c>
      <c r="AD860" t="s">
        <v>38</v>
      </c>
      <c r="AE860" t="s">
        <v>49</v>
      </c>
      <c r="AF860" t="s">
        <v>50</v>
      </c>
      <c r="AG860">
        <v>0</v>
      </c>
      <c r="AH860">
        <v>0</v>
      </c>
      <c r="AI860" t="s">
        <v>51</v>
      </c>
      <c r="AJ860" t="s">
        <v>51</v>
      </c>
      <c r="AK860" t="s">
        <v>51</v>
      </c>
    </row>
    <row r="861" spans="1:37" x14ac:dyDescent="0.2">
      <c r="A861">
        <v>62632</v>
      </c>
      <c r="B861" t="s">
        <v>37</v>
      </c>
      <c r="C861" t="s">
        <v>38</v>
      </c>
      <c r="D861" t="s">
        <v>674</v>
      </c>
      <c r="E861" t="s">
        <v>40</v>
      </c>
      <c r="G861" s="4">
        <v>43948.009560185185</v>
      </c>
      <c r="H861" s="4">
        <v>43948.010231481481</v>
      </c>
      <c r="I861" t="s">
        <v>987</v>
      </c>
      <c r="J861" s="5">
        <v>57.99999999999999999999999999999999999997</v>
      </c>
      <c r="K861" t="s">
        <v>38</v>
      </c>
      <c r="M861">
        <v>62633</v>
      </c>
      <c r="N861" t="s">
        <v>705</v>
      </c>
      <c r="O861" t="s">
        <v>706</v>
      </c>
      <c r="P861" t="s">
        <v>38</v>
      </c>
      <c r="Q861" t="s">
        <v>313</v>
      </c>
      <c r="R861">
        <v>13</v>
      </c>
      <c r="S861" t="s">
        <v>45</v>
      </c>
      <c r="T861" t="str" s="2">
        <f>=HYPERLINK("http://demo.enginatics.com:80/ecc/user/applications/log/62632.log","http://demo.enginatics.com:80/ecc/user/applications/log/62632.log")</f>
        <v>"http://demo.enginatics.com:80/ecc/user/applications/log/62632.log")</v>
      </c>
      <c r="U861">
        <v>62634</v>
      </c>
      <c r="V861" t="s">
        <v>38</v>
      </c>
      <c r="W861" t="s">
        <v>313</v>
      </c>
      <c r="X861">
        <v>13</v>
      </c>
      <c r="Y861">
        <v>0</v>
      </c>
      <c r="Z861" t="s">
        <v>46</v>
      </c>
      <c r="AA861">
        <v>62635</v>
      </c>
      <c r="AB861" t="s">
        <v>859</v>
      </c>
      <c r="AC861" t="s">
        <v>56</v>
      </c>
      <c r="AD861" t="s">
        <v>38</v>
      </c>
      <c r="AE861" t="s">
        <v>49</v>
      </c>
      <c r="AF861" t="s">
        <v>50</v>
      </c>
      <c r="AG861">
        <v>0</v>
      </c>
      <c r="AH861">
        <v>0</v>
      </c>
      <c r="AI861" t="s">
        <v>51</v>
      </c>
      <c r="AJ861" t="s">
        <v>51</v>
      </c>
      <c r="AK861" t="s">
        <v>51</v>
      </c>
    </row>
    <row r="862" spans="1:37" x14ac:dyDescent="0.2">
      <c r="A862">
        <v>62617</v>
      </c>
      <c r="B862" t="s">
        <v>37</v>
      </c>
      <c r="C862" t="s">
        <v>38</v>
      </c>
      <c r="D862" t="s">
        <v>83</v>
      </c>
      <c r="E862" t="s">
        <v>84</v>
      </c>
      <c r="G862" s="4">
        <v>43947.956319444444</v>
      </c>
      <c r="H862" s="4">
        <v>43947.956435185185</v>
      </c>
      <c r="I862" t="s">
        <v>300</v>
      </c>
      <c r="J862" s="5">
        <v>10.00000000000000000000000000000000000002</v>
      </c>
      <c r="K862" t="s">
        <v>38</v>
      </c>
      <c r="M862">
        <v>62618</v>
      </c>
      <c r="N862" t="s">
        <v>84</v>
      </c>
      <c r="O862" t="s">
        <v>86</v>
      </c>
      <c r="P862" t="s">
        <v>38</v>
      </c>
      <c r="Q862" t="s">
        <v>300</v>
      </c>
      <c r="R862">
        <v>10.00000000000000000000000000000000000002</v>
      </c>
      <c r="S862" t="s">
        <v>45</v>
      </c>
      <c r="T862" t="str" s="2">
        <f>=HYPERLINK("http://demo.enginatics.com:80/ecc/user/applications/log/62617.log","http://demo.enginatics.com:80/ecc/user/applications/log/62617.log")</f>
        <v>"http://demo.enginatics.com:80/ecc/user/applications/log/62617.log")</v>
      </c>
      <c r="U862">
        <v>62619</v>
      </c>
      <c r="V862" t="s">
        <v>38</v>
      </c>
      <c r="W862" t="s">
        <v>300</v>
      </c>
      <c r="X862">
        <v>10.00000000000000000000000000000000000002</v>
      </c>
      <c r="Y862">
        <v>0</v>
      </c>
      <c r="Z862" t="s">
        <v>46</v>
      </c>
      <c r="AA862">
        <v>62621</v>
      </c>
      <c r="AB862" t="s">
        <v>1147</v>
      </c>
      <c r="AC862" t="s">
        <v>68</v>
      </c>
      <c r="AD862" t="s">
        <v>38</v>
      </c>
      <c r="AE862" t="s">
        <v>878</v>
      </c>
      <c r="AF862" t="s">
        <v>78</v>
      </c>
      <c r="AG862">
        <v>5</v>
      </c>
      <c r="AH862">
        <v>2</v>
      </c>
      <c r="AI862" t="s">
        <v>879</v>
      </c>
      <c r="AJ862" t="s">
        <v>51</v>
      </c>
      <c r="AK862" t="s">
        <v>879</v>
      </c>
    </row>
    <row r="863" spans="1:37" x14ac:dyDescent="0.2">
      <c r="A863">
        <v>62617</v>
      </c>
      <c r="B863" t="s">
        <v>37</v>
      </c>
      <c r="C863" t="s">
        <v>38</v>
      </c>
      <c r="D863" t="s">
        <v>83</v>
      </c>
      <c r="E863" t="s">
        <v>84</v>
      </c>
      <c r="G863" s="4">
        <v>43947.956319444444</v>
      </c>
      <c r="H863" s="4">
        <v>43947.956435185185</v>
      </c>
      <c r="I863" t="s">
        <v>300</v>
      </c>
      <c r="J863" s="5">
        <v>10.00000000000000000000000000000000000002</v>
      </c>
      <c r="K863" t="s">
        <v>38</v>
      </c>
      <c r="M863">
        <v>62618</v>
      </c>
      <c r="N863" t="s">
        <v>84</v>
      </c>
      <c r="O863" t="s">
        <v>86</v>
      </c>
      <c r="P863" t="s">
        <v>38</v>
      </c>
      <c r="Q863" t="s">
        <v>300</v>
      </c>
      <c r="R863">
        <v>10.00000000000000000000000000000000000002</v>
      </c>
      <c r="S863" t="s">
        <v>45</v>
      </c>
      <c r="T863" t="str" s="2">
        <f>=HYPERLINK("http://demo.enginatics.com:80/ecc/user/applications/log/62617.log","http://demo.enginatics.com:80/ecc/user/applications/log/62617.log")</f>
        <v>"http://demo.enginatics.com:80/ecc/user/applications/log/62617.log")</v>
      </c>
      <c r="U863">
        <v>62619</v>
      </c>
      <c r="V863" t="s">
        <v>38</v>
      </c>
      <c r="W863" t="s">
        <v>300</v>
      </c>
      <c r="X863">
        <v>10.00000000000000000000000000000000000002</v>
      </c>
      <c r="Y863">
        <v>0</v>
      </c>
      <c r="Z863" t="s">
        <v>46</v>
      </c>
      <c r="AA863">
        <v>62620</v>
      </c>
      <c r="AB863" t="s">
        <v>1148</v>
      </c>
      <c r="AC863" t="s">
        <v>56</v>
      </c>
      <c r="AD863" t="s">
        <v>38</v>
      </c>
      <c r="AE863" t="s">
        <v>878</v>
      </c>
      <c r="AF863" t="s">
        <v>78</v>
      </c>
      <c r="AG863">
        <v>5</v>
      </c>
      <c r="AH863">
        <v>0</v>
      </c>
      <c r="AI863" t="s">
        <v>879</v>
      </c>
      <c r="AJ863" t="s">
        <v>51</v>
      </c>
      <c r="AK863" t="s">
        <v>879</v>
      </c>
    </row>
    <row r="864" spans="1:37" x14ac:dyDescent="0.2">
      <c r="A864">
        <v>62602</v>
      </c>
      <c r="B864" t="s">
        <v>37</v>
      </c>
      <c r="C864" t="s">
        <v>38</v>
      </c>
      <c r="D864" t="s">
        <v>39</v>
      </c>
      <c r="E864" t="s">
        <v>40</v>
      </c>
      <c r="G864" s="4">
        <v>43947.953310185185</v>
      </c>
      <c r="H864" s="4">
        <v>43947.970717592593</v>
      </c>
      <c r="I864" t="s">
        <v>1149</v>
      </c>
      <c r="J864" s="5">
        <v>1503.999999999999999999999999999999999999</v>
      </c>
      <c r="K864" t="s">
        <v>38</v>
      </c>
      <c r="M864">
        <v>62622</v>
      </c>
      <c r="N864" t="s">
        <v>42</v>
      </c>
      <c r="O864" t="s">
        <v>43</v>
      </c>
      <c r="P864" t="s">
        <v>38</v>
      </c>
      <c r="Q864" t="s">
        <v>85</v>
      </c>
      <c r="R864">
        <v>3</v>
      </c>
      <c r="S864" t="s">
        <v>45</v>
      </c>
      <c r="T864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64">
        <v>62623</v>
      </c>
      <c r="V864" t="s">
        <v>38</v>
      </c>
      <c r="W864" t="s">
        <v>85</v>
      </c>
      <c r="X864">
        <v>3</v>
      </c>
      <c r="Y864">
        <v>0</v>
      </c>
      <c r="Z864" t="s">
        <v>46</v>
      </c>
      <c r="AA864">
        <v>62631</v>
      </c>
      <c r="AB864" t="s">
        <v>861</v>
      </c>
      <c r="AC864" t="s">
        <v>48</v>
      </c>
      <c r="AD864" t="s">
        <v>38</v>
      </c>
      <c r="AE864" t="s">
        <v>49</v>
      </c>
      <c r="AF864" t="s">
        <v>50</v>
      </c>
      <c r="AG864">
        <v>.9999999999999999999999999999999999999996</v>
      </c>
      <c r="AH864">
        <v>0</v>
      </c>
      <c r="AI864" t="s">
        <v>51</v>
      </c>
      <c r="AJ864" t="s">
        <v>51</v>
      </c>
      <c r="AK864" t="s">
        <v>51</v>
      </c>
    </row>
    <row r="865" spans="1:37" x14ac:dyDescent="0.2">
      <c r="A865">
        <v>62602</v>
      </c>
      <c r="B865" t="s">
        <v>37</v>
      </c>
      <c r="C865" t="s">
        <v>38</v>
      </c>
      <c r="D865" t="s">
        <v>39</v>
      </c>
      <c r="E865" t="s">
        <v>40</v>
      </c>
      <c r="G865" s="4">
        <v>43947.953310185185</v>
      </c>
      <c r="H865" s="4">
        <v>43947.970717592593</v>
      </c>
      <c r="I865" t="s">
        <v>1149</v>
      </c>
      <c r="J865" s="5">
        <v>1503.999999999999999999999999999999999999</v>
      </c>
      <c r="K865" t="s">
        <v>38</v>
      </c>
      <c r="M865">
        <v>62622</v>
      </c>
      <c r="N865" t="s">
        <v>42</v>
      </c>
      <c r="O865" t="s">
        <v>43</v>
      </c>
      <c r="P865" t="s">
        <v>38</v>
      </c>
      <c r="Q865" t="s">
        <v>85</v>
      </c>
      <c r="R865">
        <v>3</v>
      </c>
      <c r="S865" t="s">
        <v>45</v>
      </c>
      <c r="T865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65">
        <v>62623</v>
      </c>
      <c r="V865" t="s">
        <v>38</v>
      </c>
      <c r="W865" t="s">
        <v>85</v>
      </c>
      <c r="X865">
        <v>3</v>
      </c>
      <c r="Y865">
        <v>0</v>
      </c>
      <c r="Z865" t="s">
        <v>46</v>
      </c>
      <c r="AA865">
        <v>62630</v>
      </c>
      <c r="AB865" t="s">
        <v>862</v>
      </c>
      <c r="AC865" t="s">
        <v>48</v>
      </c>
      <c r="AD865" t="s">
        <v>38</v>
      </c>
      <c r="AE865" t="s">
        <v>49</v>
      </c>
      <c r="AF865" t="s">
        <v>50</v>
      </c>
      <c r="AG865">
        <v>0</v>
      </c>
      <c r="AH865">
        <v>0</v>
      </c>
      <c r="AI865" t="s">
        <v>51</v>
      </c>
      <c r="AJ865" t="s">
        <v>51</v>
      </c>
      <c r="AK865" t="s">
        <v>51</v>
      </c>
    </row>
    <row r="866" spans="1:37" x14ac:dyDescent="0.2">
      <c r="A866">
        <v>62602</v>
      </c>
      <c r="B866" t="s">
        <v>37</v>
      </c>
      <c r="C866" t="s">
        <v>38</v>
      </c>
      <c r="D866" t="s">
        <v>39</v>
      </c>
      <c r="E866" t="s">
        <v>40</v>
      </c>
      <c r="G866" s="4">
        <v>43947.953310185185</v>
      </c>
      <c r="H866" s="4">
        <v>43947.970717592593</v>
      </c>
      <c r="I866" t="s">
        <v>1149</v>
      </c>
      <c r="J866" s="5">
        <v>1503.999999999999999999999999999999999999</v>
      </c>
      <c r="K866" t="s">
        <v>38</v>
      </c>
      <c r="M866">
        <v>62622</v>
      </c>
      <c r="N866" t="s">
        <v>42</v>
      </c>
      <c r="O866" t="s">
        <v>43</v>
      </c>
      <c r="P866" t="s">
        <v>38</v>
      </c>
      <c r="Q866" t="s">
        <v>85</v>
      </c>
      <c r="R866">
        <v>3</v>
      </c>
      <c r="S866" t="s">
        <v>45</v>
      </c>
      <c r="T866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66">
        <v>62623</v>
      </c>
      <c r="V866" t="s">
        <v>38</v>
      </c>
      <c r="W866" t="s">
        <v>85</v>
      </c>
      <c r="X866">
        <v>3</v>
      </c>
      <c r="Y866">
        <v>0</v>
      </c>
      <c r="Z866" t="s">
        <v>46</v>
      </c>
      <c r="AA866">
        <v>62629</v>
      </c>
      <c r="AB866" t="s">
        <v>863</v>
      </c>
      <c r="AC866" t="s">
        <v>48</v>
      </c>
      <c r="AD866" t="s">
        <v>38</v>
      </c>
      <c r="AE866" t="s">
        <v>49</v>
      </c>
      <c r="AF866" t="s">
        <v>50</v>
      </c>
      <c r="AG866">
        <v>0</v>
      </c>
      <c r="AH866">
        <v>0</v>
      </c>
      <c r="AI866" t="s">
        <v>51</v>
      </c>
      <c r="AJ866" t="s">
        <v>51</v>
      </c>
      <c r="AK866" t="s">
        <v>51</v>
      </c>
    </row>
    <row r="867" spans="1:37" x14ac:dyDescent="0.2">
      <c r="A867">
        <v>62602</v>
      </c>
      <c r="B867" t="s">
        <v>37</v>
      </c>
      <c r="C867" t="s">
        <v>38</v>
      </c>
      <c r="D867" t="s">
        <v>39</v>
      </c>
      <c r="E867" t="s">
        <v>40</v>
      </c>
      <c r="G867" s="4">
        <v>43947.953310185185</v>
      </c>
      <c r="H867" s="4">
        <v>43947.970717592593</v>
      </c>
      <c r="I867" t="s">
        <v>1149</v>
      </c>
      <c r="J867" s="5">
        <v>1503.999999999999999999999999999999999999</v>
      </c>
      <c r="K867" t="s">
        <v>38</v>
      </c>
      <c r="M867">
        <v>62622</v>
      </c>
      <c r="N867" t="s">
        <v>42</v>
      </c>
      <c r="O867" t="s">
        <v>43</v>
      </c>
      <c r="P867" t="s">
        <v>38</v>
      </c>
      <c r="Q867" t="s">
        <v>85</v>
      </c>
      <c r="R867">
        <v>3</v>
      </c>
      <c r="S867" t="s">
        <v>45</v>
      </c>
      <c r="T867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67">
        <v>62623</v>
      </c>
      <c r="V867" t="s">
        <v>38</v>
      </c>
      <c r="W867" t="s">
        <v>85</v>
      </c>
      <c r="X867">
        <v>3</v>
      </c>
      <c r="Y867">
        <v>0</v>
      </c>
      <c r="Z867" t="s">
        <v>46</v>
      </c>
      <c r="AA867">
        <v>62628</v>
      </c>
      <c r="AB867" t="s">
        <v>864</v>
      </c>
      <c r="AC867" t="s">
        <v>48</v>
      </c>
      <c r="AD867" t="s">
        <v>38</v>
      </c>
      <c r="AE867" t="s">
        <v>49</v>
      </c>
      <c r="AF867" t="s">
        <v>50</v>
      </c>
      <c r="AG867">
        <v>.9999999999999999999999999999999999999996</v>
      </c>
      <c r="AH867">
        <v>0</v>
      </c>
      <c r="AI867" t="s">
        <v>51</v>
      </c>
      <c r="AJ867" t="s">
        <v>51</v>
      </c>
      <c r="AK867" t="s">
        <v>51</v>
      </c>
    </row>
    <row r="868" spans="1:37" x14ac:dyDescent="0.2">
      <c r="A868">
        <v>62602</v>
      </c>
      <c r="B868" t="s">
        <v>37</v>
      </c>
      <c r="C868" t="s">
        <v>38</v>
      </c>
      <c r="D868" t="s">
        <v>39</v>
      </c>
      <c r="E868" t="s">
        <v>40</v>
      </c>
      <c r="G868" s="4">
        <v>43947.953310185185</v>
      </c>
      <c r="H868" s="4">
        <v>43947.970717592593</v>
      </c>
      <c r="I868" t="s">
        <v>1149</v>
      </c>
      <c r="J868" s="5">
        <v>1503.999999999999999999999999999999999999</v>
      </c>
      <c r="K868" t="s">
        <v>38</v>
      </c>
      <c r="M868">
        <v>62622</v>
      </c>
      <c r="N868" t="s">
        <v>42</v>
      </c>
      <c r="O868" t="s">
        <v>43</v>
      </c>
      <c r="P868" t="s">
        <v>38</v>
      </c>
      <c r="Q868" t="s">
        <v>85</v>
      </c>
      <c r="R868">
        <v>3</v>
      </c>
      <c r="S868" t="s">
        <v>45</v>
      </c>
      <c r="T868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68">
        <v>62623</v>
      </c>
      <c r="V868" t="s">
        <v>38</v>
      </c>
      <c r="W868" t="s">
        <v>85</v>
      </c>
      <c r="X868">
        <v>3</v>
      </c>
      <c r="Y868">
        <v>0</v>
      </c>
      <c r="Z868" t="s">
        <v>46</v>
      </c>
      <c r="AA868">
        <v>62627</v>
      </c>
      <c r="AB868" t="s">
        <v>865</v>
      </c>
      <c r="AC868" t="s">
        <v>56</v>
      </c>
      <c r="AD868" t="s">
        <v>38</v>
      </c>
      <c r="AE868" t="s">
        <v>49</v>
      </c>
      <c r="AF868" t="s">
        <v>50</v>
      </c>
      <c r="AG868">
        <v>0</v>
      </c>
      <c r="AH868">
        <v>0</v>
      </c>
      <c r="AI868" t="s">
        <v>51</v>
      </c>
      <c r="AJ868" t="s">
        <v>51</v>
      </c>
      <c r="AK868" t="s">
        <v>51</v>
      </c>
    </row>
    <row r="869" spans="1:37" x14ac:dyDescent="0.2">
      <c r="A869">
        <v>62602</v>
      </c>
      <c r="B869" t="s">
        <v>37</v>
      </c>
      <c r="C869" t="s">
        <v>38</v>
      </c>
      <c r="D869" t="s">
        <v>39</v>
      </c>
      <c r="E869" t="s">
        <v>40</v>
      </c>
      <c r="G869" s="4">
        <v>43947.953310185185</v>
      </c>
      <c r="H869" s="4">
        <v>43947.970717592593</v>
      </c>
      <c r="I869" t="s">
        <v>1149</v>
      </c>
      <c r="J869" s="5">
        <v>1503.999999999999999999999999999999999999</v>
      </c>
      <c r="K869" t="s">
        <v>38</v>
      </c>
      <c r="M869">
        <v>62622</v>
      </c>
      <c r="N869" t="s">
        <v>42</v>
      </c>
      <c r="O869" t="s">
        <v>43</v>
      </c>
      <c r="P869" t="s">
        <v>38</v>
      </c>
      <c r="Q869" t="s">
        <v>85</v>
      </c>
      <c r="R869">
        <v>3</v>
      </c>
      <c r="S869" t="s">
        <v>45</v>
      </c>
      <c r="T869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69">
        <v>62623</v>
      </c>
      <c r="V869" t="s">
        <v>38</v>
      </c>
      <c r="W869" t="s">
        <v>85</v>
      </c>
      <c r="X869">
        <v>3</v>
      </c>
      <c r="Y869">
        <v>0</v>
      </c>
      <c r="Z869" t="s">
        <v>46</v>
      </c>
      <c r="AA869">
        <v>62626</v>
      </c>
      <c r="AB869" t="s">
        <v>866</v>
      </c>
      <c r="AC869" t="s">
        <v>56</v>
      </c>
      <c r="AD869" t="s">
        <v>38</v>
      </c>
      <c r="AE869" t="s">
        <v>49</v>
      </c>
      <c r="AF869" t="s">
        <v>50</v>
      </c>
      <c r="AG869">
        <v>0</v>
      </c>
      <c r="AH869">
        <v>0</v>
      </c>
      <c r="AI869" t="s">
        <v>51</v>
      </c>
      <c r="AJ869" t="s">
        <v>51</v>
      </c>
      <c r="AK869" t="s">
        <v>51</v>
      </c>
    </row>
    <row r="870" spans="1:37" x14ac:dyDescent="0.2">
      <c r="A870">
        <v>62602</v>
      </c>
      <c r="B870" t="s">
        <v>37</v>
      </c>
      <c r="C870" t="s">
        <v>38</v>
      </c>
      <c r="D870" t="s">
        <v>39</v>
      </c>
      <c r="E870" t="s">
        <v>40</v>
      </c>
      <c r="G870" s="4">
        <v>43947.953310185185</v>
      </c>
      <c r="H870" s="4">
        <v>43947.970717592593</v>
      </c>
      <c r="I870" t="s">
        <v>1149</v>
      </c>
      <c r="J870" s="5">
        <v>1503.999999999999999999999999999999999999</v>
      </c>
      <c r="K870" t="s">
        <v>38</v>
      </c>
      <c r="M870">
        <v>62622</v>
      </c>
      <c r="N870" t="s">
        <v>42</v>
      </c>
      <c r="O870" t="s">
        <v>43</v>
      </c>
      <c r="P870" t="s">
        <v>38</v>
      </c>
      <c r="Q870" t="s">
        <v>85</v>
      </c>
      <c r="R870">
        <v>3</v>
      </c>
      <c r="S870" t="s">
        <v>45</v>
      </c>
      <c r="T870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0">
        <v>62623</v>
      </c>
      <c r="V870" t="s">
        <v>38</v>
      </c>
      <c r="W870" t="s">
        <v>85</v>
      </c>
      <c r="X870">
        <v>3</v>
      </c>
      <c r="Y870">
        <v>0</v>
      </c>
      <c r="Z870" t="s">
        <v>46</v>
      </c>
      <c r="AA870">
        <v>62625</v>
      </c>
      <c r="AB870" t="s">
        <v>867</v>
      </c>
      <c r="AC870" t="s">
        <v>56</v>
      </c>
      <c r="AD870" t="s">
        <v>38</v>
      </c>
      <c r="AE870" t="s">
        <v>49</v>
      </c>
      <c r="AF870" t="s">
        <v>50</v>
      </c>
      <c r="AG870">
        <v>0</v>
      </c>
      <c r="AH870">
        <v>0</v>
      </c>
      <c r="AI870" t="s">
        <v>51</v>
      </c>
      <c r="AJ870" t="s">
        <v>51</v>
      </c>
      <c r="AK870" t="s">
        <v>51</v>
      </c>
    </row>
    <row r="871" spans="1:37" x14ac:dyDescent="0.2">
      <c r="A871">
        <v>62602</v>
      </c>
      <c r="B871" t="s">
        <v>37</v>
      </c>
      <c r="C871" t="s">
        <v>38</v>
      </c>
      <c r="D871" t="s">
        <v>39</v>
      </c>
      <c r="E871" t="s">
        <v>40</v>
      </c>
      <c r="G871" s="4">
        <v>43947.953310185185</v>
      </c>
      <c r="H871" s="4">
        <v>43947.970717592593</v>
      </c>
      <c r="I871" t="s">
        <v>1149</v>
      </c>
      <c r="J871" s="5">
        <v>1503.999999999999999999999999999999999999</v>
      </c>
      <c r="K871" t="s">
        <v>38</v>
      </c>
      <c r="M871">
        <v>62622</v>
      </c>
      <c r="N871" t="s">
        <v>42</v>
      </c>
      <c r="O871" t="s">
        <v>43</v>
      </c>
      <c r="P871" t="s">
        <v>38</v>
      </c>
      <c r="Q871" t="s">
        <v>85</v>
      </c>
      <c r="R871">
        <v>3</v>
      </c>
      <c r="S871" t="s">
        <v>45</v>
      </c>
      <c r="T871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1">
        <v>62623</v>
      </c>
      <c r="V871" t="s">
        <v>38</v>
      </c>
      <c r="W871" t="s">
        <v>85</v>
      </c>
      <c r="X871">
        <v>3</v>
      </c>
      <c r="Y871">
        <v>0</v>
      </c>
      <c r="Z871" t="s">
        <v>46</v>
      </c>
      <c r="AA871">
        <v>62624</v>
      </c>
      <c r="AB871" t="s">
        <v>868</v>
      </c>
      <c r="AC871" t="s">
        <v>60</v>
      </c>
      <c r="AD871" t="s">
        <v>38</v>
      </c>
      <c r="AE871" t="s">
        <v>49</v>
      </c>
      <c r="AF871" t="s">
        <v>50</v>
      </c>
      <c r="AG871">
        <v>.9999999999999999999999999999999999999996</v>
      </c>
      <c r="AH871">
        <v>0</v>
      </c>
      <c r="AI871" t="s">
        <v>51</v>
      </c>
      <c r="AJ871" t="s">
        <v>51</v>
      </c>
      <c r="AK871" t="s">
        <v>51</v>
      </c>
    </row>
    <row r="872" spans="1:37" x14ac:dyDescent="0.2">
      <c r="A872">
        <v>62602</v>
      </c>
      <c r="B872" t="s">
        <v>37</v>
      </c>
      <c r="C872" t="s">
        <v>38</v>
      </c>
      <c r="D872" t="s">
        <v>39</v>
      </c>
      <c r="E872" t="s">
        <v>40</v>
      </c>
      <c r="G872" s="4">
        <v>43947.953310185185</v>
      </c>
      <c r="H872" s="4">
        <v>43947.970717592593</v>
      </c>
      <c r="I872" t="s">
        <v>1149</v>
      </c>
      <c r="J872" s="5">
        <v>1503.999999999999999999999999999999999999</v>
      </c>
      <c r="K872" t="s">
        <v>38</v>
      </c>
      <c r="M872">
        <v>62613</v>
      </c>
      <c r="N872" t="s">
        <v>61</v>
      </c>
      <c r="O872" t="s">
        <v>62</v>
      </c>
      <c r="P872" t="s">
        <v>38</v>
      </c>
      <c r="Q872" t="s">
        <v>63</v>
      </c>
      <c r="R872">
        <v>1495.999999999999999999999999999999999999</v>
      </c>
      <c r="S872" t="s">
        <v>45</v>
      </c>
      <c r="T872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2">
        <v>62614</v>
      </c>
      <c r="V872" t="s">
        <v>38</v>
      </c>
      <c r="W872" t="s">
        <v>1150</v>
      </c>
      <c r="X872">
        <v>1494.999999999999999999999999999999999996</v>
      </c>
      <c r="Y872">
        <v>0</v>
      </c>
      <c r="Z872" t="s">
        <v>46</v>
      </c>
      <c r="AA872">
        <v>62616</v>
      </c>
      <c r="AB872" t="s">
        <v>64</v>
      </c>
      <c r="AC872" t="s">
        <v>56</v>
      </c>
      <c r="AD872" t="s">
        <v>38</v>
      </c>
      <c r="AE872" t="s">
        <v>65</v>
      </c>
      <c r="AF872" t="s">
        <v>1150</v>
      </c>
      <c r="AG872">
        <v>1494.999999999999999999999999999999999996</v>
      </c>
      <c r="AH872">
        <v>3</v>
      </c>
      <c r="AI872" t="s">
        <v>66</v>
      </c>
      <c r="AJ872" t="s">
        <v>51</v>
      </c>
      <c r="AK872" t="s">
        <v>66</v>
      </c>
    </row>
    <row r="873" spans="1:37" x14ac:dyDescent="0.2">
      <c r="A873">
        <v>62602</v>
      </c>
      <c r="B873" t="s">
        <v>37</v>
      </c>
      <c r="C873" t="s">
        <v>38</v>
      </c>
      <c r="D873" t="s">
        <v>39</v>
      </c>
      <c r="E873" t="s">
        <v>40</v>
      </c>
      <c r="G873" s="4">
        <v>43947.953310185185</v>
      </c>
      <c r="H873" s="4">
        <v>43947.970717592593</v>
      </c>
      <c r="I873" t="s">
        <v>1149</v>
      </c>
      <c r="J873" s="5">
        <v>1503.999999999999999999999999999999999999</v>
      </c>
      <c r="K873" t="s">
        <v>38</v>
      </c>
      <c r="M873">
        <v>62613</v>
      </c>
      <c r="N873" t="s">
        <v>61</v>
      </c>
      <c r="O873" t="s">
        <v>62</v>
      </c>
      <c r="P873" t="s">
        <v>38</v>
      </c>
      <c r="Q873" t="s">
        <v>63</v>
      </c>
      <c r="R873">
        <v>1495.999999999999999999999999999999999999</v>
      </c>
      <c r="S873" t="s">
        <v>45</v>
      </c>
      <c r="T873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3">
        <v>62614</v>
      </c>
      <c r="V873" t="s">
        <v>38</v>
      </c>
      <c r="W873" t="s">
        <v>1150</v>
      </c>
      <c r="X873">
        <v>1494.999999999999999999999999999999999996</v>
      </c>
      <c r="Y873">
        <v>0</v>
      </c>
      <c r="Z873" t="s">
        <v>46</v>
      </c>
      <c r="AA873">
        <v>62615</v>
      </c>
      <c r="AB873" t="s">
        <v>870</v>
      </c>
      <c r="AC873" t="s">
        <v>68</v>
      </c>
      <c r="AD873" t="s">
        <v>38</v>
      </c>
      <c r="AE873" t="s">
        <v>49</v>
      </c>
      <c r="AF873" t="s">
        <v>50</v>
      </c>
      <c r="AG873">
        <v>0</v>
      </c>
      <c r="AH873">
        <v>0</v>
      </c>
      <c r="AI873" t="s">
        <v>51</v>
      </c>
      <c r="AJ873" t="s">
        <v>51</v>
      </c>
      <c r="AK873" t="s">
        <v>51</v>
      </c>
    </row>
    <row r="874" spans="1:37" x14ac:dyDescent="0.2">
      <c r="A874">
        <v>62602</v>
      </c>
      <c r="B874" t="s">
        <v>37</v>
      </c>
      <c r="C874" t="s">
        <v>38</v>
      </c>
      <c r="D874" t="s">
        <v>39</v>
      </c>
      <c r="E874" t="s">
        <v>40</v>
      </c>
      <c r="G874" s="4">
        <v>43947.953310185185</v>
      </c>
      <c r="H874" s="4">
        <v>43947.970717592593</v>
      </c>
      <c r="I874" t="s">
        <v>1149</v>
      </c>
      <c r="J874" s="5">
        <v>1503.999999999999999999999999999999999999</v>
      </c>
      <c r="K874" t="s">
        <v>38</v>
      </c>
      <c r="M874">
        <v>62609</v>
      </c>
      <c r="N874" t="s">
        <v>69</v>
      </c>
      <c r="O874" t="s">
        <v>70</v>
      </c>
      <c r="P874" t="s">
        <v>38</v>
      </c>
      <c r="Q874" t="s">
        <v>50</v>
      </c>
      <c r="R874">
        <v>0</v>
      </c>
      <c r="S874" t="s">
        <v>45</v>
      </c>
      <c r="T874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4">
        <v>62610</v>
      </c>
      <c r="V874" t="s">
        <v>38</v>
      </c>
      <c r="W874" t="s">
        <v>50</v>
      </c>
      <c r="X874">
        <v>0</v>
      </c>
      <c r="Y874">
        <v>0</v>
      </c>
      <c r="Z874" t="s">
        <v>46</v>
      </c>
      <c r="AA874">
        <v>62612</v>
      </c>
      <c r="AB874" t="s">
        <v>871</v>
      </c>
      <c r="AC874" t="s">
        <v>56</v>
      </c>
      <c r="AD874" t="s">
        <v>38</v>
      </c>
      <c r="AE874" t="s">
        <v>49</v>
      </c>
      <c r="AF874" t="s">
        <v>50</v>
      </c>
      <c r="AG874">
        <v>0</v>
      </c>
      <c r="AH874">
        <v>0</v>
      </c>
      <c r="AI874" t="s">
        <v>51</v>
      </c>
      <c r="AJ874" t="s">
        <v>51</v>
      </c>
      <c r="AK874" t="s">
        <v>51</v>
      </c>
    </row>
    <row r="875" spans="1:37" x14ac:dyDescent="0.2">
      <c r="A875">
        <v>62602</v>
      </c>
      <c r="B875" t="s">
        <v>37</v>
      </c>
      <c r="C875" t="s">
        <v>38</v>
      </c>
      <c r="D875" t="s">
        <v>39</v>
      </c>
      <c r="E875" t="s">
        <v>40</v>
      </c>
      <c r="G875" s="4">
        <v>43947.953310185185</v>
      </c>
      <c r="H875" s="4">
        <v>43947.970717592593</v>
      </c>
      <c r="I875" t="s">
        <v>1149</v>
      </c>
      <c r="J875" s="5">
        <v>1503.999999999999999999999999999999999999</v>
      </c>
      <c r="K875" t="s">
        <v>38</v>
      </c>
      <c r="M875">
        <v>62609</v>
      </c>
      <c r="N875" t="s">
        <v>69</v>
      </c>
      <c r="O875" t="s">
        <v>70</v>
      </c>
      <c r="P875" t="s">
        <v>38</v>
      </c>
      <c r="Q875" t="s">
        <v>50</v>
      </c>
      <c r="R875">
        <v>0</v>
      </c>
      <c r="S875" t="s">
        <v>45</v>
      </c>
      <c r="T875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5">
        <v>62610</v>
      </c>
      <c r="V875" t="s">
        <v>38</v>
      </c>
      <c r="W875" t="s">
        <v>50</v>
      </c>
      <c r="X875">
        <v>0</v>
      </c>
      <c r="Y875">
        <v>0</v>
      </c>
      <c r="Z875" t="s">
        <v>46</v>
      </c>
      <c r="AA875">
        <v>62611</v>
      </c>
      <c r="AB875" t="s">
        <v>72</v>
      </c>
      <c r="AC875" t="s">
        <v>68</v>
      </c>
      <c r="AD875" t="s">
        <v>38</v>
      </c>
      <c r="AE875" t="s">
        <v>49</v>
      </c>
      <c r="AF875" t="s">
        <v>50</v>
      </c>
      <c r="AG875">
        <v>0</v>
      </c>
      <c r="AH875">
        <v>0</v>
      </c>
      <c r="AI875" t="s">
        <v>51</v>
      </c>
      <c r="AJ875" t="s">
        <v>51</v>
      </c>
      <c r="AK875" t="s">
        <v>51</v>
      </c>
    </row>
    <row r="876" spans="1:37" x14ac:dyDescent="0.2">
      <c r="A876">
        <v>62602</v>
      </c>
      <c r="B876" t="s">
        <v>37</v>
      </c>
      <c r="C876" t="s">
        <v>38</v>
      </c>
      <c r="D876" t="s">
        <v>39</v>
      </c>
      <c r="E876" t="s">
        <v>40</v>
      </c>
      <c r="G876" s="4">
        <v>43947.953310185185</v>
      </c>
      <c r="H876" s="4">
        <v>43947.970717592593</v>
      </c>
      <c r="I876" t="s">
        <v>1149</v>
      </c>
      <c r="J876" s="5">
        <v>1503.999999999999999999999999999999999999</v>
      </c>
      <c r="K876" t="s">
        <v>38</v>
      </c>
      <c r="M876">
        <v>62603</v>
      </c>
      <c r="N876" t="s">
        <v>73</v>
      </c>
      <c r="O876" t="s">
        <v>74</v>
      </c>
      <c r="P876" t="s">
        <v>38</v>
      </c>
      <c r="Q876" t="s">
        <v>78</v>
      </c>
      <c r="R876">
        <v>5</v>
      </c>
      <c r="S876" t="s">
        <v>45</v>
      </c>
      <c r="T876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6">
        <v>62604</v>
      </c>
      <c r="V876" t="s">
        <v>38</v>
      </c>
      <c r="W876" t="s">
        <v>78</v>
      </c>
      <c r="X876">
        <v>5</v>
      </c>
      <c r="Y876">
        <v>0</v>
      </c>
      <c r="Z876" t="s">
        <v>46</v>
      </c>
      <c r="AA876">
        <v>62608</v>
      </c>
      <c r="AB876" t="s">
        <v>76</v>
      </c>
      <c r="AC876" t="s">
        <v>56</v>
      </c>
      <c r="AD876" t="s">
        <v>38</v>
      </c>
      <c r="AE876" t="s">
        <v>77</v>
      </c>
      <c r="AF876" t="s">
        <v>78</v>
      </c>
      <c r="AG876">
        <v>5</v>
      </c>
      <c r="AH876">
        <v>0</v>
      </c>
      <c r="AI876" t="s">
        <v>79</v>
      </c>
      <c r="AJ876" t="s">
        <v>51</v>
      </c>
      <c r="AK876" t="s">
        <v>79</v>
      </c>
    </row>
    <row r="877" spans="1:37" x14ac:dyDescent="0.2">
      <c r="A877">
        <v>62602</v>
      </c>
      <c r="B877" t="s">
        <v>37</v>
      </c>
      <c r="C877" t="s">
        <v>38</v>
      </c>
      <c r="D877" t="s">
        <v>39</v>
      </c>
      <c r="E877" t="s">
        <v>40</v>
      </c>
      <c r="G877" s="4">
        <v>43947.953310185185</v>
      </c>
      <c r="H877" s="4">
        <v>43947.970717592593</v>
      </c>
      <c r="I877" t="s">
        <v>1149</v>
      </c>
      <c r="J877" s="5">
        <v>1503.999999999999999999999999999999999999</v>
      </c>
      <c r="K877" t="s">
        <v>38</v>
      </c>
      <c r="M877">
        <v>62603</v>
      </c>
      <c r="N877" t="s">
        <v>73</v>
      </c>
      <c r="O877" t="s">
        <v>74</v>
      </c>
      <c r="P877" t="s">
        <v>38</v>
      </c>
      <c r="Q877" t="s">
        <v>78</v>
      </c>
      <c r="R877">
        <v>5</v>
      </c>
      <c r="S877" t="s">
        <v>45</v>
      </c>
      <c r="T877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7">
        <v>62604</v>
      </c>
      <c r="V877" t="s">
        <v>38</v>
      </c>
      <c r="W877" t="s">
        <v>78</v>
      </c>
      <c r="X877">
        <v>5</v>
      </c>
      <c r="Y877">
        <v>0</v>
      </c>
      <c r="Z877" t="s">
        <v>46</v>
      </c>
      <c r="AA877">
        <v>62607</v>
      </c>
      <c r="AB877" t="s">
        <v>80</v>
      </c>
      <c r="AC877" t="s">
        <v>56</v>
      </c>
      <c r="AD877" t="s">
        <v>38</v>
      </c>
      <c r="AE877" t="s">
        <v>49</v>
      </c>
      <c r="AF877" t="s">
        <v>50</v>
      </c>
      <c r="AG877">
        <v>0</v>
      </c>
      <c r="AH877">
        <v>0</v>
      </c>
      <c r="AI877" t="s">
        <v>51</v>
      </c>
      <c r="AJ877" t="s">
        <v>51</v>
      </c>
      <c r="AK877" t="s">
        <v>51</v>
      </c>
    </row>
    <row r="878" spans="1:37" x14ac:dyDescent="0.2">
      <c r="A878">
        <v>62602</v>
      </c>
      <c r="B878" t="s">
        <v>37</v>
      </c>
      <c r="C878" t="s">
        <v>38</v>
      </c>
      <c r="D878" t="s">
        <v>39</v>
      </c>
      <c r="E878" t="s">
        <v>40</v>
      </c>
      <c r="G878" s="4">
        <v>43947.953310185185</v>
      </c>
      <c r="H878" s="4">
        <v>43947.970717592593</v>
      </c>
      <c r="I878" t="s">
        <v>1149</v>
      </c>
      <c r="J878" s="5">
        <v>1503.999999999999999999999999999999999999</v>
      </c>
      <c r="K878" t="s">
        <v>38</v>
      </c>
      <c r="M878">
        <v>62603</v>
      </c>
      <c r="N878" t="s">
        <v>73</v>
      </c>
      <c r="O878" t="s">
        <v>74</v>
      </c>
      <c r="P878" t="s">
        <v>38</v>
      </c>
      <c r="Q878" t="s">
        <v>78</v>
      </c>
      <c r="R878">
        <v>5</v>
      </c>
      <c r="S878" t="s">
        <v>45</v>
      </c>
      <c r="T878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8">
        <v>62604</v>
      </c>
      <c r="V878" t="s">
        <v>38</v>
      </c>
      <c r="W878" t="s">
        <v>78</v>
      </c>
      <c r="X878">
        <v>5</v>
      </c>
      <c r="Y878">
        <v>0</v>
      </c>
      <c r="Z878" t="s">
        <v>46</v>
      </c>
      <c r="AA878">
        <v>62606</v>
      </c>
      <c r="AB878" t="s">
        <v>874</v>
      </c>
      <c r="AC878" t="s">
        <v>68</v>
      </c>
      <c r="AD878" t="s">
        <v>38</v>
      </c>
      <c r="AE878" t="s">
        <v>49</v>
      </c>
      <c r="AF878" t="s">
        <v>50</v>
      </c>
      <c r="AG878">
        <v>0</v>
      </c>
      <c r="AH878">
        <v>0</v>
      </c>
      <c r="AI878" t="s">
        <v>51</v>
      </c>
      <c r="AJ878" t="s">
        <v>51</v>
      </c>
      <c r="AK878" t="s">
        <v>51</v>
      </c>
    </row>
    <row r="879" spans="1:37" x14ac:dyDescent="0.2">
      <c r="A879">
        <v>62602</v>
      </c>
      <c r="B879" t="s">
        <v>37</v>
      </c>
      <c r="C879" t="s">
        <v>38</v>
      </c>
      <c r="D879" t="s">
        <v>39</v>
      </c>
      <c r="E879" t="s">
        <v>40</v>
      </c>
      <c r="G879" s="4">
        <v>43947.953310185185</v>
      </c>
      <c r="H879" s="4">
        <v>43947.970717592593</v>
      </c>
      <c r="I879" t="s">
        <v>1149</v>
      </c>
      <c r="J879" s="5">
        <v>1503.999999999999999999999999999999999999</v>
      </c>
      <c r="K879" t="s">
        <v>38</v>
      </c>
      <c r="M879">
        <v>62603</v>
      </c>
      <c r="N879" t="s">
        <v>73</v>
      </c>
      <c r="O879" t="s">
        <v>74</v>
      </c>
      <c r="P879" t="s">
        <v>38</v>
      </c>
      <c r="Q879" t="s">
        <v>78</v>
      </c>
      <c r="R879">
        <v>5</v>
      </c>
      <c r="S879" t="s">
        <v>45</v>
      </c>
      <c r="T879" t="str" s="2">
        <f>=HYPERLINK("http://demo.enginatics.com:80/ecc/user/applications/log/62602.log","http://demo.enginatics.com:80/ecc/user/applications/log/62602.log")</f>
        <v>"http://demo.enginatics.com:80/ecc/user/applications/log/62602.log")</v>
      </c>
      <c r="U879">
        <v>62604</v>
      </c>
      <c r="V879" t="s">
        <v>38</v>
      </c>
      <c r="W879" t="s">
        <v>78</v>
      </c>
      <c r="X879">
        <v>5</v>
      </c>
      <c r="Y879">
        <v>0</v>
      </c>
      <c r="Z879" t="s">
        <v>46</v>
      </c>
      <c r="AA879">
        <v>62605</v>
      </c>
      <c r="AB879" t="s">
        <v>82</v>
      </c>
      <c r="AC879" t="s">
        <v>68</v>
      </c>
      <c r="AD879" t="s">
        <v>38</v>
      </c>
      <c r="AE879" t="s">
        <v>49</v>
      </c>
      <c r="AF879" t="s">
        <v>50</v>
      </c>
      <c r="AG879">
        <v>0</v>
      </c>
      <c r="AH879">
        <v>0</v>
      </c>
      <c r="AI879" t="s">
        <v>51</v>
      </c>
      <c r="AJ879" t="s">
        <v>51</v>
      </c>
      <c r="AK879" t="s">
        <v>51</v>
      </c>
    </row>
    <row r="880" spans="1:37" x14ac:dyDescent="0.2">
      <c r="A880">
        <v>62350</v>
      </c>
      <c r="B880" t="s">
        <v>37</v>
      </c>
      <c r="C880" t="s">
        <v>38</v>
      </c>
      <c r="D880" t="s">
        <v>83</v>
      </c>
      <c r="E880" t="s">
        <v>90</v>
      </c>
      <c r="G880" s="4">
        <v>43947.938460648148</v>
      </c>
      <c r="H880" s="4">
        <v>43947.938460648148</v>
      </c>
      <c r="I880" t="s">
        <v>50</v>
      </c>
      <c r="J880" s="5">
        <v>0</v>
      </c>
      <c r="K880" t="s">
        <v>38</v>
      </c>
      <c r="M880">
        <v>62601</v>
      </c>
      <c r="N880" t="s">
        <v>90</v>
      </c>
      <c r="O880" t="s">
        <v>91</v>
      </c>
      <c r="P880" t="s">
        <v>38</v>
      </c>
      <c r="Q880" t="s">
        <v>50</v>
      </c>
      <c r="R880">
        <v>0</v>
      </c>
      <c r="S880" t="s">
        <v>92</v>
      </c>
      <c r="T880" t="str" s="2">
        <f>=HYPERLINK("http://demo.enginatics.com:80/ecc/user/applications/log/62350.log","http://demo.enginatics.com:80/ecc/user/applications/log/62350.log")</f>
        <v>"http://demo.enginatics.com:80/ecc/user/applications/log/62350.log")</v>
      </c>
    </row>
    <row r="881" spans="1:37" x14ac:dyDescent="0.2">
      <c r="A881">
        <v>62344</v>
      </c>
      <c r="B881" t="s">
        <v>37</v>
      </c>
      <c r="C881" t="s">
        <v>38</v>
      </c>
      <c r="D881" t="s">
        <v>93</v>
      </c>
      <c r="E881" t="s">
        <v>94</v>
      </c>
      <c r="G881" s="4">
        <v>43947.918321759259</v>
      </c>
      <c r="H881" s="4">
        <v>43947.918333333333</v>
      </c>
      <c r="I881" t="s">
        <v>50</v>
      </c>
      <c r="J881" s="5">
        <v>.9999999999999999999999999999999999999996</v>
      </c>
      <c r="K881" t="s">
        <v>38</v>
      </c>
      <c r="M881">
        <v>62345</v>
      </c>
      <c r="N881" t="s">
        <v>94</v>
      </c>
      <c r="O881" t="s">
        <v>95</v>
      </c>
      <c r="P881" t="s">
        <v>38</v>
      </c>
      <c r="Q881" t="s">
        <v>50</v>
      </c>
      <c r="R881">
        <v>.9999999999999999999999999999999999999996</v>
      </c>
      <c r="S881" t="s">
        <v>45</v>
      </c>
      <c r="T881" t="str" s="2">
        <f>=HYPERLINK("http://demo.enginatics.com:80/ecc/user/applications/log/62344.log","http://demo.enginatics.com:80/ecc/user/applications/log/62344.log")</f>
        <v>"http://demo.enginatics.com:80/ecc/user/applications/log/62344.log")</v>
      </c>
      <c r="U881">
        <v>62346</v>
      </c>
      <c r="V881" t="s">
        <v>38</v>
      </c>
      <c r="W881" t="s">
        <v>50</v>
      </c>
      <c r="X881">
        <v>.9999999999999999999999999999999999999996</v>
      </c>
      <c r="Y881">
        <v>0</v>
      </c>
      <c r="Z881" t="s">
        <v>46</v>
      </c>
      <c r="AA881">
        <v>62349</v>
      </c>
      <c r="AB881" t="s">
        <v>96</v>
      </c>
      <c r="AC881" t="s">
        <v>97</v>
      </c>
      <c r="AD881" t="s">
        <v>38</v>
      </c>
      <c r="AE881" t="s">
        <v>49</v>
      </c>
      <c r="AF881" t="s">
        <v>50</v>
      </c>
      <c r="AG881">
        <v>0</v>
      </c>
      <c r="AH881">
        <v>0</v>
      </c>
      <c r="AI881" t="s">
        <v>51</v>
      </c>
      <c r="AJ881" t="s">
        <v>51</v>
      </c>
      <c r="AK881" t="s">
        <v>51</v>
      </c>
    </row>
    <row r="882" spans="1:37" x14ac:dyDescent="0.2">
      <c r="A882">
        <v>62344</v>
      </c>
      <c r="B882" t="s">
        <v>37</v>
      </c>
      <c r="C882" t="s">
        <v>38</v>
      </c>
      <c r="D882" t="s">
        <v>93</v>
      </c>
      <c r="E882" t="s">
        <v>94</v>
      </c>
      <c r="G882" s="4">
        <v>43947.918321759259</v>
      </c>
      <c r="H882" s="4">
        <v>43947.918333333333</v>
      </c>
      <c r="I882" t="s">
        <v>50</v>
      </c>
      <c r="J882" s="5">
        <v>.9999999999999999999999999999999999999996</v>
      </c>
      <c r="K882" t="s">
        <v>38</v>
      </c>
      <c r="M882">
        <v>62345</v>
      </c>
      <c r="N882" t="s">
        <v>94</v>
      </c>
      <c r="O882" t="s">
        <v>95</v>
      </c>
      <c r="P882" t="s">
        <v>38</v>
      </c>
      <c r="Q882" t="s">
        <v>50</v>
      </c>
      <c r="R882">
        <v>.9999999999999999999999999999999999999996</v>
      </c>
      <c r="S882" t="s">
        <v>45</v>
      </c>
      <c r="T882" t="str" s="2">
        <f>=HYPERLINK("http://demo.enginatics.com:80/ecc/user/applications/log/62344.log","http://demo.enginatics.com:80/ecc/user/applications/log/62344.log")</f>
        <v>"http://demo.enginatics.com:80/ecc/user/applications/log/62344.log")</v>
      </c>
      <c r="U882">
        <v>62346</v>
      </c>
      <c r="V882" t="s">
        <v>38</v>
      </c>
      <c r="W882" t="s">
        <v>50</v>
      </c>
      <c r="X882">
        <v>.9999999999999999999999999999999999999996</v>
      </c>
      <c r="Y882">
        <v>0</v>
      </c>
      <c r="Z882" t="s">
        <v>46</v>
      </c>
      <c r="AA882">
        <v>62348</v>
      </c>
      <c r="AB882" t="s">
        <v>98</v>
      </c>
      <c r="AC882" t="s">
        <v>56</v>
      </c>
      <c r="AD882" t="s">
        <v>38</v>
      </c>
      <c r="AE882" t="s">
        <v>49</v>
      </c>
      <c r="AF882" t="s">
        <v>50</v>
      </c>
      <c r="AG882">
        <v>0</v>
      </c>
      <c r="AH882">
        <v>0</v>
      </c>
      <c r="AI882" t="s">
        <v>51</v>
      </c>
      <c r="AJ882" t="s">
        <v>51</v>
      </c>
      <c r="AK882" t="s">
        <v>51</v>
      </c>
    </row>
    <row r="883" spans="1:37" x14ac:dyDescent="0.2">
      <c r="A883">
        <v>62344</v>
      </c>
      <c r="B883" t="s">
        <v>37</v>
      </c>
      <c r="C883" t="s">
        <v>38</v>
      </c>
      <c r="D883" t="s">
        <v>93</v>
      </c>
      <c r="E883" t="s">
        <v>94</v>
      </c>
      <c r="G883" s="4">
        <v>43947.918321759259</v>
      </c>
      <c r="H883" s="4">
        <v>43947.918333333333</v>
      </c>
      <c r="I883" t="s">
        <v>50</v>
      </c>
      <c r="J883" s="5">
        <v>.9999999999999999999999999999999999999996</v>
      </c>
      <c r="K883" t="s">
        <v>38</v>
      </c>
      <c r="M883">
        <v>62345</v>
      </c>
      <c r="N883" t="s">
        <v>94</v>
      </c>
      <c r="O883" t="s">
        <v>95</v>
      </c>
      <c r="P883" t="s">
        <v>38</v>
      </c>
      <c r="Q883" t="s">
        <v>50</v>
      </c>
      <c r="R883">
        <v>.9999999999999999999999999999999999999996</v>
      </c>
      <c r="S883" t="s">
        <v>45</v>
      </c>
      <c r="T883" t="str" s="2">
        <f>=HYPERLINK("http://demo.enginatics.com:80/ecc/user/applications/log/62344.log","http://demo.enginatics.com:80/ecc/user/applications/log/62344.log")</f>
        <v>"http://demo.enginatics.com:80/ecc/user/applications/log/62344.log")</v>
      </c>
      <c r="U883">
        <v>62346</v>
      </c>
      <c r="V883" t="s">
        <v>38</v>
      </c>
      <c r="W883" t="s">
        <v>50</v>
      </c>
      <c r="X883">
        <v>.9999999999999999999999999999999999999996</v>
      </c>
      <c r="Y883">
        <v>0</v>
      </c>
      <c r="Z883" t="s">
        <v>46</v>
      </c>
      <c r="AA883">
        <v>62347</v>
      </c>
      <c r="AB883" t="s">
        <v>99</v>
      </c>
      <c r="AC883" t="s">
        <v>68</v>
      </c>
      <c r="AD883" t="s">
        <v>38</v>
      </c>
      <c r="AE883" t="s">
        <v>49</v>
      </c>
      <c r="AF883" t="s">
        <v>50</v>
      </c>
      <c r="AG883">
        <v>0</v>
      </c>
      <c r="AH883">
        <v>0</v>
      </c>
      <c r="AI883" t="s">
        <v>51</v>
      </c>
      <c r="AJ883" t="s">
        <v>51</v>
      </c>
      <c r="AK883" t="s">
        <v>51</v>
      </c>
    </row>
    <row r="884" spans="1:37" x14ac:dyDescent="0.2">
      <c r="A884">
        <v>62338</v>
      </c>
      <c r="B884" t="s">
        <v>37</v>
      </c>
      <c r="C884" t="s">
        <v>38</v>
      </c>
      <c r="D884" t="s">
        <v>93</v>
      </c>
      <c r="E884" t="s">
        <v>100</v>
      </c>
      <c r="G884" s="4">
        <v>43947.918229166667</v>
      </c>
      <c r="H884" s="4">
        <v>43947.918240740741</v>
      </c>
      <c r="I884" t="s">
        <v>50</v>
      </c>
      <c r="J884" s="5">
        <v>.9999999999999999999999999999999999999996</v>
      </c>
      <c r="K884" t="s">
        <v>38</v>
      </c>
      <c r="M884">
        <v>62339</v>
      </c>
      <c r="N884" t="s">
        <v>100</v>
      </c>
      <c r="O884" t="s">
        <v>101</v>
      </c>
      <c r="P884" t="s">
        <v>38</v>
      </c>
      <c r="Q884" t="s">
        <v>50</v>
      </c>
      <c r="R884">
        <v>.9999999999999999999999999999999999999996</v>
      </c>
      <c r="S884" t="s">
        <v>45</v>
      </c>
      <c r="T884" t="str" s="2">
        <f>=HYPERLINK("http://demo.enginatics.com:80/ecc/user/applications/log/62338.log","http://demo.enginatics.com:80/ecc/user/applications/log/62338.log")</f>
        <v>"http://demo.enginatics.com:80/ecc/user/applications/log/62338.log")</v>
      </c>
      <c r="U884">
        <v>62340</v>
      </c>
      <c r="V884" t="s">
        <v>38</v>
      </c>
      <c r="W884" t="s">
        <v>50</v>
      </c>
      <c r="X884">
        <v>.9999999999999999999999999999999999999996</v>
      </c>
      <c r="Y884">
        <v>1</v>
      </c>
      <c r="Z884" t="s">
        <v>46</v>
      </c>
      <c r="AA884">
        <v>62343</v>
      </c>
      <c r="AB884" t="s">
        <v>102</v>
      </c>
      <c r="AC884" t="s">
        <v>103</v>
      </c>
      <c r="AD884" t="s">
        <v>38</v>
      </c>
      <c r="AE884" t="s">
        <v>49</v>
      </c>
      <c r="AF884" t="s">
        <v>50</v>
      </c>
      <c r="AG884">
        <v>0</v>
      </c>
      <c r="AH884">
        <v>0</v>
      </c>
      <c r="AI884" t="s">
        <v>51</v>
      </c>
      <c r="AJ884" t="s">
        <v>51</v>
      </c>
      <c r="AK884" t="s">
        <v>51</v>
      </c>
    </row>
    <row r="885" spans="1:37" x14ac:dyDescent="0.2">
      <c r="A885">
        <v>62338</v>
      </c>
      <c r="B885" t="s">
        <v>37</v>
      </c>
      <c r="C885" t="s">
        <v>38</v>
      </c>
      <c r="D885" t="s">
        <v>93</v>
      </c>
      <c r="E885" t="s">
        <v>100</v>
      </c>
      <c r="G885" s="4">
        <v>43947.918229166667</v>
      </c>
      <c r="H885" s="4">
        <v>43947.918240740741</v>
      </c>
      <c r="I885" t="s">
        <v>50</v>
      </c>
      <c r="J885" s="5">
        <v>.9999999999999999999999999999999999999996</v>
      </c>
      <c r="K885" t="s">
        <v>38</v>
      </c>
      <c r="M885">
        <v>62339</v>
      </c>
      <c r="N885" t="s">
        <v>100</v>
      </c>
      <c r="O885" t="s">
        <v>101</v>
      </c>
      <c r="P885" t="s">
        <v>38</v>
      </c>
      <c r="Q885" t="s">
        <v>50</v>
      </c>
      <c r="R885">
        <v>.9999999999999999999999999999999999999996</v>
      </c>
      <c r="S885" t="s">
        <v>45</v>
      </c>
      <c r="T885" t="str" s="2">
        <f>=HYPERLINK("http://demo.enginatics.com:80/ecc/user/applications/log/62338.log","http://demo.enginatics.com:80/ecc/user/applications/log/62338.log")</f>
        <v>"http://demo.enginatics.com:80/ecc/user/applications/log/62338.log")</v>
      </c>
      <c r="U885">
        <v>62340</v>
      </c>
      <c r="V885" t="s">
        <v>38</v>
      </c>
      <c r="W885" t="s">
        <v>50</v>
      </c>
      <c r="X885">
        <v>.9999999999999999999999999999999999999996</v>
      </c>
      <c r="Y885">
        <v>1</v>
      </c>
      <c r="Z885" t="s">
        <v>46</v>
      </c>
      <c r="AA885">
        <v>62342</v>
      </c>
      <c r="AB885" t="s">
        <v>104</v>
      </c>
      <c r="AC885" t="s">
        <v>56</v>
      </c>
      <c r="AD885" t="s">
        <v>38</v>
      </c>
      <c r="AE885" t="s">
        <v>49</v>
      </c>
      <c r="AF885" t="s">
        <v>50</v>
      </c>
      <c r="AG885">
        <v>0</v>
      </c>
      <c r="AH885">
        <v>0</v>
      </c>
      <c r="AI885" t="s">
        <v>51</v>
      </c>
      <c r="AJ885" t="s">
        <v>51</v>
      </c>
      <c r="AK885" t="s">
        <v>51</v>
      </c>
    </row>
    <row r="886" spans="1:37" x14ac:dyDescent="0.2">
      <c r="A886">
        <v>62338</v>
      </c>
      <c r="B886" t="s">
        <v>37</v>
      </c>
      <c r="C886" t="s">
        <v>38</v>
      </c>
      <c r="D886" t="s">
        <v>93</v>
      </c>
      <c r="E886" t="s">
        <v>100</v>
      </c>
      <c r="G886" s="4">
        <v>43947.918229166667</v>
      </c>
      <c r="H886" s="4">
        <v>43947.918240740741</v>
      </c>
      <c r="I886" t="s">
        <v>50</v>
      </c>
      <c r="J886" s="5">
        <v>.9999999999999999999999999999999999999996</v>
      </c>
      <c r="K886" t="s">
        <v>38</v>
      </c>
      <c r="M886">
        <v>62339</v>
      </c>
      <c r="N886" t="s">
        <v>100</v>
      </c>
      <c r="O886" t="s">
        <v>101</v>
      </c>
      <c r="P886" t="s">
        <v>38</v>
      </c>
      <c r="Q886" t="s">
        <v>50</v>
      </c>
      <c r="R886">
        <v>.9999999999999999999999999999999999999996</v>
      </c>
      <c r="S886" t="s">
        <v>45</v>
      </c>
      <c r="T886" t="str" s="2">
        <f>=HYPERLINK("http://demo.enginatics.com:80/ecc/user/applications/log/62338.log","http://demo.enginatics.com:80/ecc/user/applications/log/62338.log")</f>
        <v>"http://demo.enginatics.com:80/ecc/user/applications/log/62338.log")</v>
      </c>
      <c r="U886">
        <v>62340</v>
      </c>
      <c r="V886" t="s">
        <v>38</v>
      </c>
      <c r="W886" t="s">
        <v>50</v>
      </c>
      <c r="X886">
        <v>.9999999999999999999999999999999999999996</v>
      </c>
      <c r="Y886">
        <v>1</v>
      </c>
      <c r="Z886" t="s">
        <v>46</v>
      </c>
      <c r="AA886">
        <v>62341</v>
      </c>
      <c r="AB886" t="s">
        <v>105</v>
      </c>
      <c r="AC886" t="s">
        <v>68</v>
      </c>
      <c r="AD886" t="s">
        <v>38</v>
      </c>
      <c r="AE886" t="s">
        <v>49</v>
      </c>
      <c r="AF886" t="s">
        <v>50</v>
      </c>
      <c r="AG886">
        <v>0</v>
      </c>
      <c r="AH886">
        <v>0</v>
      </c>
      <c r="AI886" t="s">
        <v>51</v>
      </c>
      <c r="AJ886" t="s">
        <v>51</v>
      </c>
      <c r="AK886" t="s">
        <v>51</v>
      </c>
    </row>
    <row r="887" spans="1:37" x14ac:dyDescent="0.2">
      <c r="A887">
        <v>62330</v>
      </c>
      <c r="B887" t="s">
        <v>37</v>
      </c>
      <c r="C887" t="s">
        <v>38</v>
      </c>
      <c r="D887" t="s">
        <v>106</v>
      </c>
      <c r="E887" t="s">
        <v>40</v>
      </c>
      <c r="G887" s="4">
        <v>43947.83244212963</v>
      </c>
      <c r="H887" s="4">
        <v>43947.8325</v>
      </c>
      <c r="I887" t="s">
        <v>78</v>
      </c>
      <c r="J887" s="5">
        <v>5</v>
      </c>
      <c r="K887" t="s">
        <v>38</v>
      </c>
      <c r="M887">
        <v>62337</v>
      </c>
      <c r="N887" t="s">
        <v>107</v>
      </c>
      <c r="O887" t="s">
        <v>108</v>
      </c>
      <c r="P887" t="s">
        <v>38</v>
      </c>
      <c r="Q887" t="s">
        <v>50</v>
      </c>
      <c r="R887">
        <v>0</v>
      </c>
      <c r="S887" t="s">
        <v>109</v>
      </c>
      <c r="T887" t="str" s="2">
        <f>=HYPERLINK("http://demo.enginatics.com:80/ecc/user/applications/log/62330.log","http://demo.enginatics.com:80/ecc/user/applications/log/62330.log")</f>
        <v>"http://demo.enginatics.com:80/ecc/user/applications/log/62330.log")</v>
      </c>
    </row>
    <row r="888" spans="1:37" x14ac:dyDescent="0.2">
      <c r="A888">
        <v>62330</v>
      </c>
      <c r="B888" t="s">
        <v>37</v>
      </c>
      <c r="C888" t="s">
        <v>38</v>
      </c>
      <c r="D888" t="s">
        <v>106</v>
      </c>
      <c r="E888" t="s">
        <v>40</v>
      </c>
      <c r="G888" s="4">
        <v>43947.83244212963</v>
      </c>
      <c r="H888" s="4">
        <v>43947.8325</v>
      </c>
      <c r="I888" t="s">
        <v>78</v>
      </c>
      <c r="J888" s="5">
        <v>5</v>
      </c>
      <c r="K888" t="s">
        <v>38</v>
      </c>
      <c r="M888">
        <v>62336</v>
      </c>
      <c r="N888" t="s">
        <v>110</v>
      </c>
      <c r="O888" t="s">
        <v>111</v>
      </c>
      <c r="P888" t="s">
        <v>38</v>
      </c>
      <c r="Q888" t="s">
        <v>50</v>
      </c>
      <c r="R888">
        <v>0</v>
      </c>
      <c r="S888" t="s">
        <v>112</v>
      </c>
      <c r="T888" t="str" s="2">
        <f>=HYPERLINK("http://demo.enginatics.com:80/ecc/user/applications/log/62330.log","http://demo.enginatics.com:80/ecc/user/applications/log/62330.log")</f>
        <v>"http://demo.enginatics.com:80/ecc/user/applications/log/62330.log")</v>
      </c>
    </row>
    <row r="889" spans="1:37" x14ac:dyDescent="0.2">
      <c r="A889">
        <v>62330</v>
      </c>
      <c r="B889" t="s">
        <v>37</v>
      </c>
      <c r="C889" t="s">
        <v>38</v>
      </c>
      <c r="D889" t="s">
        <v>106</v>
      </c>
      <c r="E889" t="s">
        <v>40</v>
      </c>
      <c r="G889" s="4">
        <v>43947.83244212963</v>
      </c>
      <c r="H889" s="4">
        <v>43947.8325</v>
      </c>
      <c r="I889" t="s">
        <v>78</v>
      </c>
      <c r="J889" s="5">
        <v>5</v>
      </c>
      <c r="K889" t="s">
        <v>38</v>
      </c>
      <c r="M889">
        <v>62335</v>
      </c>
      <c r="N889" t="s">
        <v>113</v>
      </c>
      <c r="O889" t="s">
        <v>106</v>
      </c>
      <c r="P889" t="s">
        <v>38</v>
      </c>
      <c r="Q889" t="s">
        <v>50</v>
      </c>
      <c r="R889">
        <v>0</v>
      </c>
      <c r="S889" t="s">
        <v>114</v>
      </c>
      <c r="T889" t="str" s="2">
        <f>=HYPERLINK("http://demo.enginatics.com:80/ecc/user/applications/log/62330.log","http://demo.enginatics.com:80/ecc/user/applications/log/62330.log")</f>
        <v>"http://demo.enginatics.com:80/ecc/user/applications/log/62330.log")</v>
      </c>
    </row>
    <row r="890" spans="1:37" x14ac:dyDescent="0.2">
      <c r="A890">
        <v>62330</v>
      </c>
      <c r="B890" t="s">
        <v>37</v>
      </c>
      <c r="C890" t="s">
        <v>38</v>
      </c>
      <c r="D890" t="s">
        <v>106</v>
      </c>
      <c r="E890" t="s">
        <v>40</v>
      </c>
      <c r="G890" s="4">
        <v>43947.83244212963</v>
      </c>
      <c r="H890" s="4">
        <v>43947.8325</v>
      </c>
      <c r="I890" t="s">
        <v>78</v>
      </c>
      <c r="J890" s="5">
        <v>5</v>
      </c>
      <c r="K890" t="s">
        <v>38</v>
      </c>
      <c r="M890">
        <v>62331</v>
      </c>
      <c r="N890" t="s">
        <v>115</v>
      </c>
      <c r="O890" t="s">
        <v>116</v>
      </c>
      <c r="P890" t="s">
        <v>38</v>
      </c>
      <c r="Q890" t="s">
        <v>78</v>
      </c>
      <c r="R890">
        <v>5</v>
      </c>
      <c r="S890" t="s">
        <v>45</v>
      </c>
      <c r="T890" t="str" s="2">
        <f>=HYPERLINK("http://demo.enginatics.com:80/ecc/user/applications/log/62330.log","http://demo.enginatics.com:80/ecc/user/applications/log/62330.log")</f>
        <v>"http://demo.enginatics.com:80/ecc/user/applications/log/62330.log")</v>
      </c>
      <c r="U890">
        <v>62332</v>
      </c>
      <c r="V890" t="s">
        <v>38</v>
      </c>
      <c r="W890" t="s">
        <v>78</v>
      </c>
      <c r="X890">
        <v>5</v>
      </c>
      <c r="Y890">
        <v>0</v>
      </c>
      <c r="Z890" t="s">
        <v>46</v>
      </c>
      <c r="AA890">
        <v>62334</v>
      </c>
      <c r="AB890" t="s">
        <v>881</v>
      </c>
      <c r="AC890" t="s">
        <v>68</v>
      </c>
      <c r="AD890" t="s">
        <v>38</v>
      </c>
      <c r="AE890" t="s">
        <v>49</v>
      </c>
      <c r="AF890" t="s">
        <v>50</v>
      </c>
      <c r="AG890">
        <v>0</v>
      </c>
      <c r="AH890">
        <v>0</v>
      </c>
      <c r="AI890" t="s">
        <v>51</v>
      </c>
      <c r="AJ890" t="s">
        <v>51</v>
      </c>
      <c r="AK890" t="s">
        <v>51</v>
      </c>
    </row>
    <row r="891" spans="1:37" x14ac:dyDescent="0.2">
      <c r="A891">
        <v>62330</v>
      </c>
      <c r="B891" t="s">
        <v>37</v>
      </c>
      <c r="C891" t="s">
        <v>38</v>
      </c>
      <c r="D891" t="s">
        <v>106</v>
      </c>
      <c r="E891" t="s">
        <v>40</v>
      </c>
      <c r="G891" s="4">
        <v>43947.83244212963</v>
      </c>
      <c r="H891" s="4">
        <v>43947.8325</v>
      </c>
      <c r="I891" t="s">
        <v>78</v>
      </c>
      <c r="J891" s="5">
        <v>5</v>
      </c>
      <c r="K891" t="s">
        <v>38</v>
      </c>
      <c r="M891">
        <v>62331</v>
      </c>
      <c r="N891" t="s">
        <v>115</v>
      </c>
      <c r="O891" t="s">
        <v>116</v>
      </c>
      <c r="P891" t="s">
        <v>38</v>
      </c>
      <c r="Q891" t="s">
        <v>78</v>
      </c>
      <c r="R891">
        <v>5</v>
      </c>
      <c r="S891" t="s">
        <v>45</v>
      </c>
      <c r="T891" t="str" s="2">
        <f>=HYPERLINK("http://demo.enginatics.com:80/ecc/user/applications/log/62330.log","http://demo.enginatics.com:80/ecc/user/applications/log/62330.log")</f>
        <v>"http://demo.enginatics.com:80/ecc/user/applications/log/62330.log")</v>
      </c>
      <c r="U891">
        <v>62332</v>
      </c>
      <c r="V891" t="s">
        <v>38</v>
      </c>
      <c r="W891" t="s">
        <v>78</v>
      </c>
      <c r="X891">
        <v>5</v>
      </c>
      <c r="Y891">
        <v>0</v>
      </c>
      <c r="Z891" t="s">
        <v>46</v>
      </c>
      <c r="AA891">
        <v>62333</v>
      </c>
      <c r="AB891" t="s">
        <v>882</v>
      </c>
      <c r="AC891" t="s">
        <v>56</v>
      </c>
      <c r="AD891" t="s">
        <v>38</v>
      </c>
      <c r="AE891" t="s">
        <v>49</v>
      </c>
      <c r="AF891" t="s">
        <v>50</v>
      </c>
      <c r="AG891">
        <v>0</v>
      </c>
      <c r="AH891">
        <v>0</v>
      </c>
      <c r="AI891" t="s">
        <v>51</v>
      </c>
      <c r="AJ891" t="s">
        <v>51</v>
      </c>
      <c r="AK891" t="s">
        <v>51</v>
      </c>
    </row>
    <row r="892" spans="1:37" x14ac:dyDescent="0.2">
      <c r="A892">
        <v>62326</v>
      </c>
      <c r="B892" t="s">
        <v>37</v>
      </c>
      <c r="C892" t="s">
        <v>38</v>
      </c>
      <c r="D892" t="s">
        <v>119</v>
      </c>
      <c r="E892" t="s">
        <v>40</v>
      </c>
      <c r="G892" s="4">
        <v>43947.786921296296</v>
      </c>
      <c r="H892" s="4">
        <v>43947.786921296296</v>
      </c>
      <c r="I892" t="s">
        <v>50</v>
      </c>
      <c r="J892" s="5">
        <v>0</v>
      </c>
      <c r="K892" t="s">
        <v>38</v>
      </c>
      <c r="M892">
        <v>62327</v>
      </c>
      <c r="N892" t="s">
        <v>120</v>
      </c>
      <c r="O892" t="s">
        <v>121</v>
      </c>
      <c r="P892" t="s">
        <v>38</v>
      </c>
      <c r="Q892" t="s">
        <v>50</v>
      </c>
      <c r="R892">
        <v>0</v>
      </c>
      <c r="S892" t="s">
        <v>45</v>
      </c>
      <c r="T892" t="str" s="2">
        <f>=HYPERLINK("http://demo.enginatics.com:80/ecc/user/applications/log/62326.log","http://demo.enginatics.com:80/ecc/user/applications/log/62326.log")</f>
        <v>"http://demo.enginatics.com:80/ecc/user/applications/log/62326.log")</v>
      </c>
      <c r="U892">
        <v>62328</v>
      </c>
      <c r="V892" t="s">
        <v>38</v>
      </c>
      <c r="W892" t="s">
        <v>50</v>
      </c>
      <c r="X892">
        <v>0</v>
      </c>
      <c r="Y892">
        <v>0</v>
      </c>
      <c r="Z892" t="s">
        <v>46</v>
      </c>
      <c r="AA892">
        <v>62329</v>
      </c>
      <c r="AB892" t="s">
        <v>122</v>
      </c>
      <c r="AC892" t="s">
        <v>68</v>
      </c>
      <c r="AD892" t="s">
        <v>38</v>
      </c>
      <c r="AE892" t="s">
        <v>49</v>
      </c>
      <c r="AF892" t="s">
        <v>50</v>
      </c>
      <c r="AG892">
        <v>0</v>
      </c>
      <c r="AH892">
        <v>0</v>
      </c>
      <c r="AI892" t="s">
        <v>51</v>
      </c>
      <c r="AJ892" t="s">
        <v>51</v>
      </c>
      <c r="AK892" t="s">
        <v>51</v>
      </c>
    </row>
    <row r="893" spans="1:37" x14ac:dyDescent="0.2">
      <c r="A893">
        <v>62319</v>
      </c>
      <c r="B893" t="s">
        <v>37</v>
      </c>
      <c r="C893" t="s">
        <v>38</v>
      </c>
      <c r="D893" t="s">
        <v>123</v>
      </c>
      <c r="E893" t="s">
        <v>40</v>
      </c>
      <c r="G893" s="4">
        <v>43947.78337962963</v>
      </c>
      <c r="H893" s="4">
        <v>43947.783391203704</v>
      </c>
      <c r="I893" t="s">
        <v>50</v>
      </c>
      <c r="J893" s="5">
        <v>.9999999999999999999999999999999999999996</v>
      </c>
      <c r="K893" t="s">
        <v>38</v>
      </c>
      <c r="M893">
        <v>62323</v>
      </c>
      <c r="N893" t="s">
        <v>124</v>
      </c>
      <c r="O893" t="s">
        <v>125</v>
      </c>
      <c r="P893" t="s">
        <v>38</v>
      </c>
      <c r="Q893" t="s">
        <v>50</v>
      </c>
      <c r="R893">
        <v>0</v>
      </c>
      <c r="S893" t="s">
        <v>45</v>
      </c>
      <c r="T893" t="str" s="2">
        <f>=HYPERLINK("http://demo.enginatics.com:80/ecc/user/applications/log/62319.log","http://demo.enginatics.com:80/ecc/user/applications/log/62319.log")</f>
        <v>"http://demo.enginatics.com:80/ecc/user/applications/log/62319.log")</v>
      </c>
      <c r="U893">
        <v>62324</v>
      </c>
      <c r="V893" t="s">
        <v>38</v>
      </c>
      <c r="W893" t="s">
        <v>50</v>
      </c>
      <c r="X893">
        <v>0</v>
      </c>
      <c r="Y893">
        <v>0</v>
      </c>
      <c r="Z893" t="s">
        <v>46</v>
      </c>
      <c r="AA893">
        <v>62325</v>
      </c>
      <c r="AB893" t="s">
        <v>1151</v>
      </c>
      <c r="AC893" t="s">
        <v>68</v>
      </c>
      <c r="AD893" t="s">
        <v>38</v>
      </c>
      <c r="AE893" t="s">
        <v>49</v>
      </c>
      <c r="AF893" t="s">
        <v>50</v>
      </c>
      <c r="AG893">
        <v>0</v>
      </c>
      <c r="AH893">
        <v>0</v>
      </c>
      <c r="AI893" t="s">
        <v>51</v>
      </c>
      <c r="AJ893" t="s">
        <v>51</v>
      </c>
      <c r="AK893" t="s">
        <v>51</v>
      </c>
    </row>
    <row r="894" spans="1:37" x14ac:dyDescent="0.2">
      <c r="A894">
        <v>62319</v>
      </c>
      <c r="B894" t="s">
        <v>37</v>
      </c>
      <c r="C894" t="s">
        <v>38</v>
      </c>
      <c r="D894" t="s">
        <v>123</v>
      </c>
      <c r="E894" t="s">
        <v>40</v>
      </c>
      <c r="G894" s="4">
        <v>43947.78337962963</v>
      </c>
      <c r="H894" s="4">
        <v>43947.783391203704</v>
      </c>
      <c r="I894" t="s">
        <v>50</v>
      </c>
      <c r="J894" s="5">
        <v>.9999999999999999999999999999999999999996</v>
      </c>
      <c r="K894" t="s">
        <v>38</v>
      </c>
      <c r="M894">
        <v>62320</v>
      </c>
      <c r="N894" t="s">
        <v>127</v>
      </c>
      <c r="O894" t="s">
        <v>128</v>
      </c>
      <c r="P894" t="s">
        <v>38</v>
      </c>
      <c r="Q894" t="s">
        <v>50</v>
      </c>
      <c r="R894">
        <v>.9999999999999999999999999999999999999996</v>
      </c>
      <c r="S894" t="s">
        <v>45</v>
      </c>
      <c r="T894" t="str" s="2">
        <f>=HYPERLINK("http://demo.enginatics.com:80/ecc/user/applications/log/62319.log","http://demo.enginatics.com:80/ecc/user/applications/log/62319.log")</f>
        <v>"http://demo.enginatics.com:80/ecc/user/applications/log/62319.log")</v>
      </c>
      <c r="U894">
        <v>62321</v>
      </c>
      <c r="V894" t="s">
        <v>38</v>
      </c>
      <c r="W894" t="s">
        <v>50</v>
      </c>
      <c r="X894">
        <v>.9999999999999999999999999999999999999996</v>
      </c>
      <c r="Y894">
        <v>0</v>
      </c>
      <c r="Z894" t="s">
        <v>46</v>
      </c>
      <c r="AA894">
        <v>62322</v>
      </c>
      <c r="AB894" t="s">
        <v>1152</v>
      </c>
      <c r="AC894" t="s">
        <v>68</v>
      </c>
      <c r="AD894" t="s">
        <v>38</v>
      </c>
      <c r="AE894" t="s">
        <v>49</v>
      </c>
      <c r="AF894" t="s">
        <v>50</v>
      </c>
      <c r="AG894">
        <v>.9999999999999999999999999999999999999996</v>
      </c>
      <c r="AH894">
        <v>0</v>
      </c>
      <c r="AI894" t="s">
        <v>51</v>
      </c>
      <c r="AJ894" t="s">
        <v>51</v>
      </c>
      <c r="AK894" t="s">
        <v>51</v>
      </c>
    </row>
    <row r="895" spans="1:37" x14ac:dyDescent="0.2">
      <c r="A895">
        <v>62280</v>
      </c>
      <c r="B895" t="s">
        <v>37</v>
      </c>
      <c r="C895" t="s">
        <v>38</v>
      </c>
      <c r="D895" t="s">
        <v>130</v>
      </c>
      <c r="E895" t="s">
        <v>40</v>
      </c>
      <c r="G895" s="4">
        <v>43947.699212962963</v>
      </c>
      <c r="H895" s="4">
        <v>43947.699247685185</v>
      </c>
      <c r="I895" t="s">
        <v>85</v>
      </c>
      <c r="J895" s="5">
        <v>3</v>
      </c>
      <c r="K895" t="s">
        <v>38</v>
      </c>
      <c r="M895">
        <v>62307</v>
      </c>
      <c r="N895" t="s">
        <v>131</v>
      </c>
      <c r="O895" t="s">
        <v>132</v>
      </c>
      <c r="P895" t="s">
        <v>38</v>
      </c>
      <c r="Q895" t="s">
        <v>88</v>
      </c>
      <c r="R895">
        <v>2</v>
      </c>
      <c r="S895" t="s">
        <v>45</v>
      </c>
      <c r="T895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895">
        <v>62308</v>
      </c>
      <c r="V895" t="s">
        <v>38</v>
      </c>
      <c r="W895" t="s">
        <v>88</v>
      </c>
      <c r="X895">
        <v>2</v>
      </c>
      <c r="Y895">
        <v>0</v>
      </c>
      <c r="Z895" t="s">
        <v>46</v>
      </c>
      <c r="AA895">
        <v>62318</v>
      </c>
      <c r="AB895" t="s">
        <v>885</v>
      </c>
      <c r="AC895" t="s">
        <v>48</v>
      </c>
      <c r="AD895" t="s">
        <v>38</v>
      </c>
      <c r="AE895" t="s">
        <v>49</v>
      </c>
      <c r="AF895" t="s">
        <v>50</v>
      </c>
      <c r="AG895">
        <v>0</v>
      </c>
      <c r="AH895">
        <v>0</v>
      </c>
      <c r="AI895" t="s">
        <v>51</v>
      </c>
      <c r="AJ895" t="s">
        <v>51</v>
      </c>
      <c r="AK895" t="s">
        <v>51</v>
      </c>
    </row>
    <row r="896" spans="1:37" x14ac:dyDescent="0.2">
      <c r="A896">
        <v>62280</v>
      </c>
      <c r="B896" t="s">
        <v>37</v>
      </c>
      <c r="C896" t="s">
        <v>38</v>
      </c>
      <c r="D896" t="s">
        <v>130</v>
      </c>
      <c r="E896" t="s">
        <v>40</v>
      </c>
      <c r="G896" s="4">
        <v>43947.699212962963</v>
      </c>
      <c r="H896" s="4">
        <v>43947.699247685185</v>
      </c>
      <c r="I896" t="s">
        <v>85</v>
      </c>
      <c r="J896" s="5">
        <v>3</v>
      </c>
      <c r="K896" t="s">
        <v>38</v>
      </c>
      <c r="M896">
        <v>62307</v>
      </c>
      <c r="N896" t="s">
        <v>131</v>
      </c>
      <c r="O896" t="s">
        <v>132</v>
      </c>
      <c r="P896" t="s">
        <v>38</v>
      </c>
      <c r="Q896" t="s">
        <v>88</v>
      </c>
      <c r="R896">
        <v>2</v>
      </c>
      <c r="S896" t="s">
        <v>45</v>
      </c>
      <c r="T896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896">
        <v>62308</v>
      </c>
      <c r="V896" t="s">
        <v>38</v>
      </c>
      <c r="W896" t="s">
        <v>88</v>
      </c>
      <c r="X896">
        <v>2</v>
      </c>
      <c r="Y896">
        <v>0</v>
      </c>
      <c r="Z896" t="s">
        <v>46</v>
      </c>
      <c r="AA896">
        <v>62317</v>
      </c>
      <c r="AB896" t="s">
        <v>886</v>
      </c>
      <c r="AC896" t="s">
        <v>48</v>
      </c>
      <c r="AD896" t="s">
        <v>38</v>
      </c>
      <c r="AE896" t="s">
        <v>49</v>
      </c>
      <c r="AF896" t="s">
        <v>50</v>
      </c>
      <c r="AG896">
        <v>0</v>
      </c>
      <c r="AH896">
        <v>0</v>
      </c>
      <c r="AI896" t="s">
        <v>51</v>
      </c>
      <c r="AJ896" t="s">
        <v>51</v>
      </c>
      <c r="AK896" t="s">
        <v>51</v>
      </c>
    </row>
    <row r="897" spans="1:37" x14ac:dyDescent="0.2">
      <c r="A897">
        <v>62280</v>
      </c>
      <c r="B897" t="s">
        <v>37</v>
      </c>
      <c r="C897" t="s">
        <v>38</v>
      </c>
      <c r="D897" t="s">
        <v>130</v>
      </c>
      <c r="E897" t="s">
        <v>40</v>
      </c>
      <c r="G897" s="4">
        <v>43947.699212962963</v>
      </c>
      <c r="H897" s="4">
        <v>43947.699247685185</v>
      </c>
      <c r="I897" t="s">
        <v>85</v>
      </c>
      <c r="J897" s="5">
        <v>3</v>
      </c>
      <c r="K897" t="s">
        <v>38</v>
      </c>
      <c r="M897">
        <v>62307</v>
      </c>
      <c r="N897" t="s">
        <v>131</v>
      </c>
      <c r="O897" t="s">
        <v>132</v>
      </c>
      <c r="P897" t="s">
        <v>38</v>
      </c>
      <c r="Q897" t="s">
        <v>88</v>
      </c>
      <c r="R897">
        <v>2</v>
      </c>
      <c r="S897" t="s">
        <v>45</v>
      </c>
      <c r="T897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897">
        <v>62308</v>
      </c>
      <c r="V897" t="s">
        <v>38</v>
      </c>
      <c r="W897" t="s">
        <v>88</v>
      </c>
      <c r="X897">
        <v>2</v>
      </c>
      <c r="Y897">
        <v>0</v>
      </c>
      <c r="Z897" t="s">
        <v>46</v>
      </c>
      <c r="AA897">
        <v>62316</v>
      </c>
      <c r="AB897" t="s">
        <v>887</v>
      </c>
      <c r="AC897" t="s">
        <v>48</v>
      </c>
      <c r="AD897" t="s">
        <v>38</v>
      </c>
      <c r="AE897" t="s">
        <v>49</v>
      </c>
      <c r="AF897" t="s">
        <v>50</v>
      </c>
      <c r="AG897">
        <v>.9999999999999999999999999999999999999996</v>
      </c>
      <c r="AH897">
        <v>0</v>
      </c>
      <c r="AI897" t="s">
        <v>51</v>
      </c>
      <c r="AJ897" t="s">
        <v>51</v>
      </c>
      <c r="AK897" t="s">
        <v>51</v>
      </c>
    </row>
    <row r="898" spans="1:37" x14ac:dyDescent="0.2">
      <c r="A898">
        <v>62280</v>
      </c>
      <c r="B898" t="s">
        <v>37</v>
      </c>
      <c r="C898" t="s">
        <v>38</v>
      </c>
      <c r="D898" t="s">
        <v>130</v>
      </c>
      <c r="E898" t="s">
        <v>40</v>
      </c>
      <c r="G898" s="4">
        <v>43947.699212962963</v>
      </c>
      <c r="H898" s="4">
        <v>43947.699247685185</v>
      </c>
      <c r="I898" t="s">
        <v>85</v>
      </c>
      <c r="J898" s="5">
        <v>3</v>
      </c>
      <c r="K898" t="s">
        <v>38</v>
      </c>
      <c r="M898">
        <v>62307</v>
      </c>
      <c r="N898" t="s">
        <v>131</v>
      </c>
      <c r="O898" t="s">
        <v>132</v>
      </c>
      <c r="P898" t="s">
        <v>38</v>
      </c>
      <c r="Q898" t="s">
        <v>88</v>
      </c>
      <c r="R898">
        <v>2</v>
      </c>
      <c r="S898" t="s">
        <v>45</v>
      </c>
      <c r="T898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898">
        <v>62308</v>
      </c>
      <c r="V898" t="s">
        <v>38</v>
      </c>
      <c r="W898" t="s">
        <v>88</v>
      </c>
      <c r="X898">
        <v>2</v>
      </c>
      <c r="Y898">
        <v>0</v>
      </c>
      <c r="Z898" t="s">
        <v>46</v>
      </c>
      <c r="AA898">
        <v>62315</v>
      </c>
      <c r="AB898" t="s">
        <v>888</v>
      </c>
      <c r="AC898" t="s">
        <v>48</v>
      </c>
      <c r="AD898" t="s">
        <v>38</v>
      </c>
      <c r="AE898" t="s">
        <v>49</v>
      </c>
      <c r="AF898" t="s">
        <v>50</v>
      </c>
      <c r="AG898">
        <v>0</v>
      </c>
      <c r="AH898">
        <v>0</v>
      </c>
      <c r="AI898" t="s">
        <v>51</v>
      </c>
      <c r="AJ898" t="s">
        <v>51</v>
      </c>
      <c r="AK898" t="s">
        <v>51</v>
      </c>
    </row>
    <row r="899" spans="1:37" x14ac:dyDescent="0.2">
      <c r="A899">
        <v>62280</v>
      </c>
      <c r="B899" t="s">
        <v>37</v>
      </c>
      <c r="C899" t="s">
        <v>38</v>
      </c>
      <c r="D899" t="s">
        <v>130</v>
      </c>
      <c r="E899" t="s">
        <v>40</v>
      </c>
      <c r="G899" s="4">
        <v>43947.699212962963</v>
      </c>
      <c r="H899" s="4">
        <v>43947.699247685185</v>
      </c>
      <c r="I899" t="s">
        <v>85</v>
      </c>
      <c r="J899" s="5">
        <v>3</v>
      </c>
      <c r="K899" t="s">
        <v>38</v>
      </c>
      <c r="M899">
        <v>62307</v>
      </c>
      <c r="N899" t="s">
        <v>131</v>
      </c>
      <c r="O899" t="s">
        <v>132</v>
      </c>
      <c r="P899" t="s">
        <v>38</v>
      </c>
      <c r="Q899" t="s">
        <v>88</v>
      </c>
      <c r="R899">
        <v>2</v>
      </c>
      <c r="S899" t="s">
        <v>45</v>
      </c>
      <c r="T899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899">
        <v>62308</v>
      </c>
      <c r="V899" t="s">
        <v>38</v>
      </c>
      <c r="W899" t="s">
        <v>88</v>
      </c>
      <c r="X899">
        <v>2</v>
      </c>
      <c r="Y899">
        <v>0</v>
      </c>
      <c r="Z899" t="s">
        <v>46</v>
      </c>
      <c r="AA899">
        <v>62314</v>
      </c>
      <c r="AB899" t="s">
        <v>889</v>
      </c>
      <c r="AC899" t="s">
        <v>48</v>
      </c>
      <c r="AD899" t="s">
        <v>38</v>
      </c>
      <c r="AE899" t="s">
        <v>49</v>
      </c>
      <c r="AF899" t="s">
        <v>50</v>
      </c>
      <c r="AG899">
        <v>0</v>
      </c>
      <c r="AH899">
        <v>0</v>
      </c>
      <c r="AI899" t="s">
        <v>51</v>
      </c>
      <c r="AJ899" t="s">
        <v>51</v>
      </c>
      <c r="AK899" t="s">
        <v>51</v>
      </c>
    </row>
    <row r="900" spans="1:37" x14ac:dyDescent="0.2">
      <c r="A900">
        <v>62280</v>
      </c>
      <c r="B900" t="s">
        <v>37</v>
      </c>
      <c r="C900" t="s">
        <v>38</v>
      </c>
      <c r="D900" t="s">
        <v>130</v>
      </c>
      <c r="E900" t="s">
        <v>40</v>
      </c>
      <c r="G900" s="4">
        <v>43947.699212962963</v>
      </c>
      <c r="H900" s="4">
        <v>43947.699247685185</v>
      </c>
      <c r="I900" t="s">
        <v>85</v>
      </c>
      <c r="J900" s="5">
        <v>3</v>
      </c>
      <c r="K900" t="s">
        <v>38</v>
      </c>
      <c r="M900">
        <v>62307</v>
      </c>
      <c r="N900" t="s">
        <v>131</v>
      </c>
      <c r="O900" t="s">
        <v>132</v>
      </c>
      <c r="P900" t="s">
        <v>38</v>
      </c>
      <c r="Q900" t="s">
        <v>88</v>
      </c>
      <c r="R900">
        <v>2</v>
      </c>
      <c r="S900" t="s">
        <v>45</v>
      </c>
      <c r="T900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0">
        <v>62308</v>
      </c>
      <c r="V900" t="s">
        <v>38</v>
      </c>
      <c r="W900" t="s">
        <v>88</v>
      </c>
      <c r="X900">
        <v>2</v>
      </c>
      <c r="Y900">
        <v>0</v>
      </c>
      <c r="Z900" t="s">
        <v>46</v>
      </c>
      <c r="AA900">
        <v>62313</v>
      </c>
      <c r="AB900" t="s">
        <v>890</v>
      </c>
      <c r="AC900" t="s">
        <v>60</v>
      </c>
      <c r="AD900" t="s">
        <v>38</v>
      </c>
      <c r="AE900" t="s">
        <v>49</v>
      </c>
      <c r="AF900" t="s">
        <v>50</v>
      </c>
      <c r="AG900">
        <v>0</v>
      </c>
      <c r="AH900">
        <v>0</v>
      </c>
      <c r="AI900" t="s">
        <v>51</v>
      </c>
      <c r="AJ900" t="s">
        <v>51</v>
      </c>
      <c r="AK900" t="s">
        <v>51</v>
      </c>
    </row>
    <row r="901" spans="1:37" x14ac:dyDescent="0.2">
      <c r="A901">
        <v>62280</v>
      </c>
      <c r="B901" t="s">
        <v>37</v>
      </c>
      <c r="C901" t="s">
        <v>38</v>
      </c>
      <c r="D901" t="s">
        <v>130</v>
      </c>
      <c r="E901" t="s">
        <v>40</v>
      </c>
      <c r="G901" s="4">
        <v>43947.699212962963</v>
      </c>
      <c r="H901" s="4">
        <v>43947.699247685185</v>
      </c>
      <c r="I901" t="s">
        <v>85</v>
      </c>
      <c r="J901" s="5">
        <v>3</v>
      </c>
      <c r="K901" t="s">
        <v>38</v>
      </c>
      <c r="M901">
        <v>62307</v>
      </c>
      <c r="N901" t="s">
        <v>131</v>
      </c>
      <c r="O901" t="s">
        <v>132</v>
      </c>
      <c r="P901" t="s">
        <v>38</v>
      </c>
      <c r="Q901" t="s">
        <v>88</v>
      </c>
      <c r="R901">
        <v>2</v>
      </c>
      <c r="S901" t="s">
        <v>45</v>
      </c>
      <c r="T901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1">
        <v>62308</v>
      </c>
      <c r="V901" t="s">
        <v>38</v>
      </c>
      <c r="W901" t="s">
        <v>88</v>
      </c>
      <c r="X901">
        <v>2</v>
      </c>
      <c r="Y901">
        <v>0</v>
      </c>
      <c r="Z901" t="s">
        <v>46</v>
      </c>
      <c r="AA901">
        <v>62312</v>
      </c>
      <c r="AB901" t="s">
        <v>891</v>
      </c>
      <c r="AC901" t="s">
        <v>60</v>
      </c>
      <c r="AD901" t="s">
        <v>38</v>
      </c>
      <c r="AE901" t="s">
        <v>49</v>
      </c>
      <c r="AF901" t="s">
        <v>50</v>
      </c>
      <c r="AG901">
        <v>0</v>
      </c>
      <c r="AH901">
        <v>0</v>
      </c>
      <c r="AI901" t="s">
        <v>51</v>
      </c>
      <c r="AJ901" t="s">
        <v>51</v>
      </c>
      <c r="AK901" t="s">
        <v>51</v>
      </c>
    </row>
    <row r="902" spans="1:37" x14ac:dyDescent="0.2">
      <c r="A902">
        <v>62280</v>
      </c>
      <c r="B902" t="s">
        <v>37</v>
      </c>
      <c r="C902" t="s">
        <v>38</v>
      </c>
      <c r="D902" t="s">
        <v>130</v>
      </c>
      <c r="E902" t="s">
        <v>40</v>
      </c>
      <c r="G902" s="4">
        <v>43947.699212962963</v>
      </c>
      <c r="H902" s="4">
        <v>43947.699247685185</v>
      </c>
      <c r="I902" t="s">
        <v>85</v>
      </c>
      <c r="J902" s="5">
        <v>3</v>
      </c>
      <c r="K902" t="s">
        <v>38</v>
      </c>
      <c r="M902">
        <v>62307</v>
      </c>
      <c r="N902" t="s">
        <v>131</v>
      </c>
      <c r="O902" t="s">
        <v>132</v>
      </c>
      <c r="P902" t="s">
        <v>38</v>
      </c>
      <c r="Q902" t="s">
        <v>88</v>
      </c>
      <c r="R902">
        <v>2</v>
      </c>
      <c r="S902" t="s">
        <v>45</v>
      </c>
      <c r="T902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2">
        <v>62308</v>
      </c>
      <c r="V902" t="s">
        <v>38</v>
      </c>
      <c r="W902" t="s">
        <v>88</v>
      </c>
      <c r="X902">
        <v>2</v>
      </c>
      <c r="Y902">
        <v>0</v>
      </c>
      <c r="Z902" t="s">
        <v>46</v>
      </c>
      <c r="AA902">
        <v>62311</v>
      </c>
      <c r="AB902" t="s">
        <v>892</v>
      </c>
      <c r="AC902" t="s">
        <v>56</v>
      </c>
      <c r="AD902" t="s">
        <v>38</v>
      </c>
      <c r="AE902" t="s">
        <v>49</v>
      </c>
      <c r="AF902" t="s">
        <v>50</v>
      </c>
      <c r="AG902">
        <v>0</v>
      </c>
      <c r="AH902">
        <v>0</v>
      </c>
      <c r="AI902" t="s">
        <v>51</v>
      </c>
      <c r="AJ902" t="s">
        <v>51</v>
      </c>
      <c r="AK902" t="s">
        <v>51</v>
      </c>
    </row>
    <row r="903" spans="1:37" x14ac:dyDescent="0.2">
      <c r="A903">
        <v>62280</v>
      </c>
      <c r="B903" t="s">
        <v>37</v>
      </c>
      <c r="C903" t="s">
        <v>38</v>
      </c>
      <c r="D903" t="s">
        <v>130</v>
      </c>
      <c r="E903" t="s">
        <v>40</v>
      </c>
      <c r="G903" s="4">
        <v>43947.699212962963</v>
      </c>
      <c r="H903" s="4">
        <v>43947.699247685185</v>
      </c>
      <c r="I903" t="s">
        <v>85</v>
      </c>
      <c r="J903" s="5">
        <v>3</v>
      </c>
      <c r="K903" t="s">
        <v>38</v>
      </c>
      <c r="M903">
        <v>62307</v>
      </c>
      <c r="N903" t="s">
        <v>131</v>
      </c>
      <c r="O903" t="s">
        <v>132</v>
      </c>
      <c r="P903" t="s">
        <v>38</v>
      </c>
      <c r="Q903" t="s">
        <v>88</v>
      </c>
      <c r="R903">
        <v>2</v>
      </c>
      <c r="S903" t="s">
        <v>45</v>
      </c>
      <c r="T903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3">
        <v>62308</v>
      </c>
      <c r="V903" t="s">
        <v>38</v>
      </c>
      <c r="W903" t="s">
        <v>88</v>
      </c>
      <c r="X903">
        <v>2</v>
      </c>
      <c r="Y903">
        <v>0</v>
      </c>
      <c r="Z903" t="s">
        <v>46</v>
      </c>
      <c r="AA903">
        <v>62310</v>
      </c>
      <c r="AB903" t="s">
        <v>893</v>
      </c>
      <c r="AC903" t="s">
        <v>60</v>
      </c>
      <c r="AD903" t="s">
        <v>38</v>
      </c>
      <c r="AE903" t="s">
        <v>49</v>
      </c>
      <c r="AF903" t="s">
        <v>50</v>
      </c>
      <c r="AG903">
        <v>.9999999999999999999999999999999999999996</v>
      </c>
      <c r="AH903">
        <v>0</v>
      </c>
      <c r="AI903" t="s">
        <v>51</v>
      </c>
      <c r="AJ903" t="s">
        <v>51</v>
      </c>
      <c r="AK903" t="s">
        <v>51</v>
      </c>
    </row>
    <row r="904" spans="1:37" x14ac:dyDescent="0.2">
      <c r="A904">
        <v>62280</v>
      </c>
      <c r="B904" t="s">
        <v>37</v>
      </c>
      <c r="C904" t="s">
        <v>38</v>
      </c>
      <c r="D904" t="s">
        <v>130</v>
      </c>
      <c r="E904" t="s">
        <v>40</v>
      </c>
      <c r="G904" s="4">
        <v>43947.699212962963</v>
      </c>
      <c r="H904" s="4">
        <v>43947.699247685185</v>
      </c>
      <c r="I904" t="s">
        <v>85</v>
      </c>
      <c r="J904" s="5">
        <v>3</v>
      </c>
      <c r="K904" t="s">
        <v>38</v>
      </c>
      <c r="M904">
        <v>62307</v>
      </c>
      <c r="N904" t="s">
        <v>131</v>
      </c>
      <c r="O904" t="s">
        <v>132</v>
      </c>
      <c r="P904" t="s">
        <v>38</v>
      </c>
      <c r="Q904" t="s">
        <v>88</v>
      </c>
      <c r="R904">
        <v>2</v>
      </c>
      <c r="S904" t="s">
        <v>45</v>
      </c>
      <c r="T904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4">
        <v>62308</v>
      </c>
      <c r="V904" t="s">
        <v>38</v>
      </c>
      <c r="W904" t="s">
        <v>88</v>
      </c>
      <c r="X904">
        <v>2</v>
      </c>
      <c r="Y904">
        <v>0</v>
      </c>
      <c r="Z904" t="s">
        <v>46</v>
      </c>
      <c r="AA904">
        <v>62309</v>
      </c>
      <c r="AB904" t="s">
        <v>894</v>
      </c>
      <c r="AC904" t="s">
        <v>56</v>
      </c>
      <c r="AD904" t="s">
        <v>38</v>
      </c>
      <c r="AE904" t="s">
        <v>49</v>
      </c>
      <c r="AF904" t="s">
        <v>50</v>
      </c>
      <c r="AG904">
        <v>0</v>
      </c>
      <c r="AH904">
        <v>0</v>
      </c>
      <c r="AI904" t="s">
        <v>51</v>
      </c>
      <c r="AJ904" t="s">
        <v>51</v>
      </c>
      <c r="AK904" t="s">
        <v>51</v>
      </c>
    </row>
    <row r="905" spans="1:37" x14ac:dyDescent="0.2">
      <c r="A905">
        <v>62280</v>
      </c>
      <c r="B905" t="s">
        <v>37</v>
      </c>
      <c r="C905" t="s">
        <v>38</v>
      </c>
      <c r="D905" t="s">
        <v>130</v>
      </c>
      <c r="E905" t="s">
        <v>40</v>
      </c>
      <c r="G905" s="4">
        <v>43947.699212962963</v>
      </c>
      <c r="H905" s="4">
        <v>43947.699247685185</v>
      </c>
      <c r="I905" t="s">
        <v>85</v>
      </c>
      <c r="J905" s="5">
        <v>3</v>
      </c>
      <c r="K905" t="s">
        <v>38</v>
      </c>
      <c r="M905">
        <v>62300</v>
      </c>
      <c r="N905" t="s">
        <v>143</v>
      </c>
      <c r="O905" t="s">
        <v>144</v>
      </c>
      <c r="P905" t="s">
        <v>38</v>
      </c>
      <c r="Q905" t="s">
        <v>50</v>
      </c>
      <c r="R905">
        <v>0</v>
      </c>
      <c r="S905" t="s">
        <v>45</v>
      </c>
      <c r="T905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5">
        <v>62301</v>
      </c>
      <c r="V905" t="s">
        <v>38</v>
      </c>
      <c r="W905" t="s">
        <v>50</v>
      </c>
      <c r="X905">
        <v>0</v>
      </c>
      <c r="Y905">
        <v>0</v>
      </c>
      <c r="Z905" t="s">
        <v>46</v>
      </c>
      <c r="AA905">
        <v>62306</v>
      </c>
      <c r="AB905" t="s">
        <v>145</v>
      </c>
      <c r="AC905" t="s">
        <v>56</v>
      </c>
      <c r="AD905" t="s">
        <v>38</v>
      </c>
      <c r="AE905" t="s">
        <v>49</v>
      </c>
      <c r="AF905" t="s">
        <v>50</v>
      </c>
      <c r="AG905">
        <v>0</v>
      </c>
      <c r="AH905">
        <v>0</v>
      </c>
      <c r="AI905" t="s">
        <v>51</v>
      </c>
      <c r="AJ905" t="s">
        <v>51</v>
      </c>
      <c r="AK905" t="s">
        <v>51</v>
      </c>
    </row>
    <row r="906" spans="1:37" x14ac:dyDescent="0.2">
      <c r="A906">
        <v>62280</v>
      </c>
      <c r="B906" t="s">
        <v>37</v>
      </c>
      <c r="C906" t="s">
        <v>38</v>
      </c>
      <c r="D906" t="s">
        <v>130</v>
      </c>
      <c r="E906" t="s">
        <v>40</v>
      </c>
      <c r="G906" s="4">
        <v>43947.699212962963</v>
      </c>
      <c r="H906" s="4">
        <v>43947.699247685185</v>
      </c>
      <c r="I906" t="s">
        <v>85</v>
      </c>
      <c r="J906" s="5">
        <v>3</v>
      </c>
      <c r="K906" t="s">
        <v>38</v>
      </c>
      <c r="M906">
        <v>62300</v>
      </c>
      <c r="N906" t="s">
        <v>143</v>
      </c>
      <c r="O906" t="s">
        <v>144</v>
      </c>
      <c r="P906" t="s">
        <v>38</v>
      </c>
      <c r="Q906" t="s">
        <v>50</v>
      </c>
      <c r="R906">
        <v>0</v>
      </c>
      <c r="S906" t="s">
        <v>45</v>
      </c>
      <c r="T906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6">
        <v>62301</v>
      </c>
      <c r="V906" t="s">
        <v>38</v>
      </c>
      <c r="W906" t="s">
        <v>50</v>
      </c>
      <c r="X906">
        <v>0</v>
      </c>
      <c r="Y906">
        <v>0</v>
      </c>
      <c r="Z906" t="s">
        <v>46</v>
      </c>
      <c r="AA906">
        <v>62305</v>
      </c>
      <c r="AB906" t="s">
        <v>146</v>
      </c>
      <c r="AC906" t="s">
        <v>68</v>
      </c>
      <c r="AD906" t="s">
        <v>38</v>
      </c>
      <c r="AE906" t="s">
        <v>49</v>
      </c>
      <c r="AF906" t="s">
        <v>50</v>
      </c>
      <c r="AG906">
        <v>0</v>
      </c>
      <c r="AH906">
        <v>0</v>
      </c>
      <c r="AI906" t="s">
        <v>51</v>
      </c>
      <c r="AJ906" t="s">
        <v>51</v>
      </c>
      <c r="AK906" t="s">
        <v>51</v>
      </c>
    </row>
    <row r="907" spans="1:37" x14ac:dyDescent="0.2">
      <c r="A907">
        <v>62280</v>
      </c>
      <c r="B907" t="s">
        <v>37</v>
      </c>
      <c r="C907" t="s">
        <v>38</v>
      </c>
      <c r="D907" t="s">
        <v>130</v>
      </c>
      <c r="E907" t="s">
        <v>40</v>
      </c>
      <c r="G907" s="4">
        <v>43947.699212962963</v>
      </c>
      <c r="H907" s="4">
        <v>43947.699247685185</v>
      </c>
      <c r="I907" t="s">
        <v>85</v>
      </c>
      <c r="J907" s="5">
        <v>3</v>
      </c>
      <c r="K907" t="s">
        <v>38</v>
      </c>
      <c r="M907">
        <v>62300</v>
      </c>
      <c r="N907" t="s">
        <v>143</v>
      </c>
      <c r="O907" t="s">
        <v>144</v>
      </c>
      <c r="P907" t="s">
        <v>38</v>
      </c>
      <c r="Q907" t="s">
        <v>50</v>
      </c>
      <c r="R907">
        <v>0</v>
      </c>
      <c r="S907" t="s">
        <v>45</v>
      </c>
      <c r="T907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7">
        <v>62301</v>
      </c>
      <c r="V907" t="s">
        <v>38</v>
      </c>
      <c r="W907" t="s">
        <v>50</v>
      </c>
      <c r="X907">
        <v>0</v>
      </c>
      <c r="Y907">
        <v>0</v>
      </c>
      <c r="Z907" t="s">
        <v>46</v>
      </c>
      <c r="AA907">
        <v>62304</v>
      </c>
      <c r="AB907" t="s">
        <v>147</v>
      </c>
      <c r="AC907" t="s">
        <v>68</v>
      </c>
      <c r="AD907" t="s">
        <v>38</v>
      </c>
      <c r="AE907" t="s">
        <v>49</v>
      </c>
      <c r="AF907" t="s">
        <v>50</v>
      </c>
      <c r="AG907">
        <v>0</v>
      </c>
      <c r="AH907">
        <v>0</v>
      </c>
      <c r="AI907" t="s">
        <v>51</v>
      </c>
      <c r="AJ907" t="s">
        <v>51</v>
      </c>
      <c r="AK907" t="s">
        <v>51</v>
      </c>
    </row>
    <row r="908" spans="1:37" x14ac:dyDescent="0.2">
      <c r="A908">
        <v>62280</v>
      </c>
      <c r="B908" t="s">
        <v>37</v>
      </c>
      <c r="C908" t="s">
        <v>38</v>
      </c>
      <c r="D908" t="s">
        <v>130</v>
      </c>
      <c r="E908" t="s">
        <v>40</v>
      </c>
      <c r="G908" s="4">
        <v>43947.699212962963</v>
      </c>
      <c r="H908" s="4">
        <v>43947.699247685185</v>
      </c>
      <c r="I908" t="s">
        <v>85</v>
      </c>
      <c r="J908" s="5">
        <v>3</v>
      </c>
      <c r="K908" t="s">
        <v>38</v>
      </c>
      <c r="M908">
        <v>62300</v>
      </c>
      <c r="N908" t="s">
        <v>143</v>
      </c>
      <c r="O908" t="s">
        <v>144</v>
      </c>
      <c r="P908" t="s">
        <v>38</v>
      </c>
      <c r="Q908" t="s">
        <v>50</v>
      </c>
      <c r="R908">
        <v>0</v>
      </c>
      <c r="S908" t="s">
        <v>45</v>
      </c>
      <c r="T908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8">
        <v>62301</v>
      </c>
      <c r="V908" t="s">
        <v>38</v>
      </c>
      <c r="W908" t="s">
        <v>50</v>
      </c>
      <c r="X908">
        <v>0</v>
      </c>
      <c r="Y908">
        <v>0</v>
      </c>
      <c r="Z908" t="s">
        <v>46</v>
      </c>
      <c r="AA908">
        <v>62303</v>
      </c>
      <c r="AB908" t="s">
        <v>148</v>
      </c>
      <c r="AC908" t="s">
        <v>68</v>
      </c>
      <c r="AD908" t="s">
        <v>38</v>
      </c>
      <c r="AE908" t="s">
        <v>49</v>
      </c>
      <c r="AF908" t="s">
        <v>50</v>
      </c>
      <c r="AG908">
        <v>0</v>
      </c>
      <c r="AH908">
        <v>0</v>
      </c>
      <c r="AI908" t="s">
        <v>51</v>
      </c>
      <c r="AJ908" t="s">
        <v>51</v>
      </c>
      <c r="AK908" t="s">
        <v>51</v>
      </c>
    </row>
    <row r="909" spans="1:37" x14ac:dyDescent="0.2">
      <c r="A909">
        <v>62280</v>
      </c>
      <c r="B909" t="s">
        <v>37</v>
      </c>
      <c r="C909" t="s">
        <v>38</v>
      </c>
      <c r="D909" t="s">
        <v>130</v>
      </c>
      <c r="E909" t="s">
        <v>40</v>
      </c>
      <c r="G909" s="4">
        <v>43947.699212962963</v>
      </c>
      <c r="H909" s="4">
        <v>43947.699247685185</v>
      </c>
      <c r="I909" t="s">
        <v>85</v>
      </c>
      <c r="J909" s="5">
        <v>3</v>
      </c>
      <c r="K909" t="s">
        <v>38</v>
      </c>
      <c r="M909">
        <v>62300</v>
      </c>
      <c r="N909" t="s">
        <v>143</v>
      </c>
      <c r="O909" t="s">
        <v>144</v>
      </c>
      <c r="P909" t="s">
        <v>38</v>
      </c>
      <c r="Q909" t="s">
        <v>50</v>
      </c>
      <c r="R909">
        <v>0</v>
      </c>
      <c r="S909" t="s">
        <v>45</v>
      </c>
      <c r="T909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09">
        <v>62301</v>
      </c>
      <c r="V909" t="s">
        <v>38</v>
      </c>
      <c r="W909" t="s">
        <v>50</v>
      </c>
      <c r="X909">
        <v>0</v>
      </c>
      <c r="Y909">
        <v>0</v>
      </c>
      <c r="Z909" t="s">
        <v>46</v>
      </c>
      <c r="AA909">
        <v>62302</v>
      </c>
      <c r="AB909" t="s">
        <v>149</v>
      </c>
      <c r="AC909" t="s">
        <v>68</v>
      </c>
      <c r="AD909" t="s">
        <v>38</v>
      </c>
      <c r="AE909" t="s">
        <v>49</v>
      </c>
      <c r="AF909" t="s">
        <v>50</v>
      </c>
      <c r="AG909">
        <v>0</v>
      </c>
      <c r="AH909">
        <v>0</v>
      </c>
      <c r="AI909" t="s">
        <v>51</v>
      </c>
      <c r="AJ909" t="s">
        <v>51</v>
      </c>
      <c r="AK909" t="s">
        <v>51</v>
      </c>
    </row>
    <row r="910" spans="1:37" x14ac:dyDescent="0.2">
      <c r="A910">
        <v>62280</v>
      </c>
      <c r="B910" t="s">
        <v>37</v>
      </c>
      <c r="C910" t="s">
        <v>38</v>
      </c>
      <c r="D910" t="s">
        <v>130</v>
      </c>
      <c r="E910" t="s">
        <v>40</v>
      </c>
      <c r="G910" s="4">
        <v>43947.699212962963</v>
      </c>
      <c r="H910" s="4">
        <v>43947.699247685185</v>
      </c>
      <c r="I910" t="s">
        <v>85</v>
      </c>
      <c r="J910" s="5">
        <v>3</v>
      </c>
      <c r="K910" t="s">
        <v>38</v>
      </c>
      <c r="M910">
        <v>62295</v>
      </c>
      <c r="N910" t="s">
        <v>150</v>
      </c>
      <c r="O910" t="s">
        <v>151</v>
      </c>
      <c r="P910" t="s">
        <v>38</v>
      </c>
      <c r="Q910" t="s">
        <v>50</v>
      </c>
      <c r="R910">
        <v>0</v>
      </c>
      <c r="S910" t="s">
        <v>45</v>
      </c>
      <c r="T910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0">
        <v>62296</v>
      </c>
      <c r="V910" t="s">
        <v>38</v>
      </c>
      <c r="W910" t="s">
        <v>50</v>
      </c>
      <c r="X910">
        <v>0</v>
      </c>
      <c r="Y910">
        <v>0</v>
      </c>
      <c r="Z910" t="s">
        <v>46</v>
      </c>
      <c r="AA910">
        <v>62299</v>
      </c>
      <c r="AB910" t="s">
        <v>152</v>
      </c>
      <c r="AC910" t="s">
        <v>56</v>
      </c>
      <c r="AD910" t="s">
        <v>38</v>
      </c>
      <c r="AE910" t="s">
        <v>49</v>
      </c>
      <c r="AF910" t="s">
        <v>50</v>
      </c>
      <c r="AG910">
        <v>0</v>
      </c>
      <c r="AH910">
        <v>0</v>
      </c>
      <c r="AI910" t="s">
        <v>51</v>
      </c>
      <c r="AJ910" t="s">
        <v>51</v>
      </c>
      <c r="AK910" t="s">
        <v>51</v>
      </c>
    </row>
    <row r="911" spans="1:37" x14ac:dyDescent="0.2">
      <c r="A911">
        <v>62280</v>
      </c>
      <c r="B911" t="s">
        <v>37</v>
      </c>
      <c r="C911" t="s">
        <v>38</v>
      </c>
      <c r="D911" t="s">
        <v>130</v>
      </c>
      <c r="E911" t="s">
        <v>40</v>
      </c>
      <c r="G911" s="4">
        <v>43947.699212962963</v>
      </c>
      <c r="H911" s="4">
        <v>43947.699247685185</v>
      </c>
      <c r="I911" t="s">
        <v>85</v>
      </c>
      <c r="J911" s="5">
        <v>3</v>
      </c>
      <c r="K911" t="s">
        <v>38</v>
      </c>
      <c r="M911">
        <v>62295</v>
      </c>
      <c r="N911" t="s">
        <v>150</v>
      </c>
      <c r="O911" t="s">
        <v>151</v>
      </c>
      <c r="P911" t="s">
        <v>38</v>
      </c>
      <c r="Q911" t="s">
        <v>50</v>
      </c>
      <c r="R911">
        <v>0</v>
      </c>
      <c r="S911" t="s">
        <v>45</v>
      </c>
      <c r="T911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1">
        <v>62296</v>
      </c>
      <c r="V911" t="s">
        <v>38</v>
      </c>
      <c r="W911" t="s">
        <v>50</v>
      </c>
      <c r="X911">
        <v>0</v>
      </c>
      <c r="Y911">
        <v>0</v>
      </c>
      <c r="Z911" t="s">
        <v>46</v>
      </c>
      <c r="AA911">
        <v>62298</v>
      </c>
      <c r="AB911" t="s">
        <v>153</v>
      </c>
      <c r="AC911" t="s">
        <v>56</v>
      </c>
      <c r="AD911" t="s">
        <v>38</v>
      </c>
      <c r="AE911" t="s">
        <v>49</v>
      </c>
      <c r="AF911" t="s">
        <v>50</v>
      </c>
      <c r="AG911">
        <v>0</v>
      </c>
      <c r="AH911">
        <v>0</v>
      </c>
      <c r="AI911" t="s">
        <v>51</v>
      </c>
      <c r="AJ911" t="s">
        <v>51</v>
      </c>
      <c r="AK911" t="s">
        <v>51</v>
      </c>
    </row>
    <row r="912" spans="1:37" x14ac:dyDescent="0.2">
      <c r="A912">
        <v>62280</v>
      </c>
      <c r="B912" t="s">
        <v>37</v>
      </c>
      <c r="C912" t="s">
        <v>38</v>
      </c>
      <c r="D912" t="s">
        <v>130</v>
      </c>
      <c r="E912" t="s">
        <v>40</v>
      </c>
      <c r="G912" s="4">
        <v>43947.699212962963</v>
      </c>
      <c r="H912" s="4">
        <v>43947.699247685185</v>
      </c>
      <c r="I912" t="s">
        <v>85</v>
      </c>
      <c r="J912" s="5">
        <v>3</v>
      </c>
      <c r="K912" t="s">
        <v>38</v>
      </c>
      <c r="M912">
        <v>62295</v>
      </c>
      <c r="N912" t="s">
        <v>150</v>
      </c>
      <c r="O912" t="s">
        <v>151</v>
      </c>
      <c r="P912" t="s">
        <v>38</v>
      </c>
      <c r="Q912" t="s">
        <v>50</v>
      </c>
      <c r="R912">
        <v>0</v>
      </c>
      <c r="S912" t="s">
        <v>45</v>
      </c>
      <c r="T912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2">
        <v>62296</v>
      </c>
      <c r="V912" t="s">
        <v>38</v>
      </c>
      <c r="W912" t="s">
        <v>50</v>
      </c>
      <c r="X912">
        <v>0</v>
      </c>
      <c r="Y912">
        <v>0</v>
      </c>
      <c r="Z912" t="s">
        <v>46</v>
      </c>
      <c r="AA912">
        <v>62297</v>
      </c>
      <c r="AB912" t="s">
        <v>154</v>
      </c>
      <c r="AC912" t="s">
        <v>68</v>
      </c>
      <c r="AD912" t="s">
        <v>38</v>
      </c>
      <c r="AE912" t="s">
        <v>49</v>
      </c>
      <c r="AF912" t="s">
        <v>50</v>
      </c>
      <c r="AG912">
        <v>0</v>
      </c>
      <c r="AH912">
        <v>0</v>
      </c>
      <c r="AI912" t="s">
        <v>51</v>
      </c>
      <c r="AJ912" t="s">
        <v>51</v>
      </c>
      <c r="AK912" t="s">
        <v>51</v>
      </c>
    </row>
    <row r="913" spans="1:37" x14ac:dyDescent="0.2">
      <c r="A913">
        <v>62280</v>
      </c>
      <c r="B913" t="s">
        <v>37</v>
      </c>
      <c r="C913" t="s">
        <v>38</v>
      </c>
      <c r="D913" t="s">
        <v>130</v>
      </c>
      <c r="E913" t="s">
        <v>40</v>
      </c>
      <c r="G913" s="4">
        <v>43947.699212962963</v>
      </c>
      <c r="H913" s="4">
        <v>43947.699247685185</v>
      </c>
      <c r="I913" t="s">
        <v>85</v>
      </c>
      <c r="J913" s="5">
        <v>3</v>
      </c>
      <c r="K913" t="s">
        <v>38</v>
      </c>
      <c r="M913">
        <v>62292</v>
      </c>
      <c r="N913" t="s">
        <v>155</v>
      </c>
      <c r="O913" t="s">
        <v>156</v>
      </c>
      <c r="P913" t="s">
        <v>38</v>
      </c>
      <c r="Q913" t="s">
        <v>50</v>
      </c>
      <c r="R913">
        <v>.9999999999999999999999999999999999999996</v>
      </c>
      <c r="S913" t="s">
        <v>45</v>
      </c>
      <c r="T913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3">
        <v>62293</v>
      </c>
      <c r="V913" t="s">
        <v>38</v>
      </c>
      <c r="W913" t="s">
        <v>50</v>
      </c>
      <c r="X913">
        <v>.9999999999999999999999999999999999999996</v>
      </c>
      <c r="Y913">
        <v>0</v>
      </c>
      <c r="Z913" t="s">
        <v>46</v>
      </c>
      <c r="AA913">
        <v>62294</v>
      </c>
      <c r="AB913" t="s">
        <v>895</v>
      </c>
      <c r="AC913" t="s">
        <v>68</v>
      </c>
      <c r="AD913" t="s">
        <v>38</v>
      </c>
      <c r="AE913" t="s">
        <v>49</v>
      </c>
      <c r="AF913" t="s">
        <v>50</v>
      </c>
      <c r="AG913">
        <v>0</v>
      </c>
      <c r="AH913">
        <v>0</v>
      </c>
      <c r="AI913" t="s">
        <v>51</v>
      </c>
      <c r="AJ913" t="s">
        <v>51</v>
      </c>
      <c r="AK913" t="s">
        <v>51</v>
      </c>
    </row>
    <row r="914" spans="1:37" x14ac:dyDescent="0.2">
      <c r="A914">
        <v>62280</v>
      </c>
      <c r="B914" t="s">
        <v>37</v>
      </c>
      <c r="C914" t="s">
        <v>38</v>
      </c>
      <c r="D914" t="s">
        <v>130</v>
      </c>
      <c r="E914" t="s">
        <v>40</v>
      </c>
      <c r="G914" s="4">
        <v>43947.699212962963</v>
      </c>
      <c r="H914" s="4">
        <v>43947.699247685185</v>
      </c>
      <c r="I914" t="s">
        <v>85</v>
      </c>
      <c r="J914" s="5">
        <v>3</v>
      </c>
      <c r="K914" t="s">
        <v>38</v>
      </c>
      <c r="M914">
        <v>62287</v>
      </c>
      <c r="N914" t="s">
        <v>158</v>
      </c>
      <c r="O914" t="s">
        <v>159</v>
      </c>
      <c r="P914" t="s">
        <v>38</v>
      </c>
      <c r="Q914" t="s">
        <v>50</v>
      </c>
      <c r="R914">
        <v>0</v>
      </c>
      <c r="S914" t="s">
        <v>45</v>
      </c>
      <c r="T914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4">
        <v>62288</v>
      </c>
      <c r="V914" t="s">
        <v>38</v>
      </c>
      <c r="W914" t="s">
        <v>50</v>
      </c>
      <c r="X914">
        <v>0</v>
      </c>
      <c r="Y914">
        <v>0</v>
      </c>
      <c r="Z914" t="s">
        <v>46</v>
      </c>
      <c r="AA914">
        <v>62291</v>
      </c>
      <c r="AB914" t="s">
        <v>160</v>
      </c>
      <c r="AC914" t="s">
        <v>56</v>
      </c>
      <c r="AD914" t="s">
        <v>38</v>
      </c>
      <c r="AE914" t="s">
        <v>49</v>
      </c>
      <c r="AF914" t="s">
        <v>50</v>
      </c>
      <c r="AG914">
        <v>0</v>
      </c>
      <c r="AH914">
        <v>0</v>
      </c>
      <c r="AI914" t="s">
        <v>51</v>
      </c>
      <c r="AJ914" t="s">
        <v>51</v>
      </c>
      <c r="AK914" t="s">
        <v>51</v>
      </c>
    </row>
    <row r="915" spans="1:37" x14ac:dyDescent="0.2">
      <c r="A915">
        <v>62280</v>
      </c>
      <c r="B915" t="s">
        <v>37</v>
      </c>
      <c r="C915" t="s">
        <v>38</v>
      </c>
      <c r="D915" t="s">
        <v>130</v>
      </c>
      <c r="E915" t="s">
        <v>40</v>
      </c>
      <c r="G915" s="4">
        <v>43947.699212962963</v>
      </c>
      <c r="H915" s="4">
        <v>43947.699247685185</v>
      </c>
      <c r="I915" t="s">
        <v>85</v>
      </c>
      <c r="J915" s="5">
        <v>3</v>
      </c>
      <c r="K915" t="s">
        <v>38</v>
      </c>
      <c r="M915">
        <v>62287</v>
      </c>
      <c r="N915" t="s">
        <v>158</v>
      </c>
      <c r="O915" t="s">
        <v>159</v>
      </c>
      <c r="P915" t="s">
        <v>38</v>
      </c>
      <c r="Q915" t="s">
        <v>50</v>
      </c>
      <c r="R915">
        <v>0</v>
      </c>
      <c r="S915" t="s">
        <v>45</v>
      </c>
      <c r="T915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5">
        <v>62288</v>
      </c>
      <c r="V915" t="s">
        <v>38</v>
      </c>
      <c r="W915" t="s">
        <v>50</v>
      </c>
      <c r="X915">
        <v>0</v>
      </c>
      <c r="Y915">
        <v>0</v>
      </c>
      <c r="Z915" t="s">
        <v>46</v>
      </c>
      <c r="AA915">
        <v>62290</v>
      </c>
      <c r="AB915" t="s">
        <v>161</v>
      </c>
      <c r="AC915" t="s">
        <v>68</v>
      </c>
      <c r="AD915" t="s">
        <v>38</v>
      </c>
      <c r="AE915" t="s">
        <v>49</v>
      </c>
      <c r="AF915" t="s">
        <v>50</v>
      </c>
      <c r="AG915">
        <v>0</v>
      </c>
      <c r="AH915">
        <v>0</v>
      </c>
      <c r="AI915" t="s">
        <v>51</v>
      </c>
      <c r="AJ915" t="s">
        <v>51</v>
      </c>
      <c r="AK915" t="s">
        <v>51</v>
      </c>
    </row>
    <row r="916" spans="1:37" x14ac:dyDescent="0.2">
      <c r="A916">
        <v>62280</v>
      </c>
      <c r="B916" t="s">
        <v>37</v>
      </c>
      <c r="C916" t="s">
        <v>38</v>
      </c>
      <c r="D916" t="s">
        <v>130</v>
      </c>
      <c r="E916" t="s">
        <v>40</v>
      </c>
      <c r="G916" s="4">
        <v>43947.699212962963</v>
      </c>
      <c r="H916" s="4">
        <v>43947.699247685185</v>
      </c>
      <c r="I916" t="s">
        <v>85</v>
      </c>
      <c r="J916" s="5">
        <v>3</v>
      </c>
      <c r="K916" t="s">
        <v>38</v>
      </c>
      <c r="M916">
        <v>62287</v>
      </c>
      <c r="N916" t="s">
        <v>158</v>
      </c>
      <c r="O916" t="s">
        <v>159</v>
      </c>
      <c r="P916" t="s">
        <v>38</v>
      </c>
      <c r="Q916" t="s">
        <v>50</v>
      </c>
      <c r="R916">
        <v>0</v>
      </c>
      <c r="S916" t="s">
        <v>45</v>
      </c>
      <c r="T916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6">
        <v>62288</v>
      </c>
      <c r="V916" t="s">
        <v>38</v>
      </c>
      <c r="W916" t="s">
        <v>50</v>
      </c>
      <c r="X916">
        <v>0</v>
      </c>
      <c r="Y916">
        <v>0</v>
      </c>
      <c r="Z916" t="s">
        <v>46</v>
      </c>
      <c r="AA916">
        <v>62289</v>
      </c>
      <c r="AB916" t="s">
        <v>162</v>
      </c>
      <c r="AC916" t="s">
        <v>68</v>
      </c>
      <c r="AD916" t="s">
        <v>38</v>
      </c>
      <c r="AE916" t="s">
        <v>49</v>
      </c>
      <c r="AF916" t="s">
        <v>50</v>
      </c>
      <c r="AG916">
        <v>0</v>
      </c>
      <c r="AH916">
        <v>0</v>
      </c>
      <c r="AI916" t="s">
        <v>51</v>
      </c>
      <c r="AJ916" t="s">
        <v>51</v>
      </c>
      <c r="AK916" t="s">
        <v>51</v>
      </c>
    </row>
    <row r="917" spans="1:37" x14ac:dyDescent="0.2">
      <c r="A917">
        <v>62280</v>
      </c>
      <c r="B917" t="s">
        <v>37</v>
      </c>
      <c r="C917" t="s">
        <v>38</v>
      </c>
      <c r="D917" t="s">
        <v>130</v>
      </c>
      <c r="E917" t="s">
        <v>40</v>
      </c>
      <c r="G917" s="4">
        <v>43947.699212962963</v>
      </c>
      <c r="H917" s="4">
        <v>43947.699247685185</v>
      </c>
      <c r="I917" t="s">
        <v>85</v>
      </c>
      <c r="J917" s="5">
        <v>3</v>
      </c>
      <c r="K917" t="s">
        <v>38</v>
      </c>
      <c r="M917">
        <v>62281</v>
      </c>
      <c r="N917" t="s">
        <v>163</v>
      </c>
      <c r="O917" t="s">
        <v>164</v>
      </c>
      <c r="P917" t="s">
        <v>38</v>
      </c>
      <c r="Q917" t="s">
        <v>50</v>
      </c>
      <c r="R917">
        <v>0</v>
      </c>
      <c r="S917" t="s">
        <v>45</v>
      </c>
      <c r="T917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7">
        <v>62282</v>
      </c>
      <c r="V917" t="s">
        <v>38</v>
      </c>
      <c r="W917" t="s">
        <v>50</v>
      </c>
      <c r="X917">
        <v>0</v>
      </c>
      <c r="Y917">
        <v>0</v>
      </c>
      <c r="Z917" t="s">
        <v>46</v>
      </c>
      <c r="AA917">
        <v>62286</v>
      </c>
      <c r="AB917" t="s">
        <v>165</v>
      </c>
      <c r="AC917" t="s">
        <v>56</v>
      </c>
      <c r="AD917" t="s">
        <v>38</v>
      </c>
      <c r="AE917" t="s">
        <v>49</v>
      </c>
      <c r="AF917" t="s">
        <v>50</v>
      </c>
      <c r="AG917">
        <v>0</v>
      </c>
      <c r="AH917">
        <v>0</v>
      </c>
      <c r="AI917" t="s">
        <v>51</v>
      </c>
      <c r="AJ917" t="s">
        <v>51</v>
      </c>
      <c r="AK917" t="s">
        <v>51</v>
      </c>
    </row>
    <row r="918" spans="1:37" x14ac:dyDescent="0.2">
      <c r="A918">
        <v>62280</v>
      </c>
      <c r="B918" t="s">
        <v>37</v>
      </c>
      <c r="C918" t="s">
        <v>38</v>
      </c>
      <c r="D918" t="s">
        <v>130</v>
      </c>
      <c r="E918" t="s">
        <v>40</v>
      </c>
      <c r="G918" s="4">
        <v>43947.699212962963</v>
      </c>
      <c r="H918" s="4">
        <v>43947.699247685185</v>
      </c>
      <c r="I918" t="s">
        <v>85</v>
      </c>
      <c r="J918" s="5">
        <v>3</v>
      </c>
      <c r="K918" t="s">
        <v>38</v>
      </c>
      <c r="M918">
        <v>62281</v>
      </c>
      <c r="N918" t="s">
        <v>163</v>
      </c>
      <c r="O918" t="s">
        <v>164</v>
      </c>
      <c r="P918" t="s">
        <v>38</v>
      </c>
      <c r="Q918" t="s">
        <v>50</v>
      </c>
      <c r="R918">
        <v>0</v>
      </c>
      <c r="S918" t="s">
        <v>45</v>
      </c>
      <c r="T918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8">
        <v>62282</v>
      </c>
      <c r="V918" t="s">
        <v>38</v>
      </c>
      <c r="W918" t="s">
        <v>50</v>
      </c>
      <c r="X918">
        <v>0</v>
      </c>
      <c r="Y918">
        <v>0</v>
      </c>
      <c r="Z918" t="s">
        <v>46</v>
      </c>
      <c r="AA918">
        <v>62285</v>
      </c>
      <c r="AB918" t="s">
        <v>896</v>
      </c>
      <c r="AC918" t="s">
        <v>48</v>
      </c>
      <c r="AD918" t="s">
        <v>38</v>
      </c>
      <c r="AE918" t="s">
        <v>49</v>
      </c>
      <c r="AF918" t="s">
        <v>50</v>
      </c>
      <c r="AG918">
        <v>0</v>
      </c>
      <c r="AH918">
        <v>0</v>
      </c>
      <c r="AI918" t="s">
        <v>51</v>
      </c>
      <c r="AJ918" t="s">
        <v>51</v>
      </c>
      <c r="AK918" t="s">
        <v>51</v>
      </c>
    </row>
    <row r="919" spans="1:37" x14ac:dyDescent="0.2">
      <c r="A919">
        <v>62280</v>
      </c>
      <c r="B919" t="s">
        <v>37</v>
      </c>
      <c r="C919" t="s">
        <v>38</v>
      </c>
      <c r="D919" t="s">
        <v>130</v>
      </c>
      <c r="E919" t="s">
        <v>40</v>
      </c>
      <c r="G919" s="4">
        <v>43947.699212962963</v>
      </c>
      <c r="H919" s="4">
        <v>43947.699247685185</v>
      </c>
      <c r="I919" t="s">
        <v>85</v>
      </c>
      <c r="J919" s="5">
        <v>3</v>
      </c>
      <c r="K919" t="s">
        <v>38</v>
      </c>
      <c r="M919">
        <v>62281</v>
      </c>
      <c r="N919" t="s">
        <v>163</v>
      </c>
      <c r="O919" t="s">
        <v>164</v>
      </c>
      <c r="P919" t="s">
        <v>38</v>
      </c>
      <c r="Q919" t="s">
        <v>50</v>
      </c>
      <c r="R919">
        <v>0</v>
      </c>
      <c r="S919" t="s">
        <v>45</v>
      </c>
      <c r="T919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19">
        <v>62282</v>
      </c>
      <c r="V919" t="s">
        <v>38</v>
      </c>
      <c r="W919" t="s">
        <v>50</v>
      </c>
      <c r="X919">
        <v>0</v>
      </c>
      <c r="Y919">
        <v>0</v>
      </c>
      <c r="Z919" t="s">
        <v>46</v>
      </c>
      <c r="AA919">
        <v>62284</v>
      </c>
      <c r="AB919" t="s">
        <v>167</v>
      </c>
      <c r="AC919" t="s">
        <v>68</v>
      </c>
      <c r="AD919" t="s">
        <v>38</v>
      </c>
      <c r="AE919" t="s">
        <v>49</v>
      </c>
      <c r="AF919" t="s">
        <v>50</v>
      </c>
      <c r="AG919">
        <v>0</v>
      </c>
      <c r="AH919">
        <v>0</v>
      </c>
      <c r="AI919" t="s">
        <v>51</v>
      </c>
      <c r="AJ919" t="s">
        <v>51</v>
      </c>
      <c r="AK919" t="s">
        <v>51</v>
      </c>
    </row>
    <row r="920" spans="1:37" x14ac:dyDescent="0.2">
      <c r="A920">
        <v>62280</v>
      </c>
      <c r="B920" t="s">
        <v>37</v>
      </c>
      <c r="C920" t="s">
        <v>38</v>
      </c>
      <c r="D920" t="s">
        <v>130</v>
      </c>
      <c r="E920" t="s">
        <v>40</v>
      </c>
      <c r="G920" s="4">
        <v>43947.699212962963</v>
      </c>
      <c r="H920" s="4">
        <v>43947.699247685185</v>
      </c>
      <c r="I920" t="s">
        <v>85</v>
      </c>
      <c r="J920" s="5">
        <v>3</v>
      </c>
      <c r="K920" t="s">
        <v>38</v>
      </c>
      <c r="M920">
        <v>62281</v>
      </c>
      <c r="N920" t="s">
        <v>163</v>
      </c>
      <c r="O920" t="s">
        <v>164</v>
      </c>
      <c r="P920" t="s">
        <v>38</v>
      </c>
      <c r="Q920" t="s">
        <v>50</v>
      </c>
      <c r="R920">
        <v>0</v>
      </c>
      <c r="S920" t="s">
        <v>45</v>
      </c>
      <c r="T920" t="str" s="2">
        <f>=HYPERLINK("http://demo.enginatics.com:80/ecc/user/applications/log/62280.log","http://demo.enginatics.com:80/ecc/user/applications/log/62280.log")</f>
        <v>"http://demo.enginatics.com:80/ecc/user/applications/log/62280.log")</v>
      </c>
      <c r="U920">
        <v>62282</v>
      </c>
      <c r="V920" t="s">
        <v>38</v>
      </c>
      <c r="W920" t="s">
        <v>50</v>
      </c>
      <c r="X920">
        <v>0</v>
      </c>
      <c r="Y920">
        <v>0</v>
      </c>
      <c r="Z920" t="s">
        <v>46</v>
      </c>
      <c r="AA920">
        <v>62283</v>
      </c>
      <c r="AB920" t="s">
        <v>168</v>
      </c>
      <c r="AC920" t="s">
        <v>68</v>
      </c>
      <c r="AD920" t="s">
        <v>38</v>
      </c>
      <c r="AE920" t="s">
        <v>49</v>
      </c>
      <c r="AF920" t="s">
        <v>50</v>
      </c>
      <c r="AG920">
        <v>0</v>
      </c>
      <c r="AH920">
        <v>0</v>
      </c>
      <c r="AI920" t="s">
        <v>51</v>
      </c>
      <c r="AJ920" t="s">
        <v>51</v>
      </c>
      <c r="AK920" t="s">
        <v>51</v>
      </c>
    </row>
    <row r="921" spans="1:37" x14ac:dyDescent="0.2">
      <c r="A921">
        <v>62276</v>
      </c>
      <c r="B921" t="s">
        <v>37</v>
      </c>
      <c r="C921" t="s">
        <v>38</v>
      </c>
      <c r="D921" t="s">
        <v>169</v>
      </c>
      <c r="E921" t="s">
        <v>170</v>
      </c>
      <c r="G921" s="4">
        <v>43947.680474537037</v>
      </c>
      <c r="H921" s="4">
        <v>43947.680474537037</v>
      </c>
      <c r="I921" t="s">
        <v>50</v>
      </c>
      <c r="J921" s="5">
        <v>0</v>
      </c>
      <c r="K921" t="s">
        <v>38</v>
      </c>
      <c r="M921">
        <v>62277</v>
      </c>
      <c r="N921" t="s">
        <v>170</v>
      </c>
      <c r="O921" t="s">
        <v>171</v>
      </c>
      <c r="P921" t="s">
        <v>38</v>
      </c>
      <c r="Q921" t="s">
        <v>50</v>
      </c>
      <c r="R921">
        <v>0</v>
      </c>
      <c r="S921" t="s">
        <v>45</v>
      </c>
      <c r="T921" t="str" s="2">
        <f>=HYPERLINK("http://demo.enginatics.com:80/ecc/user/applications/log/62276.log","http://demo.enginatics.com:80/ecc/user/applications/log/62276.log")</f>
        <v>"http://demo.enginatics.com:80/ecc/user/applications/log/62276.log")</v>
      </c>
      <c r="U921">
        <v>62278</v>
      </c>
      <c r="V921" t="s">
        <v>38</v>
      </c>
      <c r="W921" t="s">
        <v>50</v>
      </c>
      <c r="X921">
        <v>0</v>
      </c>
      <c r="Y921">
        <v>0</v>
      </c>
      <c r="Z921" t="s">
        <v>46</v>
      </c>
      <c r="AA921">
        <v>62279</v>
      </c>
      <c r="AB921" t="s">
        <v>172</v>
      </c>
      <c r="AC921" t="s">
        <v>68</v>
      </c>
      <c r="AD921" t="s">
        <v>38</v>
      </c>
      <c r="AE921" t="s">
        <v>49</v>
      </c>
      <c r="AF921" t="s">
        <v>50</v>
      </c>
      <c r="AG921">
        <v>0</v>
      </c>
      <c r="AH921">
        <v>0</v>
      </c>
      <c r="AI921" t="s">
        <v>51</v>
      </c>
      <c r="AJ921" t="s">
        <v>51</v>
      </c>
      <c r="AK921" t="s">
        <v>51</v>
      </c>
    </row>
    <row r="922" spans="1:37" x14ac:dyDescent="0.2">
      <c r="A922">
        <v>62272</v>
      </c>
      <c r="B922" t="s">
        <v>37</v>
      </c>
      <c r="C922" t="s">
        <v>38</v>
      </c>
      <c r="D922" t="s">
        <v>169</v>
      </c>
      <c r="E922" t="s">
        <v>173</v>
      </c>
      <c r="G922" s="4">
        <v>43947.680277777778</v>
      </c>
      <c r="H922" s="4">
        <v>43947.680277777778</v>
      </c>
      <c r="I922" t="s">
        <v>50</v>
      </c>
      <c r="J922" s="5">
        <v>0</v>
      </c>
      <c r="K922" t="s">
        <v>38</v>
      </c>
      <c r="M922">
        <v>62273</v>
      </c>
      <c r="N922" t="s">
        <v>173</v>
      </c>
      <c r="O922" t="s">
        <v>174</v>
      </c>
      <c r="P922" t="s">
        <v>38</v>
      </c>
      <c r="Q922" t="s">
        <v>50</v>
      </c>
      <c r="R922">
        <v>0</v>
      </c>
      <c r="S922" t="s">
        <v>45</v>
      </c>
      <c r="T922" t="str" s="2">
        <f>=HYPERLINK("http://demo.enginatics.com:80/ecc/user/applications/log/62272.log","http://demo.enginatics.com:80/ecc/user/applications/log/62272.log")</f>
        <v>"http://demo.enginatics.com:80/ecc/user/applications/log/62272.log")</v>
      </c>
      <c r="U922">
        <v>62274</v>
      </c>
      <c r="V922" t="s">
        <v>38</v>
      </c>
      <c r="W922" t="s">
        <v>50</v>
      </c>
      <c r="X922">
        <v>0</v>
      </c>
      <c r="Y922">
        <v>0</v>
      </c>
      <c r="Z922" t="s">
        <v>46</v>
      </c>
      <c r="AA922">
        <v>62275</v>
      </c>
      <c r="AB922" t="s">
        <v>175</v>
      </c>
      <c r="AC922" t="s">
        <v>68</v>
      </c>
      <c r="AD922" t="s">
        <v>38</v>
      </c>
      <c r="AE922" t="s">
        <v>49</v>
      </c>
      <c r="AF922" t="s">
        <v>50</v>
      </c>
      <c r="AG922">
        <v>0</v>
      </c>
      <c r="AH922">
        <v>0</v>
      </c>
      <c r="AI922" t="s">
        <v>51</v>
      </c>
      <c r="AJ922" t="s">
        <v>51</v>
      </c>
      <c r="AK922" t="s">
        <v>51</v>
      </c>
    </row>
    <row r="923" spans="1:37" x14ac:dyDescent="0.2">
      <c r="A923">
        <v>62268</v>
      </c>
      <c r="B923" t="s">
        <v>37</v>
      </c>
      <c r="C923" t="s">
        <v>38</v>
      </c>
      <c r="D923" t="s">
        <v>169</v>
      </c>
      <c r="E923" t="s">
        <v>176</v>
      </c>
      <c r="G923" s="4">
        <v>43947.680162037037</v>
      </c>
      <c r="H923" s="4">
        <v>43947.680173611111</v>
      </c>
      <c r="I923" t="s">
        <v>50</v>
      </c>
      <c r="J923" s="5">
        <v>.9999999999999999999999999999999999999996</v>
      </c>
      <c r="K923" t="s">
        <v>38</v>
      </c>
      <c r="M923">
        <v>62269</v>
      </c>
      <c r="N923" t="s">
        <v>176</v>
      </c>
      <c r="O923" t="s">
        <v>177</v>
      </c>
      <c r="P923" t="s">
        <v>38</v>
      </c>
      <c r="Q923" t="s">
        <v>50</v>
      </c>
      <c r="R923">
        <v>.9999999999999999999999999999999999999996</v>
      </c>
      <c r="S923" t="s">
        <v>45</v>
      </c>
      <c r="T923" t="str" s="2">
        <f>=HYPERLINK("http://demo.enginatics.com:80/ecc/user/applications/log/62268.log","http://demo.enginatics.com:80/ecc/user/applications/log/62268.log")</f>
        <v>"http://demo.enginatics.com:80/ecc/user/applications/log/62268.log")</v>
      </c>
      <c r="U923">
        <v>62270</v>
      </c>
      <c r="V923" t="s">
        <v>38</v>
      </c>
      <c r="W923" t="s">
        <v>50</v>
      </c>
      <c r="X923">
        <v>.9999999999999999999999999999999999999996</v>
      </c>
      <c r="Y923">
        <v>0</v>
      </c>
      <c r="Z923" t="s">
        <v>46</v>
      </c>
      <c r="AA923">
        <v>62271</v>
      </c>
      <c r="AB923" t="s">
        <v>178</v>
      </c>
      <c r="AC923" t="s">
        <v>68</v>
      </c>
      <c r="AD923" t="s">
        <v>38</v>
      </c>
      <c r="AE923" t="s">
        <v>49</v>
      </c>
      <c r="AF923" t="s">
        <v>50</v>
      </c>
      <c r="AG923">
        <v>0</v>
      </c>
      <c r="AH923">
        <v>0</v>
      </c>
      <c r="AI923" t="s">
        <v>51</v>
      </c>
      <c r="AJ923" t="s">
        <v>51</v>
      </c>
      <c r="AK923" t="s">
        <v>51</v>
      </c>
    </row>
    <row r="924" spans="1:37" x14ac:dyDescent="0.2">
      <c r="A924">
        <v>62264</v>
      </c>
      <c r="B924" t="s">
        <v>37</v>
      </c>
      <c r="C924" t="s">
        <v>38</v>
      </c>
      <c r="D924" t="s">
        <v>169</v>
      </c>
      <c r="E924" t="s">
        <v>179</v>
      </c>
      <c r="G924" s="4">
        <v>43947.679756944444</v>
      </c>
      <c r="H924" s="4">
        <v>43947.680046296296</v>
      </c>
      <c r="I924" t="s">
        <v>180</v>
      </c>
      <c r="J924" s="5">
        <v>25.00000000000000000000000000000000000001</v>
      </c>
      <c r="K924" t="s">
        <v>38</v>
      </c>
      <c r="M924">
        <v>62265</v>
      </c>
      <c r="N924" t="s">
        <v>179</v>
      </c>
      <c r="O924" t="s">
        <v>181</v>
      </c>
      <c r="P924" t="s">
        <v>38</v>
      </c>
      <c r="Q924" t="s">
        <v>1153</v>
      </c>
      <c r="R924">
        <v>24.00000000000000000000000000000000000002</v>
      </c>
      <c r="S924" t="s">
        <v>45</v>
      </c>
      <c r="T924" t="str" s="2">
        <f>=HYPERLINK("http://demo.enginatics.com:80/ecc/user/applications/log/62264.log","http://demo.enginatics.com:80/ecc/user/applications/log/62264.log")</f>
        <v>"http://demo.enginatics.com:80/ecc/user/applications/log/62264.log")</v>
      </c>
      <c r="U924">
        <v>62266</v>
      </c>
      <c r="V924" t="s">
        <v>38</v>
      </c>
      <c r="W924" t="s">
        <v>1153</v>
      </c>
      <c r="X924">
        <v>24.00000000000000000000000000000000000002</v>
      </c>
      <c r="Y924">
        <v>0</v>
      </c>
      <c r="Z924" t="s">
        <v>46</v>
      </c>
      <c r="AA924">
        <v>62267</v>
      </c>
      <c r="AB924" t="s">
        <v>182</v>
      </c>
      <c r="AC924" t="s">
        <v>68</v>
      </c>
      <c r="AD924" t="s">
        <v>38</v>
      </c>
      <c r="AE924" t="s">
        <v>49</v>
      </c>
      <c r="AF924" t="s">
        <v>183</v>
      </c>
      <c r="AG924">
        <v>23.00000000000000000000000000000000000003</v>
      </c>
      <c r="AH924">
        <v>22</v>
      </c>
      <c r="AI924" t="s">
        <v>51</v>
      </c>
      <c r="AJ924" t="s">
        <v>51</v>
      </c>
      <c r="AK924" t="s">
        <v>51</v>
      </c>
    </row>
    <row r="925" spans="1:37" x14ac:dyDescent="0.2">
      <c r="A925">
        <v>62260</v>
      </c>
      <c r="B925" t="s">
        <v>37</v>
      </c>
      <c r="C925" t="s">
        <v>38</v>
      </c>
      <c r="D925" t="s">
        <v>169</v>
      </c>
      <c r="E925" t="s">
        <v>184</v>
      </c>
      <c r="G925" s="4">
        <v>43947.679641203704</v>
      </c>
      <c r="H925" s="4">
        <v>43947.679652777778</v>
      </c>
      <c r="I925" t="s">
        <v>50</v>
      </c>
      <c r="J925" s="5">
        <v>.9999999999999999999999999999999999999996</v>
      </c>
      <c r="K925" t="s">
        <v>38</v>
      </c>
      <c r="M925">
        <v>62261</v>
      </c>
      <c r="N925" t="s">
        <v>184</v>
      </c>
      <c r="O925" t="s">
        <v>185</v>
      </c>
      <c r="P925" t="s">
        <v>38</v>
      </c>
      <c r="Q925" t="s">
        <v>50</v>
      </c>
      <c r="R925">
        <v>0</v>
      </c>
      <c r="S925" t="s">
        <v>45</v>
      </c>
      <c r="T925" t="str" s="2">
        <f>=HYPERLINK("http://demo.enginatics.com:80/ecc/user/applications/log/62260.log","http://demo.enginatics.com:80/ecc/user/applications/log/62260.log")</f>
        <v>"http://demo.enginatics.com:80/ecc/user/applications/log/62260.log")</v>
      </c>
      <c r="U925">
        <v>62262</v>
      </c>
      <c r="V925" t="s">
        <v>38</v>
      </c>
      <c r="W925" t="s">
        <v>50</v>
      </c>
      <c r="X925">
        <v>0</v>
      </c>
      <c r="Y925">
        <v>0</v>
      </c>
      <c r="Z925" t="s">
        <v>46</v>
      </c>
      <c r="AA925">
        <v>62263</v>
      </c>
      <c r="AB925" t="s">
        <v>186</v>
      </c>
      <c r="AC925" t="s">
        <v>68</v>
      </c>
      <c r="AD925" t="s">
        <v>38</v>
      </c>
      <c r="AE925" t="s">
        <v>49</v>
      </c>
      <c r="AF925" t="s">
        <v>50</v>
      </c>
      <c r="AG925">
        <v>0</v>
      </c>
      <c r="AH925">
        <v>0</v>
      </c>
      <c r="AI925" t="s">
        <v>51</v>
      </c>
      <c r="AJ925" t="s">
        <v>51</v>
      </c>
      <c r="AK925" t="s">
        <v>51</v>
      </c>
    </row>
    <row r="926" spans="1:37" x14ac:dyDescent="0.2">
      <c r="A926">
        <v>62256</v>
      </c>
      <c r="B926" t="s">
        <v>37</v>
      </c>
      <c r="C926" t="s">
        <v>38</v>
      </c>
      <c r="D926" t="s">
        <v>169</v>
      </c>
      <c r="E926" t="s">
        <v>187</v>
      </c>
      <c r="G926" s="4">
        <v>43947.679456018519</v>
      </c>
      <c r="H926" s="4">
        <v>43947.679537037037</v>
      </c>
      <c r="I926" t="s">
        <v>247</v>
      </c>
      <c r="J926" s="5">
        <v>7</v>
      </c>
      <c r="K926" t="s">
        <v>38</v>
      </c>
      <c r="M926">
        <v>62257</v>
      </c>
      <c r="N926" t="s">
        <v>187</v>
      </c>
      <c r="O926" t="s">
        <v>188</v>
      </c>
      <c r="P926" t="s">
        <v>38</v>
      </c>
      <c r="Q926" t="s">
        <v>75</v>
      </c>
      <c r="R926">
        <v>6</v>
      </c>
      <c r="S926" t="s">
        <v>45</v>
      </c>
      <c r="T926" t="str" s="2">
        <f>=HYPERLINK("http://demo.enginatics.com:80/ecc/user/applications/log/62256.log","http://demo.enginatics.com:80/ecc/user/applications/log/62256.log")</f>
        <v>"http://demo.enginatics.com:80/ecc/user/applications/log/62256.log")</v>
      </c>
      <c r="U926">
        <v>62258</v>
      </c>
      <c r="V926" t="s">
        <v>38</v>
      </c>
      <c r="W926" t="s">
        <v>75</v>
      </c>
      <c r="X926">
        <v>6</v>
      </c>
      <c r="Y926">
        <v>3</v>
      </c>
      <c r="Z926" t="s">
        <v>46</v>
      </c>
      <c r="AA926">
        <v>62259</v>
      </c>
      <c r="AB926" t="s">
        <v>189</v>
      </c>
      <c r="AC926" t="s">
        <v>68</v>
      </c>
      <c r="AD926" t="s">
        <v>38</v>
      </c>
      <c r="AE926" t="s">
        <v>49</v>
      </c>
      <c r="AF926" t="s">
        <v>85</v>
      </c>
      <c r="AG926">
        <v>3</v>
      </c>
      <c r="AH926">
        <v>3</v>
      </c>
      <c r="AI926" t="s">
        <v>51</v>
      </c>
      <c r="AJ926" t="s">
        <v>51</v>
      </c>
      <c r="AK926" t="s">
        <v>51</v>
      </c>
    </row>
    <row r="927" spans="1:37" x14ac:dyDescent="0.2">
      <c r="A927">
        <v>62252</v>
      </c>
      <c r="B927" t="s">
        <v>37</v>
      </c>
      <c r="C927" t="s">
        <v>38</v>
      </c>
      <c r="D927" t="s">
        <v>169</v>
      </c>
      <c r="E927" t="s">
        <v>190</v>
      </c>
      <c r="G927" s="4">
        <v>43947.679293981481</v>
      </c>
      <c r="H927" s="4">
        <v>43947.679305555556</v>
      </c>
      <c r="I927" t="s">
        <v>50</v>
      </c>
      <c r="J927" s="5">
        <v>.9999999999999999999999999999999999999996</v>
      </c>
      <c r="K927" t="s">
        <v>38</v>
      </c>
      <c r="M927">
        <v>62253</v>
      </c>
      <c r="N927" t="s">
        <v>190</v>
      </c>
      <c r="O927" t="s">
        <v>191</v>
      </c>
      <c r="P927" t="s">
        <v>38</v>
      </c>
      <c r="Q927" t="s">
        <v>50</v>
      </c>
      <c r="R927">
        <v>0</v>
      </c>
      <c r="S927" t="s">
        <v>45</v>
      </c>
      <c r="T927" t="str" s="2">
        <f>=HYPERLINK("http://demo.enginatics.com:80/ecc/user/applications/log/62252.log","http://demo.enginatics.com:80/ecc/user/applications/log/62252.log")</f>
        <v>"http://demo.enginatics.com:80/ecc/user/applications/log/62252.log")</v>
      </c>
      <c r="U927">
        <v>62254</v>
      </c>
      <c r="V927" t="s">
        <v>38</v>
      </c>
      <c r="W927" t="s">
        <v>50</v>
      </c>
      <c r="X927">
        <v>0</v>
      </c>
      <c r="Y927">
        <v>0</v>
      </c>
      <c r="Z927" t="s">
        <v>46</v>
      </c>
      <c r="AA927">
        <v>62255</v>
      </c>
      <c r="AB927" t="s">
        <v>192</v>
      </c>
      <c r="AC927" t="s">
        <v>68</v>
      </c>
      <c r="AD927" t="s">
        <v>38</v>
      </c>
      <c r="AE927" t="s">
        <v>49</v>
      </c>
      <c r="AF927" t="s">
        <v>50</v>
      </c>
      <c r="AG927">
        <v>0</v>
      </c>
      <c r="AH927">
        <v>0</v>
      </c>
      <c r="AI927" t="s">
        <v>51</v>
      </c>
      <c r="AJ927" t="s">
        <v>51</v>
      </c>
      <c r="AK927" t="s">
        <v>51</v>
      </c>
    </row>
    <row r="928" spans="1:37" x14ac:dyDescent="0.2">
      <c r="A928">
        <v>62248</v>
      </c>
      <c r="B928" t="s">
        <v>37</v>
      </c>
      <c r="C928" t="s">
        <v>38</v>
      </c>
      <c r="D928" t="s">
        <v>169</v>
      </c>
      <c r="E928" t="s">
        <v>193</v>
      </c>
      <c r="G928" s="4">
        <v>43947.679189814815</v>
      </c>
      <c r="H928" s="4">
        <v>43947.679212962963</v>
      </c>
      <c r="I928" t="s">
        <v>88</v>
      </c>
      <c r="J928" s="5">
        <v>2</v>
      </c>
      <c r="K928" t="s">
        <v>38</v>
      </c>
      <c r="M928">
        <v>62249</v>
      </c>
      <c r="N928" t="s">
        <v>193</v>
      </c>
      <c r="O928" t="s">
        <v>194</v>
      </c>
      <c r="P928" t="s">
        <v>38</v>
      </c>
      <c r="Q928" t="s">
        <v>88</v>
      </c>
      <c r="R928">
        <v>2</v>
      </c>
      <c r="S928" t="s">
        <v>45</v>
      </c>
      <c r="T928" t="str" s="2">
        <f>=HYPERLINK("http://demo.enginatics.com:80/ecc/user/applications/log/62248.log","http://demo.enginatics.com:80/ecc/user/applications/log/62248.log")</f>
        <v>"http://demo.enginatics.com:80/ecc/user/applications/log/62248.log")</v>
      </c>
      <c r="U928">
        <v>62250</v>
      </c>
      <c r="V928" t="s">
        <v>38</v>
      </c>
      <c r="W928" t="s">
        <v>50</v>
      </c>
      <c r="X928">
        <v>.9999999999999999999999999999999999999996</v>
      </c>
      <c r="Y928">
        <v>0</v>
      </c>
      <c r="Z928" t="s">
        <v>46</v>
      </c>
      <c r="AA928">
        <v>62251</v>
      </c>
      <c r="AB928" t="s">
        <v>195</v>
      </c>
      <c r="AC928" t="s">
        <v>68</v>
      </c>
      <c r="AD928" t="s">
        <v>38</v>
      </c>
      <c r="AE928" t="s">
        <v>49</v>
      </c>
      <c r="AF928" t="s">
        <v>50</v>
      </c>
      <c r="AG928">
        <v>.9999999999999999999999999999999999999996</v>
      </c>
      <c r="AH928">
        <v>0</v>
      </c>
      <c r="AI928" t="s">
        <v>51</v>
      </c>
      <c r="AJ928" t="s">
        <v>51</v>
      </c>
      <c r="AK928" t="s">
        <v>51</v>
      </c>
    </row>
    <row r="929" spans="1:37" x14ac:dyDescent="0.2">
      <c r="A929">
        <v>62245</v>
      </c>
      <c r="B929" t="s">
        <v>37</v>
      </c>
      <c r="C929" t="s">
        <v>196</v>
      </c>
      <c r="D929" t="s">
        <v>169</v>
      </c>
      <c r="E929" t="s">
        <v>197</v>
      </c>
      <c r="G929" s="4">
        <v>43947.67900462963</v>
      </c>
      <c r="H929" s="4">
        <v>43947.67900462963</v>
      </c>
      <c r="I929" t="s">
        <v>50</v>
      </c>
      <c r="J929" s="5">
        <v>0</v>
      </c>
      <c r="K929" t="s">
        <v>196</v>
      </c>
      <c r="M929">
        <v>62246</v>
      </c>
      <c r="N929" t="s">
        <v>197</v>
      </c>
      <c r="O929" t="s">
        <v>198</v>
      </c>
      <c r="P929" t="s">
        <v>196</v>
      </c>
      <c r="Q929" t="s">
        <v>50</v>
      </c>
      <c r="R929">
        <v>0</v>
      </c>
      <c r="S929" t="s">
        <v>199</v>
      </c>
      <c r="T929" t="str" s="2">
        <f>=HYPERLINK("http://demo.enginatics.com:80/ecc/user/applications/log/62245.log","http://demo.enginatics.com:80/ecc/user/applications/log/62245.log")</f>
        <v>"http://demo.enginatics.com:80/ecc/user/applications/log/62245.log")</v>
      </c>
      <c r="U929">
        <v>62247</v>
      </c>
      <c r="V929" t="s">
        <v>196</v>
      </c>
      <c r="W929" t="s">
        <v>50</v>
      </c>
      <c r="X929">
        <v>0</v>
      </c>
      <c r="Y929">
        <v>0</v>
      </c>
      <c r="Z929" t="s">
        <v>1154</v>
      </c>
    </row>
    <row r="930" spans="1:37" x14ac:dyDescent="0.2">
      <c r="A930">
        <v>62241</v>
      </c>
      <c r="B930" t="s">
        <v>37</v>
      </c>
      <c r="C930" t="s">
        <v>38</v>
      </c>
      <c r="D930" t="s">
        <v>169</v>
      </c>
      <c r="E930" t="s">
        <v>201</v>
      </c>
      <c r="G930" s="4">
        <v>43947.674814814815</v>
      </c>
      <c r="H930" s="4">
        <v>43947.674930555556</v>
      </c>
      <c r="I930" t="s">
        <v>300</v>
      </c>
      <c r="J930" s="5">
        <v>10.00000000000000000000000000000000000002</v>
      </c>
      <c r="K930" t="s">
        <v>38</v>
      </c>
      <c r="M930">
        <v>62242</v>
      </c>
      <c r="N930" t="s">
        <v>201</v>
      </c>
      <c r="O930" t="s">
        <v>202</v>
      </c>
      <c r="P930" t="s">
        <v>38</v>
      </c>
      <c r="Q930" t="s">
        <v>300</v>
      </c>
      <c r="R930">
        <v>10.00000000000000000000000000000000000002</v>
      </c>
      <c r="S930" t="s">
        <v>45</v>
      </c>
      <c r="T930" t="str" s="2">
        <f>=HYPERLINK("http://demo.enginatics.com:80/ecc/user/applications/log/62241.log","http://demo.enginatics.com:80/ecc/user/applications/log/62241.log")</f>
        <v>"http://demo.enginatics.com:80/ecc/user/applications/log/62241.log")</v>
      </c>
      <c r="U930">
        <v>62243</v>
      </c>
      <c r="V930" t="s">
        <v>38</v>
      </c>
      <c r="W930" t="s">
        <v>300</v>
      </c>
      <c r="X930">
        <v>10.00000000000000000000000000000000000002</v>
      </c>
      <c r="Y930">
        <v>8</v>
      </c>
      <c r="Z930" t="s">
        <v>46</v>
      </c>
      <c r="AA930">
        <v>62244</v>
      </c>
      <c r="AB930" t="s">
        <v>898</v>
      </c>
      <c r="AC930" t="s">
        <v>68</v>
      </c>
      <c r="AD930" t="s">
        <v>38</v>
      </c>
      <c r="AE930" t="s">
        <v>49</v>
      </c>
      <c r="AF930" t="s">
        <v>50</v>
      </c>
      <c r="AG930">
        <v>.9999999999999999999999999999999999999996</v>
      </c>
      <c r="AH930">
        <v>0</v>
      </c>
      <c r="AI930" t="s">
        <v>51</v>
      </c>
      <c r="AJ930" t="s">
        <v>51</v>
      </c>
      <c r="AK930" t="s">
        <v>51</v>
      </c>
    </row>
    <row r="931" spans="1:37" x14ac:dyDescent="0.2">
      <c r="A931">
        <v>62236</v>
      </c>
      <c r="B931" t="s">
        <v>37</v>
      </c>
      <c r="C931" t="s">
        <v>38</v>
      </c>
      <c r="D931" t="s">
        <v>169</v>
      </c>
      <c r="E931" t="s">
        <v>204</v>
      </c>
      <c r="G931" s="4">
        <v>43947.674652777778</v>
      </c>
      <c r="H931" s="4">
        <v>43947.674699074074</v>
      </c>
      <c r="I931" t="s">
        <v>44</v>
      </c>
      <c r="J931" s="5">
        <v>4</v>
      </c>
      <c r="K931" t="s">
        <v>38</v>
      </c>
      <c r="M931">
        <v>62237</v>
      </c>
      <c r="N931" t="s">
        <v>204</v>
      </c>
      <c r="O931" t="s">
        <v>205</v>
      </c>
      <c r="P931" t="s">
        <v>38</v>
      </c>
      <c r="Q931" t="s">
        <v>44</v>
      </c>
      <c r="R931">
        <v>4</v>
      </c>
      <c r="S931" t="s">
        <v>45</v>
      </c>
      <c r="T931" t="str" s="2">
        <f>=HYPERLINK("http://demo.enginatics.com:80/ecc/user/applications/log/62236.log","http://demo.enginatics.com:80/ecc/user/applications/log/62236.log")</f>
        <v>"http://demo.enginatics.com:80/ecc/user/applications/log/62236.log")</v>
      </c>
      <c r="U931">
        <v>62238</v>
      </c>
      <c r="V931" t="s">
        <v>38</v>
      </c>
      <c r="W931" t="s">
        <v>44</v>
      </c>
      <c r="X931">
        <v>4</v>
      </c>
      <c r="Y931">
        <v>1</v>
      </c>
      <c r="Z931" t="s">
        <v>46</v>
      </c>
      <c r="AA931">
        <v>62240</v>
      </c>
      <c r="AB931" t="s">
        <v>206</v>
      </c>
      <c r="AC931" t="s">
        <v>68</v>
      </c>
      <c r="AD931" t="s">
        <v>38</v>
      </c>
      <c r="AE931" t="s">
        <v>49</v>
      </c>
      <c r="AF931" t="s">
        <v>50</v>
      </c>
      <c r="AG931">
        <v>.9999999999999999999999999999999999999996</v>
      </c>
      <c r="AH931">
        <v>0</v>
      </c>
      <c r="AI931" t="s">
        <v>51</v>
      </c>
      <c r="AJ931" t="s">
        <v>51</v>
      </c>
      <c r="AK931" t="s">
        <v>51</v>
      </c>
    </row>
    <row r="932" spans="1:37" x14ac:dyDescent="0.2">
      <c r="A932">
        <v>62236</v>
      </c>
      <c r="B932" t="s">
        <v>37</v>
      </c>
      <c r="C932" t="s">
        <v>38</v>
      </c>
      <c r="D932" t="s">
        <v>169</v>
      </c>
      <c r="E932" t="s">
        <v>204</v>
      </c>
      <c r="G932" s="4">
        <v>43947.674652777778</v>
      </c>
      <c r="H932" s="4">
        <v>43947.674699074074</v>
      </c>
      <c r="I932" t="s">
        <v>44</v>
      </c>
      <c r="J932" s="5">
        <v>4</v>
      </c>
      <c r="K932" t="s">
        <v>38</v>
      </c>
      <c r="M932">
        <v>62237</v>
      </c>
      <c r="N932" t="s">
        <v>204</v>
      </c>
      <c r="O932" t="s">
        <v>205</v>
      </c>
      <c r="P932" t="s">
        <v>38</v>
      </c>
      <c r="Q932" t="s">
        <v>44</v>
      </c>
      <c r="R932">
        <v>4</v>
      </c>
      <c r="S932" t="s">
        <v>45</v>
      </c>
      <c r="T932" t="str" s="2">
        <f>=HYPERLINK("http://demo.enginatics.com:80/ecc/user/applications/log/62236.log","http://demo.enginatics.com:80/ecc/user/applications/log/62236.log")</f>
        <v>"http://demo.enginatics.com:80/ecc/user/applications/log/62236.log")</v>
      </c>
      <c r="U932">
        <v>62238</v>
      </c>
      <c r="V932" t="s">
        <v>38</v>
      </c>
      <c r="W932" t="s">
        <v>44</v>
      </c>
      <c r="X932">
        <v>4</v>
      </c>
      <c r="Y932">
        <v>1</v>
      </c>
      <c r="Z932" t="s">
        <v>46</v>
      </c>
      <c r="AA932">
        <v>62239</v>
      </c>
      <c r="AB932" t="s">
        <v>207</v>
      </c>
      <c r="AC932" t="s">
        <v>56</v>
      </c>
      <c r="AD932" t="s">
        <v>38</v>
      </c>
      <c r="AE932" t="s">
        <v>49</v>
      </c>
      <c r="AF932" t="s">
        <v>50</v>
      </c>
      <c r="AG932">
        <v>.9999999999999999999999999999999999999996</v>
      </c>
      <c r="AH932">
        <v>1</v>
      </c>
      <c r="AI932" t="s">
        <v>51</v>
      </c>
      <c r="AJ932" t="s">
        <v>51</v>
      </c>
      <c r="AK932" t="s">
        <v>51</v>
      </c>
    </row>
    <row r="933" spans="1:37" x14ac:dyDescent="0.2">
      <c r="A933">
        <v>62231</v>
      </c>
      <c r="B933" t="s">
        <v>37</v>
      </c>
      <c r="C933" t="s">
        <v>38</v>
      </c>
      <c r="D933" t="s">
        <v>169</v>
      </c>
      <c r="E933" t="s">
        <v>208</v>
      </c>
      <c r="G933" s="4">
        <v>43947.674525462963</v>
      </c>
      <c r="H933" s="4">
        <v>43947.674537037037</v>
      </c>
      <c r="I933" t="s">
        <v>50</v>
      </c>
      <c r="J933" s="5">
        <v>.9999999999999999999999999999999999999996</v>
      </c>
      <c r="K933" t="s">
        <v>38</v>
      </c>
      <c r="M933">
        <v>62232</v>
      </c>
      <c r="N933" t="s">
        <v>208</v>
      </c>
      <c r="O933" t="s">
        <v>209</v>
      </c>
      <c r="P933" t="s">
        <v>38</v>
      </c>
      <c r="Q933" t="s">
        <v>50</v>
      </c>
      <c r="R933">
        <v>.9999999999999999999999999999999999999996</v>
      </c>
      <c r="S933" t="s">
        <v>45</v>
      </c>
      <c r="T933" t="str" s="2">
        <f>=HYPERLINK("http://demo.enginatics.com:80/ecc/user/applications/log/62231.log","http://demo.enginatics.com:80/ecc/user/applications/log/62231.log")</f>
        <v>"http://demo.enginatics.com:80/ecc/user/applications/log/62231.log")</v>
      </c>
      <c r="U933">
        <v>62233</v>
      </c>
      <c r="V933" t="s">
        <v>38</v>
      </c>
      <c r="W933" t="s">
        <v>50</v>
      </c>
      <c r="X933">
        <v>.9999999999999999999999999999999999999996</v>
      </c>
      <c r="Y933">
        <v>0</v>
      </c>
      <c r="Z933" t="s">
        <v>46</v>
      </c>
      <c r="AA933">
        <v>62235</v>
      </c>
      <c r="AB933" t="s">
        <v>210</v>
      </c>
      <c r="AC933" t="s">
        <v>48</v>
      </c>
      <c r="AD933" t="s">
        <v>38</v>
      </c>
      <c r="AE933" t="s">
        <v>49</v>
      </c>
      <c r="AF933" t="s">
        <v>50</v>
      </c>
      <c r="AG933">
        <v>0</v>
      </c>
      <c r="AH933">
        <v>0</v>
      </c>
      <c r="AI933" t="s">
        <v>51</v>
      </c>
      <c r="AJ933" t="s">
        <v>51</v>
      </c>
      <c r="AK933" t="s">
        <v>51</v>
      </c>
    </row>
    <row r="934" spans="1:37" x14ac:dyDescent="0.2">
      <c r="A934">
        <v>62231</v>
      </c>
      <c r="B934" t="s">
        <v>37</v>
      </c>
      <c r="C934" t="s">
        <v>38</v>
      </c>
      <c r="D934" t="s">
        <v>169</v>
      </c>
      <c r="E934" t="s">
        <v>208</v>
      </c>
      <c r="G934" s="4">
        <v>43947.674525462963</v>
      </c>
      <c r="H934" s="4">
        <v>43947.674537037037</v>
      </c>
      <c r="I934" t="s">
        <v>50</v>
      </c>
      <c r="J934" s="5">
        <v>.9999999999999999999999999999999999999996</v>
      </c>
      <c r="K934" t="s">
        <v>38</v>
      </c>
      <c r="M934">
        <v>62232</v>
      </c>
      <c r="N934" t="s">
        <v>208</v>
      </c>
      <c r="O934" t="s">
        <v>209</v>
      </c>
      <c r="P934" t="s">
        <v>38</v>
      </c>
      <c r="Q934" t="s">
        <v>50</v>
      </c>
      <c r="R934">
        <v>.9999999999999999999999999999999999999996</v>
      </c>
      <c r="S934" t="s">
        <v>45</v>
      </c>
      <c r="T934" t="str" s="2">
        <f>=HYPERLINK("http://demo.enginatics.com:80/ecc/user/applications/log/62231.log","http://demo.enginatics.com:80/ecc/user/applications/log/62231.log")</f>
        <v>"http://demo.enginatics.com:80/ecc/user/applications/log/62231.log")</v>
      </c>
      <c r="U934">
        <v>62233</v>
      </c>
      <c r="V934" t="s">
        <v>38</v>
      </c>
      <c r="W934" t="s">
        <v>50</v>
      </c>
      <c r="X934">
        <v>.9999999999999999999999999999999999999996</v>
      </c>
      <c r="Y934">
        <v>0</v>
      </c>
      <c r="Z934" t="s">
        <v>46</v>
      </c>
      <c r="AA934">
        <v>62234</v>
      </c>
      <c r="AB934" t="s">
        <v>211</v>
      </c>
      <c r="AC934" t="s">
        <v>56</v>
      </c>
      <c r="AD934" t="s">
        <v>38</v>
      </c>
      <c r="AE934" t="s">
        <v>49</v>
      </c>
      <c r="AF934" t="s">
        <v>50</v>
      </c>
      <c r="AG934">
        <v>0</v>
      </c>
      <c r="AH934">
        <v>0</v>
      </c>
      <c r="AI934" t="s">
        <v>51</v>
      </c>
      <c r="AJ934" t="s">
        <v>51</v>
      </c>
      <c r="AK934" t="s">
        <v>51</v>
      </c>
    </row>
    <row r="935" spans="1:37" x14ac:dyDescent="0.2">
      <c r="A935">
        <v>62227</v>
      </c>
      <c r="B935" t="s">
        <v>37</v>
      </c>
      <c r="C935" t="s">
        <v>38</v>
      </c>
      <c r="D935" t="s">
        <v>169</v>
      </c>
      <c r="E935" t="s">
        <v>212</v>
      </c>
      <c r="G935" s="4">
        <v>43947.674409722222</v>
      </c>
      <c r="H935" s="4">
        <v>43947.674421296296</v>
      </c>
      <c r="I935" t="s">
        <v>50</v>
      </c>
      <c r="J935" s="5">
        <v>.9999999999999999999999999999999999999996</v>
      </c>
      <c r="K935" t="s">
        <v>38</v>
      </c>
      <c r="M935">
        <v>62228</v>
      </c>
      <c r="N935" t="s">
        <v>212</v>
      </c>
      <c r="O935" t="s">
        <v>213</v>
      </c>
      <c r="P935" t="s">
        <v>38</v>
      </c>
      <c r="Q935" t="s">
        <v>50</v>
      </c>
      <c r="R935">
        <v>.9999999999999999999999999999999999999996</v>
      </c>
      <c r="S935" t="s">
        <v>45</v>
      </c>
      <c r="T935" t="str" s="2">
        <f>=HYPERLINK("http://demo.enginatics.com:80/ecc/user/applications/log/62227.log","http://demo.enginatics.com:80/ecc/user/applications/log/62227.log")</f>
        <v>"http://demo.enginatics.com:80/ecc/user/applications/log/62227.log")</v>
      </c>
      <c r="U935">
        <v>62229</v>
      </c>
      <c r="V935" t="s">
        <v>38</v>
      </c>
      <c r="W935" t="s">
        <v>50</v>
      </c>
      <c r="X935">
        <v>.9999999999999999999999999999999999999996</v>
      </c>
      <c r="Y935">
        <v>0</v>
      </c>
      <c r="Z935" t="s">
        <v>46</v>
      </c>
      <c r="AA935">
        <v>62230</v>
      </c>
      <c r="AB935" t="s">
        <v>899</v>
      </c>
      <c r="AC935" t="s">
        <v>68</v>
      </c>
      <c r="AD935" t="s">
        <v>38</v>
      </c>
      <c r="AE935" t="s">
        <v>49</v>
      </c>
      <c r="AF935" t="s">
        <v>50</v>
      </c>
      <c r="AG935">
        <v>0</v>
      </c>
      <c r="AH935">
        <v>0</v>
      </c>
      <c r="AI935" t="s">
        <v>51</v>
      </c>
      <c r="AJ935" t="s">
        <v>51</v>
      </c>
      <c r="AK935" t="s">
        <v>51</v>
      </c>
    </row>
    <row r="936" spans="1:37" x14ac:dyDescent="0.2">
      <c r="A936">
        <v>62222</v>
      </c>
      <c r="B936" t="s">
        <v>37</v>
      </c>
      <c r="C936" t="s">
        <v>38</v>
      </c>
      <c r="D936" t="s">
        <v>169</v>
      </c>
      <c r="E936" t="s">
        <v>215</v>
      </c>
      <c r="G936" s="4">
        <v>43947.674293981481</v>
      </c>
      <c r="H936" s="4">
        <v>43947.674293981481</v>
      </c>
      <c r="I936" t="s">
        <v>50</v>
      </c>
      <c r="J936" s="5">
        <v>0</v>
      </c>
      <c r="K936" t="s">
        <v>38</v>
      </c>
      <c r="M936">
        <v>62223</v>
      </c>
      <c r="N936" t="s">
        <v>215</v>
      </c>
      <c r="O936" t="s">
        <v>216</v>
      </c>
      <c r="P936" t="s">
        <v>38</v>
      </c>
      <c r="Q936" t="s">
        <v>50</v>
      </c>
      <c r="R936">
        <v>0</v>
      </c>
      <c r="S936" t="s">
        <v>45</v>
      </c>
      <c r="T936" t="str" s="2">
        <f>=HYPERLINK("http://demo.enginatics.com:80/ecc/user/applications/log/62222.log","http://demo.enginatics.com:80/ecc/user/applications/log/62222.log")</f>
        <v>"http://demo.enginatics.com:80/ecc/user/applications/log/62222.log")</v>
      </c>
      <c r="U936">
        <v>62224</v>
      </c>
      <c r="V936" t="s">
        <v>38</v>
      </c>
      <c r="W936" t="s">
        <v>50</v>
      </c>
      <c r="X936">
        <v>0</v>
      </c>
      <c r="Y936">
        <v>0</v>
      </c>
      <c r="Z936" t="s">
        <v>46</v>
      </c>
      <c r="AA936">
        <v>62226</v>
      </c>
      <c r="AB936" t="s">
        <v>217</v>
      </c>
      <c r="AC936" t="s">
        <v>48</v>
      </c>
      <c r="AD936" t="s">
        <v>38</v>
      </c>
      <c r="AE936" t="s">
        <v>49</v>
      </c>
      <c r="AF936" t="s">
        <v>50</v>
      </c>
      <c r="AG936">
        <v>0</v>
      </c>
      <c r="AH936">
        <v>0</v>
      </c>
      <c r="AI936" t="s">
        <v>51</v>
      </c>
      <c r="AJ936" t="s">
        <v>51</v>
      </c>
      <c r="AK936" t="s">
        <v>51</v>
      </c>
    </row>
    <row r="937" spans="1:37" x14ac:dyDescent="0.2">
      <c r="A937">
        <v>62222</v>
      </c>
      <c r="B937" t="s">
        <v>37</v>
      </c>
      <c r="C937" t="s">
        <v>38</v>
      </c>
      <c r="D937" t="s">
        <v>169</v>
      </c>
      <c r="E937" t="s">
        <v>215</v>
      </c>
      <c r="G937" s="4">
        <v>43947.674293981481</v>
      </c>
      <c r="H937" s="4">
        <v>43947.674293981481</v>
      </c>
      <c r="I937" t="s">
        <v>50</v>
      </c>
      <c r="J937" s="5">
        <v>0</v>
      </c>
      <c r="K937" t="s">
        <v>38</v>
      </c>
      <c r="M937">
        <v>62223</v>
      </c>
      <c r="N937" t="s">
        <v>215</v>
      </c>
      <c r="O937" t="s">
        <v>216</v>
      </c>
      <c r="P937" t="s">
        <v>38</v>
      </c>
      <c r="Q937" t="s">
        <v>50</v>
      </c>
      <c r="R937">
        <v>0</v>
      </c>
      <c r="S937" t="s">
        <v>45</v>
      </c>
      <c r="T937" t="str" s="2">
        <f>=HYPERLINK("http://demo.enginatics.com:80/ecc/user/applications/log/62222.log","http://demo.enginatics.com:80/ecc/user/applications/log/62222.log")</f>
        <v>"http://demo.enginatics.com:80/ecc/user/applications/log/62222.log")</v>
      </c>
      <c r="U937">
        <v>62224</v>
      </c>
      <c r="V937" t="s">
        <v>38</v>
      </c>
      <c r="W937" t="s">
        <v>50</v>
      </c>
      <c r="X937">
        <v>0</v>
      </c>
      <c r="Y937">
        <v>0</v>
      </c>
      <c r="Z937" t="s">
        <v>46</v>
      </c>
      <c r="AA937">
        <v>62225</v>
      </c>
      <c r="AB937" t="s">
        <v>218</v>
      </c>
      <c r="AC937" t="s">
        <v>56</v>
      </c>
      <c r="AD937" t="s">
        <v>38</v>
      </c>
      <c r="AE937" t="s">
        <v>49</v>
      </c>
      <c r="AF937" t="s">
        <v>50</v>
      </c>
      <c r="AG937">
        <v>0</v>
      </c>
      <c r="AH937">
        <v>0</v>
      </c>
      <c r="AI937" t="s">
        <v>51</v>
      </c>
      <c r="AJ937" t="s">
        <v>51</v>
      </c>
      <c r="AK937" t="s">
        <v>51</v>
      </c>
    </row>
    <row r="938" spans="1:37" x14ac:dyDescent="0.2">
      <c r="A938">
        <v>62217</v>
      </c>
      <c r="B938" t="s">
        <v>37</v>
      </c>
      <c r="C938" t="s">
        <v>38</v>
      </c>
      <c r="D938" t="s">
        <v>169</v>
      </c>
      <c r="E938" t="s">
        <v>219</v>
      </c>
      <c r="G938" s="4">
        <v>43947.673923611111</v>
      </c>
      <c r="H938" s="4">
        <v>43947.674201388889</v>
      </c>
      <c r="I938" t="s">
        <v>1153</v>
      </c>
      <c r="J938" s="5">
        <v>24.00000000000000000000000000000000000002</v>
      </c>
      <c r="K938" t="s">
        <v>38</v>
      </c>
      <c r="M938">
        <v>62218</v>
      </c>
      <c r="N938" t="s">
        <v>219</v>
      </c>
      <c r="O938" t="s">
        <v>220</v>
      </c>
      <c r="P938" t="s">
        <v>38</v>
      </c>
      <c r="Q938" t="s">
        <v>911</v>
      </c>
      <c r="R938">
        <v>22.00000000000000000000000000000000000003</v>
      </c>
      <c r="S938" t="s">
        <v>45</v>
      </c>
      <c r="T938" t="str" s="2">
        <f>=HYPERLINK("http://demo.enginatics.com:80/ecc/user/applications/log/62217.log","http://demo.enginatics.com:80/ecc/user/applications/log/62217.log")</f>
        <v>"http://demo.enginatics.com:80/ecc/user/applications/log/62217.log")</v>
      </c>
      <c r="U938">
        <v>62219</v>
      </c>
      <c r="V938" t="s">
        <v>38</v>
      </c>
      <c r="W938" t="s">
        <v>911</v>
      </c>
      <c r="X938">
        <v>22.00000000000000000000000000000000000003</v>
      </c>
      <c r="Y938">
        <v>22</v>
      </c>
      <c r="Z938" t="s">
        <v>46</v>
      </c>
      <c r="AA938">
        <v>62221</v>
      </c>
      <c r="AB938" t="s">
        <v>221</v>
      </c>
      <c r="AC938" t="s">
        <v>48</v>
      </c>
      <c r="AD938" t="s">
        <v>38</v>
      </c>
      <c r="AE938" t="s">
        <v>49</v>
      </c>
      <c r="AF938" t="s">
        <v>50</v>
      </c>
      <c r="AG938">
        <v>0</v>
      </c>
      <c r="AH938">
        <v>0</v>
      </c>
      <c r="AI938" t="s">
        <v>51</v>
      </c>
      <c r="AJ938" t="s">
        <v>51</v>
      </c>
      <c r="AK938" t="s">
        <v>51</v>
      </c>
    </row>
    <row r="939" spans="1:37" x14ac:dyDescent="0.2">
      <c r="A939">
        <v>62217</v>
      </c>
      <c r="B939" t="s">
        <v>37</v>
      </c>
      <c r="C939" t="s">
        <v>38</v>
      </c>
      <c r="D939" t="s">
        <v>169</v>
      </c>
      <c r="E939" t="s">
        <v>219</v>
      </c>
      <c r="G939" s="4">
        <v>43947.673923611111</v>
      </c>
      <c r="H939" s="4">
        <v>43947.674201388889</v>
      </c>
      <c r="I939" t="s">
        <v>1153</v>
      </c>
      <c r="J939" s="5">
        <v>24.00000000000000000000000000000000000002</v>
      </c>
      <c r="K939" t="s">
        <v>38</v>
      </c>
      <c r="M939">
        <v>62218</v>
      </c>
      <c r="N939" t="s">
        <v>219</v>
      </c>
      <c r="O939" t="s">
        <v>220</v>
      </c>
      <c r="P939" t="s">
        <v>38</v>
      </c>
      <c r="Q939" t="s">
        <v>911</v>
      </c>
      <c r="R939">
        <v>22.00000000000000000000000000000000000003</v>
      </c>
      <c r="S939" t="s">
        <v>45</v>
      </c>
      <c r="T939" t="str" s="2">
        <f>=HYPERLINK("http://demo.enginatics.com:80/ecc/user/applications/log/62217.log","http://demo.enginatics.com:80/ecc/user/applications/log/62217.log")</f>
        <v>"http://demo.enginatics.com:80/ecc/user/applications/log/62217.log")</v>
      </c>
      <c r="U939">
        <v>62219</v>
      </c>
      <c r="V939" t="s">
        <v>38</v>
      </c>
      <c r="W939" t="s">
        <v>911</v>
      </c>
      <c r="X939">
        <v>22.00000000000000000000000000000000000003</v>
      </c>
      <c r="Y939">
        <v>22</v>
      </c>
      <c r="Z939" t="s">
        <v>46</v>
      </c>
      <c r="AA939">
        <v>62220</v>
      </c>
      <c r="AB939" t="s">
        <v>222</v>
      </c>
      <c r="AC939" t="s">
        <v>56</v>
      </c>
      <c r="AD939" t="s">
        <v>38</v>
      </c>
      <c r="AE939" t="s">
        <v>49</v>
      </c>
      <c r="AF939" t="s">
        <v>50</v>
      </c>
      <c r="AG939">
        <v>0</v>
      </c>
      <c r="AH939">
        <v>0</v>
      </c>
      <c r="AI939" t="s">
        <v>51</v>
      </c>
      <c r="AJ939" t="s">
        <v>51</v>
      </c>
      <c r="AK939" t="s">
        <v>51</v>
      </c>
    </row>
    <row r="940" spans="1:37" x14ac:dyDescent="0.2">
      <c r="A940">
        <v>62213</v>
      </c>
      <c r="B940" t="s">
        <v>37</v>
      </c>
      <c r="C940" t="s">
        <v>38</v>
      </c>
      <c r="D940" t="s">
        <v>169</v>
      </c>
      <c r="E940" t="s">
        <v>223</v>
      </c>
      <c r="G940" s="4">
        <v>43947.673159722222</v>
      </c>
      <c r="H940" s="4">
        <v>43947.673171296296</v>
      </c>
      <c r="I940" t="s">
        <v>50</v>
      </c>
      <c r="J940" s="5">
        <v>.9999999999999999999999999999999999999996</v>
      </c>
      <c r="K940" t="s">
        <v>38</v>
      </c>
      <c r="M940">
        <v>62214</v>
      </c>
      <c r="N940" t="s">
        <v>223</v>
      </c>
      <c r="O940" t="s">
        <v>224</v>
      </c>
      <c r="P940" t="s">
        <v>38</v>
      </c>
      <c r="Q940" t="s">
        <v>50</v>
      </c>
      <c r="R940">
        <v>0</v>
      </c>
      <c r="S940" t="s">
        <v>45</v>
      </c>
      <c r="T940" t="str" s="2">
        <f>=HYPERLINK("http://demo.enginatics.com:80/ecc/user/applications/log/62213.log","http://demo.enginatics.com:80/ecc/user/applications/log/62213.log")</f>
        <v>"http://demo.enginatics.com:80/ecc/user/applications/log/62213.log")</v>
      </c>
      <c r="U940">
        <v>62215</v>
      </c>
      <c r="V940" t="s">
        <v>38</v>
      </c>
      <c r="W940" t="s">
        <v>50</v>
      </c>
      <c r="X940">
        <v>0</v>
      </c>
      <c r="Y940">
        <v>0</v>
      </c>
      <c r="Z940" t="s">
        <v>46</v>
      </c>
      <c r="AA940">
        <v>62216</v>
      </c>
      <c r="AB940" t="s">
        <v>225</v>
      </c>
      <c r="AC940" t="s">
        <v>68</v>
      </c>
      <c r="AD940" t="s">
        <v>38</v>
      </c>
      <c r="AE940" t="s">
        <v>49</v>
      </c>
      <c r="AF940" t="s">
        <v>50</v>
      </c>
      <c r="AG940">
        <v>0</v>
      </c>
      <c r="AH940">
        <v>0</v>
      </c>
      <c r="AI940" t="s">
        <v>51</v>
      </c>
      <c r="AJ940" t="s">
        <v>51</v>
      </c>
      <c r="AK940" t="s">
        <v>51</v>
      </c>
    </row>
    <row r="941" spans="1:37" x14ac:dyDescent="0.2">
      <c r="A941">
        <v>62209</v>
      </c>
      <c r="B941" t="s">
        <v>37</v>
      </c>
      <c r="C941" t="s">
        <v>38</v>
      </c>
      <c r="D941" t="s">
        <v>169</v>
      </c>
      <c r="E941" t="s">
        <v>226</v>
      </c>
      <c r="G941" s="4">
        <v>43947.673043981481</v>
      </c>
      <c r="H941" s="4">
        <v>43947.673055555556</v>
      </c>
      <c r="I941" t="s">
        <v>50</v>
      </c>
      <c r="J941" s="5">
        <v>.9999999999999999999999999999999999999996</v>
      </c>
      <c r="K941" t="s">
        <v>38</v>
      </c>
      <c r="M941">
        <v>62210</v>
      </c>
      <c r="N941" t="s">
        <v>226</v>
      </c>
      <c r="O941" t="s">
        <v>227</v>
      </c>
      <c r="P941" t="s">
        <v>38</v>
      </c>
      <c r="Q941" t="s">
        <v>50</v>
      </c>
      <c r="R941">
        <v>.9999999999999999999999999999999999999996</v>
      </c>
      <c r="S941" t="s">
        <v>45</v>
      </c>
      <c r="T941" t="str" s="2">
        <f>=HYPERLINK("http://demo.enginatics.com:80/ecc/user/applications/log/62209.log","http://demo.enginatics.com:80/ecc/user/applications/log/62209.log")</f>
        <v>"http://demo.enginatics.com:80/ecc/user/applications/log/62209.log")</v>
      </c>
      <c r="U941">
        <v>62211</v>
      </c>
      <c r="V941" t="s">
        <v>38</v>
      </c>
      <c r="W941" t="s">
        <v>50</v>
      </c>
      <c r="X941">
        <v>.9999999999999999999999999999999999999996</v>
      </c>
      <c r="Y941">
        <v>0</v>
      </c>
      <c r="Z941" t="s">
        <v>46</v>
      </c>
      <c r="AA941">
        <v>62212</v>
      </c>
      <c r="AB941" t="s">
        <v>228</v>
      </c>
      <c r="AC941" t="s">
        <v>68</v>
      </c>
      <c r="AD941" t="s">
        <v>38</v>
      </c>
      <c r="AE941" t="s">
        <v>49</v>
      </c>
      <c r="AF941" t="s">
        <v>50</v>
      </c>
      <c r="AG941">
        <v>.9999999999999999999999999999999999999996</v>
      </c>
      <c r="AH941">
        <v>0</v>
      </c>
      <c r="AI941" t="s">
        <v>51</v>
      </c>
      <c r="AJ941" t="s">
        <v>51</v>
      </c>
      <c r="AK941" t="s">
        <v>51</v>
      </c>
    </row>
    <row r="942" spans="1:37" x14ac:dyDescent="0.2">
      <c r="A942">
        <v>62205</v>
      </c>
      <c r="B942" t="s">
        <v>37</v>
      </c>
      <c r="C942" t="s">
        <v>38</v>
      </c>
      <c r="D942" t="s">
        <v>169</v>
      </c>
      <c r="E942" t="s">
        <v>229</v>
      </c>
      <c r="G942" s="4">
        <v>43947.672881944444</v>
      </c>
      <c r="H942" s="4">
        <v>43947.672881944444</v>
      </c>
      <c r="I942" t="s">
        <v>50</v>
      </c>
      <c r="J942" s="5">
        <v>0</v>
      </c>
      <c r="K942" t="s">
        <v>38</v>
      </c>
      <c r="M942">
        <v>62206</v>
      </c>
      <c r="N942" t="s">
        <v>229</v>
      </c>
      <c r="O942" t="s">
        <v>230</v>
      </c>
      <c r="P942" t="s">
        <v>38</v>
      </c>
      <c r="Q942" t="s">
        <v>50</v>
      </c>
      <c r="R942">
        <v>0</v>
      </c>
      <c r="S942" t="s">
        <v>45</v>
      </c>
      <c r="T942" t="str" s="2">
        <f>=HYPERLINK("http://demo.enginatics.com:80/ecc/user/applications/log/62205.log","http://demo.enginatics.com:80/ecc/user/applications/log/62205.log")</f>
        <v>"http://demo.enginatics.com:80/ecc/user/applications/log/62205.log")</v>
      </c>
      <c r="U942">
        <v>62207</v>
      </c>
      <c r="V942" t="s">
        <v>38</v>
      </c>
      <c r="W942" t="s">
        <v>50</v>
      </c>
      <c r="X942">
        <v>0</v>
      </c>
      <c r="Y942">
        <v>0</v>
      </c>
      <c r="Z942" t="s">
        <v>46</v>
      </c>
      <c r="AA942">
        <v>62208</v>
      </c>
      <c r="AB942" t="s">
        <v>231</v>
      </c>
      <c r="AC942" t="s">
        <v>68</v>
      </c>
      <c r="AD942" t="s">
        <v>38</v>
      </c>
      <c r="AE942" t="s">
        <v>49</v>
      </c>
      <c r="AF942" t="s">
        <v>50</v>
      </c>
      <c r="AG942">
        <v>0</v>
      </c>
      <c r="AH942">
        <v>0</v>
      </c>
      <c r="AI942" t="s">
        <v>51</v>
      </c>
      <c r="AJ942" t="s">
        <v>51</v>
      </c>
      <c r="AK942" t="s">
        <v>51</v>
      </c>
    </row>
    <row r="943" spans="1:37" x14ac:dyDescent="0.2">
      <c r="A943">
        <v>62201</v>
      </c>
      <c r="B943" t="s">
        <v>37</v>
      </c>
      <c r="C943" t="s">
        <v>38</v>
      </c>
      <c r="D943" t="s">
        <v>169</v>
      </c>
      <c r="E943" t="s">
        <v>232</v>
      </c>
      <c r="G943" s="4">
        <v>43947.67275462963</v>
      </c>
      <c r="H943" s="4">
        <v>43947.672766203704</v>
      </c>
      <c r="I943" t="s">
        <v>50</v>
      </c>
      <c r="J943" s="5">
        <v>.9999999999999999999999999999999999999996</v>
      </c>
      <c r="K943" t="s">
        <v>38</v>
      </c>
      <c r="M943">
        <v>62202</v>
      </c>
      <c r="N943" t="s">
        <v>232</v>
      </c>
      <c r="O943" t="s">
        <v>233</v>
      </c>
      <c r="P943" t="s">
        <v>38</v>
      </c>
      <c r="Q943" t="s">
        <v>50</v>
      </c>
      <c r="R943">
        <v>.9999999999999999999999999999999999999996</v>
      </c>
      <c r="S943" t="s">
        <v>45</v>
      </c>
      <c r="T943" t="str" s="2">
        <f>=HYPERLINK("http://demo.enginatics.com:80/ecc/user/applications/log/62201.log","http://demo.enginatics.com:80/ecc/user/applications/log/62201.log")</f>
        <v>"http://demo.enginatics.com:80/ecc/user/applications/log/62201.log")</v>
      </c>
      <c r="U943">
        <v>62203</v>
      </c>
      <c r="V943" t="s">
        <v>38</v>
      </c>
      <c r="W943" t="s">
        <v>50</v>
      </c>
      <c r="X943">
        <v>.9999999999999999999999999999999999999996</v>
      </c>
      <c r="Y943">
        <v>0</v>
      </c>
      <c r="Z943" t="s">
        <v>46</v>
      </c>
      <c r="AA943">
        <v>62204</v>
      </c>
      <c r="AB943" t="s">
        <v>234</v>
      </c>
      <c r="AC943" t="s">
        <v>68</v>
      </c>
      <c r="AD943" t="s">
        <v>38</v>
      </c>
      <c r="AE943" t="s">
        <v>49</v>
      </c>
      <c r="AF943" t="s">
        <v>50</v>
      </c>
      <c r="AG943">
        <v>.9999999999999999999999999999999999999996</v>
      </c>
      <c r="AH943">
        <v>0</v>
      </c>
      <c r="AI943" t="s">
        <v>51</v>
      </c>
      <c r="AJ943" t="s">
        <v>51</v>
      </c>
      <c r="AK943" t="s">
        <v>51</v>
      </c>
    </row>
    <row r="944" spans="1:37" x14ac:dyDescent="0.2">
      <c r="A944">
        <v>62197</v>
      </c>
      <c r="B944" t="s">
        <v>37</v>
      </c>
      <c r="C944" t="s">
        <v>38</v>
      </c>
      <c r="D944" t="s">
        <v>169</v>
      </c>
      <c r="E944" t="s">
        <v>235</v>
      </c>
      <c r="G944" s="4">
        <v>43947.672581018519</v>
      </c>
      <c r="H944" s="4">
        <v>43947.672662037037</v>
      </c>
      <c r="I944" t="s">
        <v>247</v>
      </c>
      <c r="J944" s="5">
        <v>7</v>
      </c>
      <c r="K944" t="s">
        <v>38</v>
      </c>
      <c r="M944">
        <v>62198</v>
      </c>
      <c r="N944" t="s">
        <v>235</v>
      </c>
      <c r="O944" t="s">
        <v>237</v>
      </c>
      <c r="P944" t="s">
        <v>38</v>
      </c>
      <c r="Q944" t="s">
        <v>247</v>
      </c>
      <c r="R944">
        <v>7</v>
      </c>
      <c r="S944" t="s">
        <v>45</v>
      </c>
      <c r="T944" t="str" s="2">
        <f>=HYPERLINK("http://demo.enginatics.com:80/ecc/user/applications/log/62197.log","http://demo.enginatics.com:80/ecc/user/applications/log/62197.log")</f>
        <v>"http://demo.enginatics.com:80/ecc/user/applications/log/62197.log")</v>
      </c>
      <c r="U944">
        <v>62199</v>
      </c>
      <c r="V944" t="s">
        <v>38</v>
      </c>
      <c r="W944" t="s">
        <v>78</v>
      </c>
      <c r="X944">
        <v>5</v>
      </c>
      <c r="Y944">
        <v>0</v>
      </c>
      <c r="Z944" t="s">
        <v>46</v>
      </c>
      <c r="AA944">
        <v>62200</v>
      </c>
      <c r="AB944" t="s">
        <v>239</v>
      </c>
      <c r="AC944" t="s">
        <v>68</v>
      </c>
      <c r="AD944" t="s">
        <v>38</v>
      </c>
      <c r="AE944" t="s">
        <v>240</v>
      </c>
      <c r="AF944" t="s">
        <v>44</v>
      </c>
      <c r="AG944">
        <v>4</v>
      </c>
      <c r="AH944">
        <v>0</v>
      </c>
      <c r="AI944" t="s">
        <v>241</v>
      </c>
      <c r="AJ944" t="s">
        <v>51</v>
      </c>
      <c r="AK944" t="s">
        <v>241</v>
      </c>
    </row>
    <row r="945" spans="1:37" x14ac:dyDescent="0.2">
      <c r="A945">
        <v>62192</v>
      </c>
      <c r="B945" t="s">
        <v>37</v>
      </c>
      <c r="C945" t="s">
        <v>38</v>
      </c>
      <c r="D945" t="s">
        <v>169</v>
      </c>
      <c r="E945" t="s">
        <v>242</v>
      </c>
      <c r="G945" s="4">
        <v>43947.672476851852</v>
      </c>
      <c r="H945" s="4">
        <v>43947.672488425926</v>
      </c>
      <c r="I945" t="s">
        <v>50</v>
      </c>
      <c r="J945" s="5">
        <v>.9999999999999999999999999999999999999996</v>
      </c>
      <c r="K945" t="s">
        <v>38</v>
      </c>
      <c r="M945">
        <v>62193</v>
      </c>
      <c r="N945" t="s">
        <v>242</v>
      </c>
      <c r="O945" t="s">
        <v>243</v>
      </c>
      <c r="P945" t="s">
        <v>38</v>
      </c>
      <c r="Q945" t="s">
        <v>50</v>
      </c>
      <c r="R945">
        <v>.9999999999999999999999999999999999999996</v>
      </c>
      <c r="S945" t="s">
        <v>45</v>
      </c>
      <c r="T945" t="str" s="2">
        <f>=HYPERLINK("http://demo.enginatics.com:80/ecc/user/applications/log/62192.log","http://demo.enginatics.com:80/ecc/user/applications/log/62192.log")</f>
        <v>"http://demo.enginatics.com:80/ecc/user/applications/log/62192.log")</v>
      </c>
      <c r="U945">
        <v>62194</v>
      </c>
      <c r="V945" t="s">
        <v>38</v>
      </c>
      <c r="W945" t="s">
        <v>50</v>
      </c>
      <c r="X945">
        <v>.9999999999999999999999999999999999999996</v>
      </c>
      <c r="Y945">
        <v>0</v>
      </c>
      <c r="Z945" t="s">
        <v>46</v>
      </c>
      <c r="AA945">
        <v>62196</v>
      </c>
      <c r="AB945" t="s">
        <v>244</v>
      </c>
      <c r="AC945" t="s">
        <v>56</v>
      </c>
      <c r="AD945" t="s">
        <v>38</v>
      </c>
      <c r="AE945" t="s">
        <v>49</v>
      </c>
      <c r="AF945" t="s">
        <v>50</v>
      </c>
      <c r="AG945">
        <v>0</v>
      </c>
      <c r="AH945">
        <v>0</v>
      </c>
      <c r="AI945" t="s">
        <v>51</v>
      </c>
      <c r="AJ945" t="s">
        <v>51</v>
      </c>
      <c r="AK945" t="s">
        <v>51</v>
      </c>
    </row>
    <row r="946" spans="1:37" x14ac:dyDescent="0.2">
      <c r="A946">
        <v>62192</v>
      </c>
      <c r="B946" t="s">
        <v>37</v>
      </c>
      <c r="C946" t="s">
        <v>38</v>
      </c>
      <c r="D946" t="s">
        <v>169</v>
      </c>
      <c r="E946" t="s">
        <v>242</v>
      </c>
      <c r="G946" s="4">
        <v>43947.672476851852</v>
      </c>
      <c r="H946" s="4">
        <v>43947.672488425926</v>
      </c>
      <c r="I946" t="s">
        <v>50</v>
      </c>
      <c r="J946" s="5">
        <v>.9999999999999999999999999999999999999996</v>
      </c>
      <c r="K946" t="s">
        <v>38</v>
      </c>
      <c r="M946">
        <v>62193</v>
      </c>
      <c r="N946" t="s">
        <v>242</v>
      </c>
      <c r="O946" t="s">
        <v>243</v>
      </c>
      <c r="P946" t="s">
        <v>38</v>
      </c>
      <c r="Q946" t="s">
        <v>50</v>
      </c>
      <c r="R946">
        <v>.9999999999999999999999999999999999999996</v>
      </c>
      <c r="S946" t="s">
        <v>45</v>
      </c>
      <c r="T946" t="str" s="2">
        <f>=HYPERLINK("http://demo.enginatics.com:80/ecc/user/applications/log/62192.log","http://demo.enginatics.com:80/ecc/user/applications/log/62192.log")</f>
        <v>"http://demo.enginatics.com:80/ecc/user/applications/log/62192.log")</v>
      </c>
      <c r="U946">
        <v>62194</v>
      </c>
      <c r="V946" t="s">
        <v>38</v>
      </c>
      <c r="W946" t="s">
        <v>50</v>
      </c>
      <c r="X946">
        <v>.9999999999999999999999999999999999999996</v>
      </c>
      <c r="Y946">
        <v>0</v>
      </c>
      <c r="Z946" t="s">
        <v>46</v>
      </c>
      <c r="AA946">
        <v>62195</v>
      </c>
      <c r="AB946" t="s">
        <v>245</v>
      </c>
      <c r="AC946" t="s">
        <v>68</v>
      </c>
      <c r="AD946" t="s">
        <v>38</v>
      </c>
      <c r="AE946" t="s">
        <v>49</v>
      </c>
      <c r="AF946" t="s">
        <v>50</v>
      </c>
      <c r="AG946">
        <v>0</v>
      </c>
      <c r="AH946">
        <v>0</v>
      </c>
      <c r="AI946" t="s">
        <v>51</v>
      </c>
      <c r="AJ946" t="s">
        <v>51</v>
      </c>
      <c r="AK946" t="s">
        <v>51</v>
      </c>
    </row>
    <row r="947" spans="1:37" x14ac:dyDescent="0.2">
      <c r="A947">
        <v>62188</v>
      </c>
      <c r="B947" t="s">
        <v>37</v>
      </c>
      <c r="C947" t="s">
        <v>38</v>
      </c>
      <c r="D947" t="s">
        <v>169</v>
      </c>
      <c r="E947" t="s">
        <v>246</v>
      </c>
      <c r="G947" s="4">
        <v>43947.670358796296</v>
      </c>
      <c r="H947" s="4">
        <v>43947.670428240741</v>
      </c>
      <c r="I947" t="s">
        <v>75</v>
      </c>
      <c r="J947" s="5">
        <v>6</v>
      </c>
      <c r="K947" t="s">
        <v>38</v>
      </c>
      <c r="M947">
        <v>62189</v>
      </c>
      <c r="N947" t="s">
        <v>246</v>
      </c>
      <c r="O947" t="s">
        <v>248</v>
      </c>
      <c r="P947" t="s">
        <v>38</v>
      </c>
      <c r="Q947" t="s">
        <v>75</v>
      </c>
      <c r="R947">
        <v>6</v>
      </c>
      <c r="S947" t="s">
        <v>45</v>
      </c>
      <c r="T947" t="str" s="2">
        <f>=HYPERLINK("http://demo.enginatics.com:80/ecc/user/applications/log/62188.log","http://demo.enginatics.com:80/ecc/user/applications/log/62188.log")</f>
        <v>"http://demo.enginatics.com:80/ecc/user/applications/log/62188.log")</v>
      </c>
      <c r="U947">
        <v>62190</v>
      </c>
      <c r="V947" t="s">
        <v>38</v>
      </c>
      <c r="W947" t="s">
        <v>75</v>
      </c>
      <c r="X947">
        <v>6</v>
      </c>
      <c r="Y947">
        <v>6</v>
      </c>
      <c r="Z947" t="s">
        <v>46</v>
      </c>
      <c r="AA947">
        <v>62191</v>
      </c>
      <c r="AB947" t="s">
        <v>249</v>
      </c>
      <c r="AC947" t="s">
        <v>68</v>
      </c>
      <c r="AD947" t="s">
        <v>38</v>
      </c>
      <c r="AE947" t="s">
        <v>49</v>
      </c>
      <c r="AF947" t="s">
        <v>50</v>
      </c>
      <c r="AG947">
        <v>0</v>
      </c>
      <c r="AH947">
        <v>0</v>
      </c>
      <c r="AI947" t="s">
        <v>51</v>
      </c>
      <c r="AJ947" t="s">
        <v>51</v>
      </c>
      <c r="AK947" t="s">
        <v>51</v>
      </c>
    </row>
    <row r="948" spans="1:37" x14ac:dyDescent="0.2">
      <c r="A948">
        <v>62184</v>
      </c>
      <c r="B948" t="s">
        <v>37</v>
      </c>
      <c r="C948" t="s">
        <v>38</v>
      </c>
      <c r="D948" t="s">
        <v>169</v>
      </c>
      <c r="E948" t="s">
        <v>250</v>
      </c>
      <c r="G948" s="4">
        <v>43947.670185185185</v>
      </c>
      <c r="H948" s="4">
        <v>43947.670219907407</v>
      </c>
      <c r="I948" t="s">
        <v>85</v>
      </c>
      <c r="J948" s="5">
        <v>3</v>
      </c>
      <c r="K948" t="s">
        <v>38</v>
      </c>
      <c r="M948">
        <v>62185</v>
      </c>
      <c r="N948" t="s">
        <v>250</v>
      </c>
      <c r="O948" t="s">
        <v>251</v>
      </c>
      <c r="P948" t="s">
        <v>38</v>
      </c>
      <c r="Q948" t="s">
        <v>50</v>
      </c>
      <c r="R948">
        <v>.9999999999999999999999999999999999999996</v>
      </c>
      <c r="S948" t="s">
        <v>45</v>
      </c>
      <c r="T948" t="str" s="2">
        <f>=HYPERLINK("http://demo.enginatics.com:80/ecc/user/applications/log/62184.log","http://demo.enginatics.com:80/ecc/user/applications/log/62184.log")</f>
        <v>"http://demo.enginatics.com:80/ecc/user/applications/log/62184.log")</v>
      </c>
      <c r="U948">
        <v>62186</v>
      </c>
      <c r="V948" t="s">
        <v>38</v>
      </c>
      <c r="W948" t="s">
        <v>50</v>
      </c>
      <c r="X948">
        <v>.9999999999999999999999999999999999999996</v>
      </c>
      <c r="Y948">
        <v>0</v>
      </c>
      <c r="Z948" t="s">
        <v>46</v>
      </c>
      <c r="AA948">
        <v>62187</v>
      </c>
      <c r="AB948" t="s">
        <v>252</v>
      </c>
      <c r="AC948" t="s">
        <v>68</v>
      </c>
      <c r="AD948" t="s">
        <v>38</v>
      </c>
      <c r="AE948" t="s">
        <v>49</v>
      </c>
      <c r="AF948" t="s">
        <v>50</v>
      </c>
      <c r="AG948">
        <v>0</v>
      </c>
      <c r="AH948">
        <v>0</v>
      </c>
      <c r="AI948" t="s">
        <v>51</v>
      </c>
      <c r="AJ948" t="s">
        <v>51</v>
      </c>
      <c r="AK948" t="s">
        <v>51</v>
      </c>
    </row>
    <row r="949" spans="1:37" x14ac:dyDescent="0.2">
      <c r="A949">
        <v>62159</v>
      </c>
      <c r="B949" t="s">
        <v>37</v>
      </c>
      <c r="C949" t="s">
        <v>38</v>
      </c>
      <c r="D949" t="s">
        <v>270</v>
      </c>
      <c r="E949" t="s">
        <v>40</v>
      </c>
      <c r="G949" s="4">
        <v>43947.665393518519</v>
      </c>
      <c r="H949" s="4">
        <v>43947.665520833333</v>
      </c>
      <c r="I949" t="s">
        <v>337</v>
      </c>
      <c r="J949" s="5">
        <v>11.00000000000000000000000000000000000002</v>
      </c>
      <c r="K949" t="s">
        <v>38</v>
      </c>
      <c r="M949">
        <v>62181</v>
      </c>
      <c r="N949" t="s">
        <v>271</v>
      </c>
      <c r="O949" t="s">
        <v>272</v>
      </c>
      <c r="P949" t="s">
        <v>38</v>
      </c>
      <c r="Q949" t="s">
        <v>50</v>
      </c>
      <c r="R949">
        <v>0</v>
      </c>
      <c r="S949" t="s">
        <v>45</v>
      </c>
      <c r="T949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49">
        <v>62182</v>
      </c>
      <c r="V949" t="s">
        <v>38</v>
      </c>
      <c r="W949" t="s">
        <v>50</v>
      </c>
      <c r="X949">
        <v>0</v>
      </c>
      <c r="Y949">
        <v>0</v>
      </c>
      <c r="Z949" t="s">
        <v>46</v>
      </c>
      <c r="AA949">
        <v>62183</v>
      </c>
      <c r="AB949" t="s">
        <v>273</v>
      </c>
      <c r="AC949" t="s">
        <v>68</v>
      </c>
      <c r="AD949" t="s">
        <v>38</v>
      </c>
      <c r="AE949" t="s">
        <v>49</v>
      </c>
      <c r="AF949" t="s">
        <v>50</v>
      </c>
      <c r="AG949">
        <v>0</v>
      </c>
      <c r="AH949">
        <v>0</v>
      </c>
      <c r="AI949" t="s">
        <v>51</v>
      </c>
      <c r="AJ949" t="s">
        <v>51</v>
      </c>
      <c r="AK949" t="s">
        <v>51</v>
      </c>
    </row>
    <row r="950" spans="1:37" x14ac:dyDescent="0.2">
      <c r="A950">
        <v>62159</v>
      </c>
      <c r="B950" t="s">
        <v>37</v>
      </c>
      <c r="C950" t="s">
        <v>38</v>
      </c>
      <c r="D950" t="s">
        <v>270</v>
      </c>
      <c r="E950" t="s">
        <v>40</v>
      </c>
      <c r="G950" s="4">
        <v>43947.665393518519</v>
      </c>
      <c r="H950" s="4">
        <v>43947.665520833333</v>
      </c>
      <c r="I950" t="s">
        <v>337</v>
      </c>
      <c r="J950" s="5">
        <v>11.00000000000000000000000000000000000002</v>
      </c>
      <c r="K950" t="s">
        <v>38</v>
      </c>
      <c r="M950">
        <v>62178</v>
      </c>
      <c r="N950" t="s">
        <v>274</v>
      </c>
      <c r="O950" t="s">
        <v>275</v>
      </c>
      <c r="P950" t="s">
        <v>38</v>
      </c>
      <c r="Q950" t="s">
        <v>50</v>
      </c>
      <c r="R950">
        <v>0</v>
      </c>
      <c r="S950" t="s">
        <v>45</v>
      </c>
      <c r="T950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0">
        <v>62179</v>
      </c>
      <c r="V950" t="s">
        <v>38</v>
      </c>
      <c r="W950" t="s">
        <v>50</v>
      </c>
      <c r="X950">
        <v>0</v>
      </c>
      <c r="Y950">
        <v>0</v>
      </c>
      <c r="Z950" t="s">
        <v>46</v>
      </c>
      <c r="AA950">
        <v>62180</v>
      </c>
      <c r="AB950" t="s">
        <v>276</v>
      </c>
      <c r="AC950" t="s">
        <v>68</v>
      </c>
      <c r="AD950" t="s">
        <v>38</v>
      </c>
      <c r="AE950" t="s">
        <v>49</v>
      </c>
      <c r="AF950" t="s">
        <v>50</v>
      </c>
      <c r="AG950">
        <v>0</v>
      </c>
      <c r="AH950">
        <v>0</v>
      </c>
      <c r="AI950" t="s">
        <v>51</v>
      </c>
      <c r="AJ950" t="s">
        <v>51</v>
      </c>
      <c r="AK950" t="s">
        <v>51</v>
      </c>
    </row>
    <row r="951" spans="1:37" x14ac:dyDescent="0.2">
      <c r="A951">
        <v>62159</v>
      </c>
      <c r="B951" t="s">
        <v>37</v>
      </c>
      <c r="C951" t="s">
        <v>38</v>
      </c>
      <c r="D951" t="s">
        <v>270</v>
      </c>
      <c r="E951" t="s">
        <v>40</v>
      </c>
      <c r="G951" s="4">
        <v>43947.665393518519</v>
      </c>
      <c r="H951" s="4">
        <v>43947.665520833333</v>
      </c>
      <c r="I951" t="s">
        <v>337</v>
      </c>
      <c r="J951" s="5">
        <v>11.00000000000000000000000000000000000002</v>
      </c>
      <c r="K951" t="s">
        <v>38</v>
      </c>
      <c r="M951">
        <v>62175</v>
      </c>
      <c r="N951" t="s">
        <v>277</v>
      </c>
      <c r="O951" t="s">
        <v>278</v>
      </c>
      <c r="P951" t="s">
        <v>38</v>
      </c>
      <c r="Q951" t="s">
        <v>50</v>
      </c>
      <c r="R951">
        <v>0</v>
      </c>
      <c r="S951" t="s">
        <v>45</v>
      </c>
      <c r="T951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1">
        <v>62176</v>
      </c>
      <c r="V951" t="s">
        <v>38</v>
      </c>
      <c r="W951" t="s">
        <v>50</v>
      </c>
      <c r="X951">
        <v>0</v>
      </c>
      <c r="Y951">
        <v>0</v>
      </c>
      <c r="Z951" t="s">
        <v>46</v>
      </c>
      <c r="AA951">
        <v>62177</v>
      </c>
      <c r="AB951" t="s">
        <v>279</v>
      </c>
      <c r="AC951" t="s">
        <v>68</v>
      </c>
      <c r="AD951" t="s">
        <v>38</v>
      </c>
      <c r="AE951" t="s">
        <v>49</v>
      </c>
      <c r="AF951" t="s">
        <v>50</v>
      </c>
      <c r="AG951">
        <v>0</v>
      </c>
      <c r="AH951">
        <v>0</v>
      </c>
      <c r="AI951" t="s">
        <v>51</v>
      </c>
      <c r="AJ951" t="s">
        <v>51</v>
      </c>
      <c r="AK951" t="s">
        <v>51</v>
      </c>
    </row>
    <row r="952" spans="1:37" x14ac:dyDescent="0.2">
      <c r="A952">
        <v>62159</v>
      </c>
      <c r="B952" t="s">
        <v>37</v>
      </c>
      <c r="C952" t="s">
        <v>38</v>
      </c>
      <c r="D952" t="s">
        <v>270</v>
      </c>
      <c r="E952" t="s">
        <v>40</v>
      </c>
      <c r="G952" s="4">
        <v>43947.665393518519</v>
      </c>
      <c r="H952" s="4">
        <v>43947.665520833333</v>
      </c>
      <c r="I952" t="s">
        <v>337</v>
      </c>
      <c r="J952" s="5">
        <v>11.00000000000000000000000000000000000002</v>
      </c>
      <c r="K952" t="s">
        <v>38</v>
      </c>
      <c r="M952">
        <v>62172</v>
      </c>
      <c r="N952" t="s">
        <v>280</v>
      </c>
      <c r="O952" t="s">
        <v>281</v>
      </c>
      <c r="P952" t="s">
        <v>38</v>
      </c>
      <c r="Q952" t="s">
        <v>50</v>
      </c>
      <c r="R952">
        <v>0</v>
      </c>
      <c r="S952" t="s">
        <v>45</v>
      </c>
      <c r="T952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2">
        <v>62173</v>
      </c>
      <c r="V952" t="s">
        <v>38</v>
      </c>
      <c r="W952" t="s">
        <v>50</v>
      </c>
      <c r="X952">
        <v>0</v>
      </c>
      <c r="Y952">
        <v>0</v>
      </c>
      <c r="Z952" t="s">
        <v>46</v>
      </c>
      <c r="AA952">
        <v>62174</v>
      </c>
      <c r="AB952" t="s">
        <v>282</v>
      </c>
      <c r="AC952" t="s">
        <v>68</v>
      </c>
      <c r="AD952" t="s">
        <v>38</v>
      </c>
      <c r="AE952" t="s">
        <v>49</v>
      </c>
      <c r="AF952" t="s">
        <v>50</v>
      </c>
      <c r="AG952">
        <v>0</v>
      </c>
      <c r="AH952">
        <v>0</v>
      </c>
      <c r="AI952" t="s">
        <v>51</v>
      </c>
      <c r="AJ952" t="s">
        <v>51</v>
      </c>
      <c r="AK952" t="s">
        <v>51</v>
      </c>
    </row>
    <row r="953" spans="1:37" x14ac:dyDescent="0.2">
      <c r="A953">
        <v>62159</v>
      </c>
      <c r="B953" t="s">
        <v>37</v>
      </c>
      <c r="C953" t="s">
        <v>38</v>
      </c>
      <c r="D953" t="s">
        <v>270</v>
      </c>
      <c r="E953" t="s">
        <v>40</v>
      </c>
      <c r="G953" s="4">
        <v>43947.665393518519</v>
      </c>
      <c r="H953" s="4">
        <v>43947.665520833333</v>
      </c>
      <c r="I953" t="s">
        <v>337</v>
      </c>
      <c r="J953" s="5">
        <v>11.00000000000000000000000000000000000002</v>
      </c>
      <c r="K953" t="s">
        <v>38</v>
      </c>
      <c r="M953">
        <v>62169</v>
      </c>
      <c r="N953" t="s">
        <v>283</v>
      </c>
      <c r="O953" t="s">
        <v>284</v>
      </c>
      <c r="P953" t="s">
        <v>38</v>
      </c>
      <c r="Q953" t="s">
        <v>337</v>
      </c>
      <c r="R953">
        <v>11.00000000000000000000000000000000000002</v>
      </c>
      <c r="S953" t="s">
        <v>45</v>
      </c>
      <c r="T953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3">
        <v>62170</v>
      </c>
      <c r="V953" t="s">
        <v>38</v>
      </c>
      <c r="W953" t="s">
        <v>75</v>
      </c>
      <c r="X953">
        <v>6</v>
      </c>
      <c r="Y953">
        <v>0</v>
      </c>
      <c r="Z953" t="s">
        <v>46</v>
      </c>
      <c r="AA953">
        <v>62171</v>
      </c>
      <c r="AB953" t="s">
        <v>285</v>
      </c>
      <c r="AC953" t="s">
        <v>68</v>
      </c>
      <c r="AD953" t="s">
        <v>38</v>
      </c>
      <c r="AE953" t="s">
        <v>49</v>
      </c>
      <c r="AF953" t="s">
        <v>75</v>
      </c>
      <c r="AG953">
        <v>6</v>
      </c>
      <c r="AH953">
        <v>5</v>
      </c>
      <c r="AI953" t="s">
        <v>51</v>
      </c>
      <c r="AJ953" t="s">
        <v>51</v>
      </c>
      <c r="AK953" t="s">
        <v>51</v>
      </c>
    </row>
    <row r="954" spans="1:37" x14ac:dyDescent="0.2">
      <c r="A954">
        <v>62159</v>
      </c>
      <c r="B954" t="s">
        <v>37</v>
      </c>
      <c r="C954" t="s">
        <v>38</v>
      </c>
      <c r="D954" t="s">
        <v>270</v>
      </c>
      <c r="E954" t="s">
        <v>40</v>
      </c>
      <c r="G954" s="4">
        <v>43947.665393518519</v>
      </c>
      <c r="H954" s="4">
        <v>43947.665520833333</v>
      </c>
      <c r="I954" t="s">
        <v>337</v>
      </c>
      <c r="J954" s="5">
        <v>11.00000000000000000000000000000000000002</v>
      </c>
      <c r="K954" t="s">
        <v>38</v>
      </c>
      <c r="M954">
        <v>62166</v>
      </c>
      <c r="N954" t="s">
        <v>286</v>
      </c>
      <c r="O954" t="s">
        <v>287</v>
      </c>
      <c r="P954" t="s">
        <v>38</v>
      </c>
      <c r="Q954" t="s">
        <v>50</v>
      </c>
      <c r="R954">
        <v>0</v>
      </c>
      <c r="S954" t="s">
        <v>45</v>
      </c>
      <c r="T954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4">
        <v>62167</v>
      </c>
      <c r="V954" t="s">
        <v>38</v>
      </c>
      <c r="W954" t="s">
        <v>50</v>
      </c>
      <c r="X954">
        <v>0</v>
      </c>
      <c r="Y954">
        <v>0</v>
      </c>
      <c r="Z954" t="s">
        <v>46</v>
      </c>
      <c r="AA954">
        <v>62168</v>
      </c>
      <c r="AB954" t="s">
        <v>288</v>
      </c>
      <c r="AC954" t="s">
        <v>68</v>
      </c>
      <c r="AD954" t="s">
        <v>38</v>
      </c>
      <c r="AE954" t="s">
        <v>49</v>
      </c>
      <c r="AF954" t="s">
        <v>50</v>
      </c>
      <c r="AG954">
        <v>0</v>
      </c>
      <c r="AH954">
        <v>0</v>
      </c>
      <c r="AI954" t="s">
        <v>51</v>
      </c>
      <c r="AJ954" t="s">
        <v>51</v>
      </c>
      <c r="AK954" t="s">
        <v>51</v>
      </c>
    </row>
    <row r="955" spans="1:37" x14ac:dyDescent="0.2">
      <c r="A955">
        <v>62159</v>
      </c>
      <c r="B955" t="s">
        <v>37</v>
      </c>
      <c r="C955" t="s">
        <v>38</v>
      </c>
      <c r="D955" t="s">
        <v>270</v>
      </c>
      <c r="E955" t="s">
        <v>40</v>
      </c>
      <c r="G955" s="4">
        <v>43947.665393518519</v>
      </c>
      <c r="H955" s="4">
        <v>43947.665520833333</v>
      </c>
      <c r="I955" t="s">
        <v>337</v>
      </c>
      <c r="J955" s="5">
        <v>11.00000000000000000000000000000000000002</v>
      </c>
      <c r="K955" t="s">
        <v>38</v>
      </c>
      <c r="M955">
        <v>62163</v>
      </c>
      <c r="N955" t="s">
        <v>289</v>
      </c>
      <c r="O955" t="s">
        <v>290</v>
      </c>
      <c r="P955" t="s">
        <v>38</v>
      </c>
      <c r="Q955" t="s">
        <v>50</v>
      </c>
      <c r="R955">
        <v>0</v>
      </c>
      <c r="S955" t="s">
        <v>45</v>
      </c>
      <c r="T955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5">
        <v>62164</v>
      </c>
      <c r="V955" t="s">
        <v>38</v>
      </c>
      <c r="W955" t="s">
        <v>50</v>
      </c>
      <c r="X955">
        <v>0</v>
      </c>
      <c r="Y955">
        <v>0</v>
      </c>
      <c r="Z955" t="s">
        <v>46</v>
      </c>
      <c r="AA955">
        <v>62165</v>
      </c>
      <c r="AB955" t="s">
        <v>291</v>
      </c>
      <c r="AC955" t="s">
        <v>68</v>
      </c>
      <c r="AD955" t="s">
        <v>38</v>
      </c>
      <c r="AE955" t="s">
        <v>49</v>
      </c>
      <c r="AF955" t="s">
        <v>50</v>
      </c>
      <c r="AG955">
        <v>0</v>
      </c>
      <c r="AH955">
        <v>0</v>
      </c>
      <c r="AI955" t="s">
        <v>51</v>
      </c>
      <c r="AJ955" t="s">
        <v>51</v>
      </c>
      <c r="AK955" t="s">
        <v>51</v>
      </c>
    </row>
    <row r="956" spans="1:37" x14ac:dyDescent="0.2">
      <c r="A956">
        <v>62159</v>
      </c>
      <c r="B956" t="s">
        <v>37</v>
      </c>
      <c r="C956" t="s">
        <v>38</v>
      </c>
      <c r="D956" t="s">
        <v>270</v>
      </c>
      <c r="E956" t="s">
        <v>40</v>
      </c>
      <c r="G956" s="4">
        <v>43947.665393518519</v>
      </c>
      <c r="H956" s="4">
        <v>43947.665520833333</v>
      </c>
      <c r="I956" t="s">
        <v>337</v>
      </c>
      <c r="J956" s="5">
        <v>11.00000000000000000000000000000000000002</v>
      </c>
      <c r="K956" t="s">
        <v>38</v>
      </c>
      <c r="M956">
        <v>62160</v>
      </c>
      <c r="N956" t="s">
        <v>292</v>
      </c>
      <c r="O956" t="s">
        <v>293</v>
      </c>
      <c r="P956" t="s">
        <v>38</v>
      </c>
      <c r="Q956" t="s">
        <v>50</v>
      </c>
      <c r="R956">
        <v>0</v>
      </c>
      <c r="S956" t="s">
        <v>45</v>
      </c>
      <c r="T956" t="str" s="2">
        <f>=HYPERLINK("http://demo.enginatics.com:80/ecc/user/applications/log/62159.log","http://demo.enginatics.com:80/ecc/user/applications/log/62159.log")</f>
        <v>"http://demo.enginatics.com:80/ecc/user/applications/log/62159.log")</v>
      </c>
      <c r="U956">
        <v>62161</v>
      </c>
      <c r="V956" t="s">
        <v>38</v>
      </c>
      <c r="W956" t="s">
        <v>50</v>
      </c>
      <c r="X956">
        <v>0</v>
      </c>
      <c r="Y956">
        <v>0</v>
      </c>
      <c r="Z956" t="s">
        <v>46</v>
      </c>
      <c r="AA956">
        <v>62162</v>
      </c>
      <c r="AB956" t="s">
        <v>294</v>
      </c>
      <c r="AC956" t="s">
        <v>68</v>
      </c>
      <c r="AD956" t="s">
        <v>38</v>
      </c>
      <c r="AE956" t="s">
        <v>49</v>
      </c>
      <c r="AF956" t="s">
        <v>50</v>
      </c>
      <c r="AG956">
        <v>0</v>
      </c>
      <c r="AH956">
        <v>0</v>
      </c>
      <c r="AI956" t="s">
        <v>51</v>
      </c>
      <c r="AJ956" t="s">
        <v>51</v>
      </c>
      <c r="AK956" t="s">
        <v>51</v>
      </c>
    </row>
    <row r="957" spans="1:37" x14ac:dyDescent="0.2">
      <c r="A957">
        <v>62155</v>
      </c>
      <c r="B957" t="s">
        <v>37</v>
      </c>
      <c r="C957" t="s">
        <v>38</v>
      </c>
      <c r="D957" t="s">
        <v>253</v>
      </c>
      <c r="E957" t="s">
        <v>254</v>
      </c>
      <c r="G957" s="4">
        <v>43947.665069444444</v>
      </c>
      <c r="H957" s="4">
        <v>43947.665069444444</v>
      </c>
      <c r="I957" t="s">
        <v>50</v>
      </c>
      <c r="J957" s="5">
        <v>0</v>
      </c>
      <c r="K957" t="s">
        <v>38</v>
      </c>
      <c r="M957">
        <v>62156</v>
      </c>
      <c r="N957" t="s">
        <v>254</v>
      </c>
      <c r="O957" t="s">
        <v>255</v>
      </c>
      <c r="P957" t="s">
        <v>38</v>
      </c>
      <c r="Q957" t="s">
        <v>50</v>
      </c>
      <c r="R957">
        <v>0</v>
      </c>
      <c r="S957" t="s">
        <v>45</v>
      </c>
      <c r="T957" t="str" s="2">
        <f>=HYPERLINK("http://demo.enginatics.com:80/ecc/user/applications/log/62155.log","http://demo.enginatics.com:80/ecc/user/applications/log/62155.log")</f>
        <v>"http://demo.enginatics.com:80/ecc/user/applications/log/62155.log")</v>
      </c>
      <c r="U957">
        <v>62157</v>
      </c>
      <c r="V957" t="s">
        <v>38</v>
      </c>
      <c r="W957" t="s">
        <v>50</v>
      </c>
      <c r="X957">
        <v>0</v>
      </c>
      <c r="Y957">
        <v>0</v>
      </c>
      <c r="Z957" t="s">
        <v>46</v>
      </c>
      <c r="AA957">
        <v>62158</v>
      </c>
      <c r="AB957" t="s">
        <v>900</v>
      </c>
      <c r="AC957" t="s">
        <v>68</v>
      </c>
      <c r="AD957" t="s">
        <v>38</v>
      </c>
      <c r="AE957" t="s">
        <v>49</v>
      </c>
      <c r="AF957" t="s">
        <v>50</v>
      </c>
      <c r="AG957">
        <v>0</v>
      </c>
      <c r="AH957">
        <v>0</v>
      </c>
      <c r="AI957" t="s">
        <v>51</v>
      </c>
      <c r="AJ957" t="s">
        <v>51</v>
      </c>
      <c r="AK957" t="s">
        <v>51</v>
      </c>
    </row>
    <row r="958" spans="1:37" x14ac:dyDescent="0.2">
      <c r="A958">
        <v>62151</v>
      </c>
      <c r="B958" t="s">
        <v>37</v>
      </c>
      <c r="C958" t="s">
        <v>38</v>
      </c>
      <c r="D958" t="s">
        <v>253</v>
      </c>
      <c r="E958" t="s">
        <v>257</v>
      </c>
      <c r="G958" s="4">
        <v>43947.664872685185</v>
      </c>
      <c r="H958" s="4">
        <v>43947.664953703704</v>
      </c>
      <c r="I958" t="s">
        <v>247</v>
      </c>
      <c r="J958" s="5">
        <v>7</v>
      </c>
      <c r="K958" t="s">
        <v>38</v>
      </c>
      <c r="M958">
        <v>62152</v>
      </c>
      <c r="N958" t="s">
        <v>257</v>
      </c>
      <c r="O958" t="s">
        <v>258</v>
      </c>
      <c r="P958" t="s">
        <v>38</v>
      </c>
      <c r="Q958" t="s">
        <v>247</v>
      </c>
      <c r="R958">
        <v>7</v>
      </c>
      <c r="S958" t="s">
        <v>45</v>
      </c>
      <c r="T958" t="str" s="2">
        <f>=HYPERLINK("http://demo.enginatics.com:80/ecc/user/applications/log/62151.log","http://demo.enginatics.com:80/ecc/user/applications/log/62151.log")</f>
        <v>"http://demo.enginatics.com:80/ecc/user/applications/log/62151.log")</v>
      </c>
      <c r="U958">
        <v>62153</v>
      </c>
      <c r="V958" t="s">
        <v>38</v>
      </c>
      <c r="W958" t="s">
        <v>75</v>
      </c>
      <c r="X958">
        <v>6</v>
      </c>
      <c r="Y958">
        <v>0</v>
      </c>
      <c r="Z958" t="s">
        <v>46</v>
      </c>
      <c r="AA958">
        <v>62154</v>
      </c>
      <c r="AB958" t="s">
        <v>1155</v>
      </c>
      <c r="AC958" t="s">
        <v>68</v>
      </c>
      <c r="AD958" t="s">
        <v>38</v>
      </c>
      <c r="AE958" t="s">
        <v>260</v>
      </c>
      <c r="AF958" t="s">
        <v>78</v>
      </c>
      <c r="AG958">
        <v>5</v>
      </c>
      <c r="AH958">
        <v>2</v>
      </c>
      <c r="AI958" t="s">
        <v>261</v>
      </c>
      <c r="AJ958" t="s">
        <v>51</v>
      </c>
      <c r="AK958" t="s">
        <v>261</v>
      </c>
    </row>
    <row r="959" spans="1:37" x14ac:dyDescent="0.2">
      <c r="A959">
        <v>62146</v>
      </c>
      <c r="B959" t="s">
        <v>37</v>
      </c>
      <c r="C959" t="s">
        <v>38</v>
      </c>
      <c r="D959" t="s">
        <v>253</v>
      </c>
      <c r="E959" t="s">
        <v>262</v>
      </c>
      <c r="G959" s="4">
        <v>43947.664768518519</v>
      </c>
      <c r="H959" s="4">
        <v>43947.664768518519</v>
      </c>
      <c r="I959" t="s">
        <v>50</v>
      </c>
      <c r="J959" s="5">
        <v>0</v>
      </c>
      <c r="K959" t="s">
        <v>38</v>
      </c>
      <c r="M959">
        <v>62147</v>
      </c>
      <c r="N959" t="s">
        <v>262</v>
      </c>
      <c r="O959" t="s">
        <v>263</v>
      </c>
      <c r="P959" t="s">
        <v>38</v>
      </c>
      <c r="Q959" t="s">
        <v>50</v>
      </c>
      <c r="R959">
        <v>0</v>
      </c>
      <c r="S959" t="s">
        <v>45</v>
      </c>
      <c r="T959" t="str" s="2">
        <f>=HYPERLINK("http://demo.enginatics.com:80/ecc/user/applications/log/62146.log","http://demo.enginatics.com:80/ecc/user/applications/log/62146.log")</f>
        <v>"http://demo.enginatics.com:80/ecc/user/applications/log/62146.log")</v>
      </c>
      <c r="U959">
        <v>62148</v>
      </c>
      <c r="V959" t="s">
        <v>38</v>
      </c>
      <c r="W959" t="s">
        <v>50</v>
      </c>
      <c r="X959">
        <v>0</v>
      </c>
      <c r="Y959">
        <v>0</v>
      </c>
      <c r="Z959" t="s">
        <v>46</v>
      </c>
      <c r="AA959">
        <v>62150</v>
      </c>
      <c r="AB959" t="s">
        <v>264</v>
      </c>
      <c r="AC959" t="s">
        <v>68</v>
      </c>
      <c r="AD959" t="s">
        <v>38</v>
      </c>
      <c r="AE959" t="s">
        <v>49</v>
      </c>
      <c r="AF959" t="s">
        <v>50</v>
      </c>
      <c r="AG959">
        <v>0</v>
      </c>
      <c r="AH959">
        <v>0</v>
      </c>
      <c r="AI959" t="s">
        <v>51</v>
      </c>
      <c r="AJ959" t="s">
        <v>51</v>
      </c>
      <c r="AK959" t="s">
        <v>51</v>
      </c>
    </row>
    <row r="960" spans="1:37" x14ac:dyDescent="0.2">
      <c r="A960">
        <v>62146</v>
      </c>
      <c r="B960" t="s">
        <v>37</v>
      </c>
      <c r="C960" t="s">
        <v>38</v>
      </c>
      <c r="D960" t="s">
        <v>253</v>
      </c>
      <c r="E960" t="s">
        <v>262</v>
      </c>
      <c r="G960" s="4">
        <v>43947.664768518519</v>
      </c>
      <c r="H960" s="4">
        <v>43947.664768518519</v>
      </c>
      <c r="I960" t="s">
        <v>50</v>
      </c>
      <c r="J960" s="5">
        <v>0</v>
      </c>
      <c r="K960" t="s">
        <v>38</v>
      </c>
      <c r="M960">
        <v>62147</v>
      </c>
      <c r="N960" t="s">
        <v>262</v>
      </c>
      <c r="O960" t="s">
        <v>263</v>
      </c>
      <c r="P960" t="s">
        <v>38</v>
      </c>
      <c r="Q960" t="s">
        <v>50</v>
      </c>
      <c r="R960">
        <v>0</v>
      </c>
      <c r="S960" t="s">
        <v>45</v>
      </c>
      <c r="T960" t="str" s="2">
        <f>=HYPERLINK("http://demo.enginatics.com:80/ecc/user/applications/log/62146.log","http://demo.enginatics.com:80/ecc/user/applications/log/62146.log")</f>
        <v>"http://demo.enginatics.com:80/ecc/user/applications/log/62146.log")</v>
      </c>
      <c r="U960">
        <v>62148</v>
      </c>
      <c r="V960" t="s">
        <v>38</v>
      </c>
      <c r="W960" t="s">
        <v>50</v>
      </c>
      <c r="X960">
        <v>0</v>
      </c>
      <c r="Y960">
        <v>0</v>
      </c>
      <c r="Z960" t="s">
        <v>46</v>
      </c>
      <c r="AA960">
        <v>62149</v>
      </c>
      <c r="AB960" t="s">
        <v>1156</v>
      </c>
      <c r="AC960" t="s">
        <v>56</v>
      </c>
      <c r="AD960" t="s">
        <v>38</v>
      </c>
      <c r="AE960" t="s">
        <v>49</v>
      </c>
      <c r="AF960" t="s">
        <v>50</v>
      </c>
      <c r="AG960">
        <v>0</v>
      </c>
      <c r="AH960">
        <v>0</v>
      </c>
      <c r="AI960" t="s">
        <v>51</v>
      </c>
      <c r="AJ960" t="s">
        <v>51</v>
      </c>
      <c r="AK960" t="s">
        <v>51</v>
      </c>
    </row>
    <row r="961" spans="1:37" x14ac:dyDescent="0.2">
      <c r="A961">
        <v>62140</v>
      </c>
      <c r="B961" t="s">
        <v>37</v>
      </c>
      <c r="C961" t="s">
        <v>38</v>
      </c>
      <c r="D961" t="s">
        <v>253</v>
      </c>
      <c r="E961" t="s">
        <v>266</v>
      </c>
      <c r="G961" s="4">
        <v>43947.664641203704</v>
      </c>
      <c r="H961" s="4">
        <v>43947.664652777778</v>
      </c>
      <c r="I961" t="s">
        <v>50</v>
      </c>
      <c r="J961" s="5">
        <v>.9999999999999999999999999999999999999996</v>
      </c>
      <c r="K961" t="s">
        <v>38</v>
      </c>
      <c r="M961">
        <v>62141</v>
      </c>
      <c r="N961" t="s">
        <v>266</v>
      </c>
      <c r="O961" t="s">
        <v>267</v>
      </c>
      <c r="P961" t="s">
        <v>38</v>
      </c>
      <c r="Q961" t="s">
        <v>50</v>
      </c>
      <c r="R961">
        <v>0</v>
      </c>
      <c r="S961" t="s">
        <v>45</v>
      </c>
      <c r="T961" t="str" s="2">
        <f>=HYPERLINK("http://demo.enginatics.com:80/ecc/user/applications/log/62140.log","http://demo.enginatics.com:80/ecc/user/applications/log/62140.log")</f>
        <v>"http://demo.enginatics.com:80/ecc/user/applications/log/62140.log")</v>
      </c>
      <c r="U961">
        <v>62144</v>
      </c>
      <c r="V961" t="s">
        <v>38</v>
      </c>
      <c r="W961" t="s">
        <v>50</v>
      </c>
      <c r="X961">
        <v>0</v>
      </c>
      <c r="Y961">
        <v>0</v>
      </c>
      <c r="Z961" t="s">
        <v>46</v>
      </c>
      <c r="AA961">
        <v>62145</v>
      </c>
      <c r="AB961" t="s">
        <v>268</v>
      </c>
      <c r="AC961" t="s">
        <v>48</v>
      </c>
      <c r="AD961" t="s">
        <v>38</v>
      </c>
      <c r="AE961" t="s">
        <v>49</v>
      </c>
      <c r="AF961" t="s">
        <v>50</v>
      </c>
      <c r="AG961">
        <v>0</v>
      </c>
      <c r="AH961">
        <v>0</v>
      </c>
      <c r="AI961" t="s">
        <v>51</v>
      </c>
      <c r="AJ961" t="s">
        <v>51</v>
      </c>
      <c r="AK961" t="s">
        <v>51</v>
      </c>
    </row>
    <row r="962" spans="1:37" x14ac:dyDescent="0.2">
      <c r="A962">
        <v>62140</v>
      </c>
      <c r="B962" t="s">
        <v>37</v>
      </c>
      <c r="C962" t="s">
        <v>38</v>
      </c>
      <c r="D962" t="s">
        <v>253</v>
      </c>
      <c r="E962" t="s">
        <v>266</v>
      </c>
      <c r="G962" s="4">
        <v>43947.664641203704</v>
      </c>
      <c r="H962" s="4">
        <v>43947.664652777778</v>
      </c>
      <c r="I962" t="s">
        <v>50</v>
      </c>
      <c r="J962" s="5">
        <v>.9999999999999999999999999999999999999996</v>
      </c>
      <c r="K962" t="s">
        <v>38</v>
      </c>
      <c r="M962">
        <v>62141</v>
      </c>
      <c r="N962" t="s">
        <v>266</v>
      </c>
      <c r="O962" t="s">
        <v>267</v>
      </c>
      <c r="P962" t="s">
        <v>38</v>
      </c>
      <c r="Q962" t="s">
        <v>50</v>
      </c>
      <c r="R962">
        <v>0</v>
      </c>
      <c r="S962" t="s">
        <v>45</v>
      </c>
      <c r="T962" t="str" s="2">
        <f>=HYPERLINK("http://demo.enginatics.com:80/ecc/user/applications/log/62140.log","http://demo.enginatics.com:80/ecc/user/applications/log/62140.log")</f>
        <v>"http://demo.enginatics.com:80/ecc/user/applications/log/62140.log")</v>
      </c>
      <c r="U962">
        <v>62142</v>
      </c>
      <c r="V962" t="s">
        <v>38</v>
      </c>
      <c r="W962" t="s">
        <v>50</v>
      </c>
      <c r="X962">
        <v>0</v>
      </c>
      <c r="Y962">
        <v>0</v>
      </c>
      <c r="Z962" t="s">
        <v>46</v>
      </c>
      <c r="AA962">
        <v>62143</v>
      </c>
      <c r="AB962" t="s">
        <v>269</v>
      </c>
      <c r="AC962" t="s">
        <v>56</v>
      </c>
      <c r="AD962" t="s">
        <v>38</v>
      </c>
      <c r="AE962" t="s">
        <v>49</v>
      </c>
      <c r="AF962" t="s">
        <v>50</v>
      </c>
      <c r="AG962">
        <v>0</v>
      </c>
      <c r="AH962">
        <v>0</v>
      </c>
      <c r="AI962" t="s">
        <v>51</v>
      </c>
      <c r="AJ962" t="s">
        <v>51</v>
      </c>
      <c r="AK962" t="s">
        <v>51</v>
      </c>
    </row>
    <row r="963" spans="1:37" x14ac:dyDescent="0.2">
      <c r="A963">
        <v>62133</v>
      </c>
      <c r="B963" t="s">
        <v>37</v>
      </c>
      <c r="C963" t="s">
        <v>38</v>
      </c>
      <c r="D963" t="s">
        <v>295</v>
      </c>
      <c r="E963" t="s">
        <v>296</v>
      </c>
      <c r="G963" s="4">
        <v>43947.663101851852</v>
      </c>
      <c r="H963" s="4">
        <v>43947.663194444444</v>
      </c>
      <c r="I963" t="s">
        <v>652</v>
      </c>
      <c r="J963" s="5">
        <v>8</v>
      </c>
      <c r="K963" t="s">
        <v>38</v>
      </c>
      <c r="M963">
        <v>62135</v>
      </c>
      <c r="N963" t="s">
        <v>296</v>
      </c>
      <c r="O963" t="s">
        <v>297</v>
      </c>
      <c r="P963" t="s">
        <v>38</v>
      </c>
      <c r="Q963" t="s">
        <v>50</v>
      </c>
      <c r="R963">
        <v>0</v>
      </c>
      <c r="S963" t="s">
        <v>45</v>
      </c>
      <c r="T963" t="str" s="2">
        <f>=HYPERLINK("http://demo.enginatics.com:80/ecc/user/applications/log/62133.log","http://demo.enginatics.com:80/ecc/user/applications/log/62133.log")</f>
        <v>"http://demo.enginatics.com:80/ecc/user/applications/log/62133.log")</v>
      </c>
      <c r="U963">
        <v>62136</v>
      </c>
      <c r="V963" t="s">
        <v>38</v>
      </c>
      <c r="W963" t="s">
        <v>50</v>
      </c>
      <c r="X963">
        <v>0</v>
      </c>
      <c r="Y963">
        <v>0</v>
      </c>
      <c r="Z963" t="s">
        <v>46</v>
      </c>
      <c r="AA963">
        <v>62137</v>
      </c>
      <c r="AB963" t="s">
        <v>958</v>
      </c>
      <c r="AC963" t="s">
        <v>68</v>
      </c>
      <c r="AD963" t="s">
        <v>38</v>
      </c>
      <c r="AE963" t="s">
        <v>49</v>
      </c>
      <c r="AF963" t="s">
        <v>50</v>
      </c>
      <c r="AG963">
        <v>0</v>
      </c>
      <c r="AH963">
        <v>0</v>
      </c>
      <c r="AI963" t="s">
        <v>51</v>
      </c>
      <c r="AJ963" t="s">
        <v>51</v>
      </c>
      <c r="AK963" t="s">
        <v>51</v>
      </c>
    </row>
    <row r="964" spans="1:37" x14ac:dyDescent="0.2">
      <c r="A964">
        <v>62130</v>
      </c>
      <c r="B964" t="s">
        <v>37</v>
      </c>
      <c r="C964" t="s">
        <v>38</v>
      </c>
      <c r="D964" t="s">
        <v>295</v>
      </c>
      <c r="E964" t="s">
        <v>299</v>
      </c>
      <c r="G964" s="4">
        <v>43947.663090277778</v>
      </c>
      <c r="H964" s="4">
        <v>43947.663206018519</v>
      </c>
      <c r="I964" t="s">
        <v>300</v>
      </c>
      <c r="J964" s="5">
        <v>10.00000000000000000000000000000000000002</v>
      </c>
      <c r="K964" t="s">
        <v>38</v>
      </c>
      <c r="M964">
        <v>62131</v>
      </c>
      <c r="N964" t="s">
        <v>299</v>
      </c>
      <c r="O964" t="s">
        <v>301</v>
      </c>
      <c r="P964" t="s">
        <v>38</v>
      </c>
      <c r="Q964" t="s">
        <v>300</v>
      </c>
      <c r="R964">
        <v>10.00000000000000000000000000000000000002</v>
      </c>
      <c r="S964" t="s">
        <v>45</v>
      </c>
      <c r="T964" t="str" s="2">
        <f>=HYPERLINK("http://demo.enginatics.com:80/ecc/user/applications/log/62130.log","http://demo.enginatics.com:80/ecc/user/applications/log/62130.log")</f>
        <v>"http://demo.enginatics.com:80/ecc/user/applications/log/62130.log")</v>
      </c>
      <c r="U964">
        <v>62132</v>
      </c>
      <c r="V964" t="s">
        <v>38</v>
      </c>
      <c r="W964" t="s">
        <v>300</v>
      </c>
      <c r="X964">
        <v>10.00000000000000000000000000000000000002</v>
      </c>
      <c r="Y964">
        <v>10</v>
      </c>
      <c r="Z964" t="s">
        <v>46</v>
      </c>
      <c r="AA964">
        <v>62139</v>
      </c>
      <c r="AB964" t="s">
        <v>302</v>
      </c>
      <c r="AC964" t="s">
        <v>68</v>
      </c>
      <c r="AD964" t="s">
        <v>38</v>
      </c>
      <c r="AE964" t="s">
        <v>49</v>
      </c>
      <c r="AF964" t="s">
        <v>50</v>
      </c>
      <c r="AG964">
        <v>0</v>
      </c>
      <c r="AH964">
        <v>0</v>
      </c>
      <c r="AI964" t="s">
        <v>51</v>
      </c>
      <c r="AJ964" t="s">
        <v>51</v>
      </c>
      <c r="AK964" t="s">
        <v>51</v>
      </c>
    </row>
    <row r="965" spans="1:37" x14ac:dyDescent="0.2">
      <c r="A965">
        <v>62130</v>
      </c>
      <c r="B965" t="s">
        <v>37</v>
      </c>
      <c r="C965" t="s">
        <v>38</v>
      </c>
      <c r="D965" t="s">
        <v>295</v>
      </c>
      <c r="E965" t="s">
        <v>299</v>
      </c>
      <c r="G965" s="4">
        <v>43947.663090277778</v>
      </c>
      <c r="H965" s="4">
        <v>43947.663206018519</v>
      </c>
      <c r="I965" t="s">
        <v>300</v>
      </c>
      <c r="J965" s="5">
        <v>10.00000000000000000000000000000000000002</v>
      </c>
      <c r="K965" t="s">
        <v>38</v>
      </c>
      <c r="M965">
        <v>62131</v>
      </c>
      <c r="N965" t="s">
        <v>299</v>
      </c>
      <c r="O965" t="s">
        <v>301</v>
      </c>
      <c r="P965" t="s">
        <v>38</v>
      </c>
      <c r="Q965" t="s">
        <v>300</v>
      </c>
      <c r="R965">
        <v>10.00000000000000000000000000000000000002</v>
      </c>
      <c r="S965" t="s">
        <v>45</v>
      </c>
      <c r="T965" t="str" s="2">
        <f>=HYPERLINK("http://demo.enginatics.com:80/ecc/user/applications/log/62130.log","http://demo.enginatics.com:80/ecc/user/applications/log/62130.log")</f>
        <v>"http://demo.enginatics.com:80/ecc/user/applications/log/62130.log")</v>
      </c>
      <c r="U965">
        <v>62132</v>
      </c>
      <c r="V965" t="s">
        <v>38</v>
      </c>
      <c r="W965" t="s">
        <v>300</v>
      </c>
      <c r="X965">
        <v>10.00000000000000000000000000000000000002</v>
      </c>
      <c r="Y965">
        <v>10</v>
      </c>
      <c r="Z965" t="s">
        <v>46</v>
      </c>
      <c r="AA965">
        <v>62138</v>
      </c>
      <c r="AB965" t="s">
        <v>303</v>
      </c>
      <c r="AC965" t="s">
        <v>56</v>
      </c>
      <c r="AD965" t="s">
        <v>38</v>
      </c>
      <c r="AE965" t="s">
        <v>49</v>
      </c>
      <c r="AF965" t="s">
        <v>50</v>
      </c>
      <c r="AG965">
        <v>0</v>
      </c>
      <c r="AH965">
        <v>0</v>
      </c>
      <c r="AI965" t="s">
        <v>51</v>
      </c>
      <c r="AJ965" t="s">
        <v>51</v>
      </c>
      <c r="AK965" t="s">
        <v>51</v>
      </c>
    </row>
    <row r="966" spans="1:37" x14ac:dyDescent="0.2">
      <c r="A966">
        <v>62125</v>
      </c>
      <c r="B966" t="s">
        <v>37</v>
      </c>
      <c r="C966" t="s">
        <v>38</v>
      </c>
      <c r="D966" t="s">
        <v>295</v>
      </c>
      <c r="E966" t="s">
        <v>304</v>
      </c>
      <c r="G966" s="4">
        <v>43947.662997685185</v>
      </c>
      <c r="H966" s="4">
        <v>43947.662997685185</v>
      </c>
      <c r="I966" t="s">
        <v>50</v>
      </c>
      <c r="J966" s="5">
        <v>0</v>
      </c>
      <c r="K966" t="s">
        <v>38</v>
      </c>
      <c r="M966">
        <v>62126</v>
      </c>
      <c r="N966" t="s">
        <v>304</v>
      </c>
      <c r="O966" t="s">
        <v>305</v>
      </c>
      <c r="P966" t="s">
        <v>38</v>
      </c>
      <c r="Q966" t="s">
        <v>50</v>
      </c>
      <c r="R966">
        <v>0</v>
      </c>
      <c r="S966" t="s">
        <v>45</v>
      </c>
      <c r="T966" t="str" s="2">
        <f>=HYPERLINK("http://demo.enginatics.com:80/ecc/user/applications/log/62125.log","http://demo.enginatics.com:80/ecc/user/applications/log/62125.log")</f>
        <v>"http://demo.enginatics.com:80/ecc/user/applications/log/62125.log")</v>
      </c>
      <c r="U966">
        <v>62127</v>
      </c>
      <c r="V966" t="s">
        <v>38</v>
      </c>
      <c r="W966" t="s">
        <v>50</v>
      </c>
      <c r="X966">
        <v>0</v>
      </c>
      <c r="Y966">
        <v>0</v>
      </c>
      <c r="Z966" t="s">
        <v>46</v>
      </c>
      <c r="AA966">
        <v>62128</v>
      </c>
      <c r="AB966" t="s">
        <v>306</v>
      </c>
      <c r="AC966" t="s">
        <v>68</v>
      </c>
      <c r="AD966" t="s">
        <v>38</v>
      </c>
      <c r="AE966" t="s">
        <v>49</v>
      </c>
      <c r="AF966" t="s">
        <v>50</v>
      </c>
      <c r="AG966">
        <v>0</v>
      </c>
      <c r="AH966">
        <v>0</v>
      </c>
      <c r="AI966" t="s">
        <v>51</v>
      </c>
      <c r="AJ966" t="s">
        <v>51</v>
      </c>
      <c r="AK966" t="s">
        <v>51</v>
      </c>
    </row>
    <row r="967" spans="1:37" x14ac:dyDescent="0.2">
      <c r="A967">
        <v>62118</v>
      </c>
      <c r="B967" t="s">
        <v>37</v>
      </c>
      <c r="C967" t="s">
        <v>38</v>
      </c>
      <c r="D967" t="s">
        <v>307</v>
      </c>
      <c r="E967" t="s">
        <v>40</v>
      </c>
      <c r="G967" s="4">
        <v>43947.662905092593</v>
      </c>
      <c r="H967" s="4">
        <v>43947.66318287037</v>
      </c>
      <c r="I967" t="s">
        <v>1153</v>
      </c>
      <c r="J967" s="5">
        <v>24.00000000000000000000000000000000000002</v>
      </c>
      <c r="K967" t="s">
        <v>38</v>
      </c>
      <c r="M967">
        <v>62122</v>
      </c>
      <c r="N967" t="s">
        <v>309</v>
      </c>
      <c r="O967" t="s">
        <v>310</v>
      </c>
      <c r="P967" t="s">
        <v>38</v>
      </c>
      <c r="Q967" t="s">
        <v>183</v>
      </c>
      <c r="R967">
        <v>23.00000000000000000000000000000000000003</v>
      </c>
      <c r="S967" t="s">
        <v>45</v>
      </c>
      <c r="T967" t="str" s="2">
        <f>=HYPERLINK("http://demo.enginatics.com:80/ecc/user/applications/log/62118.log","http://demo.enginatics.com:80/ecc/user/applications/log/62118.log")</f>
        <v>"http://demo.enginatics.com:80/ecc/user/applications/log/62118.log")</v>
      </c>
      <c r="U967">
        <v>62123</v>
      </c>
      <c r="V967" t="s">
        <v>38</v>
      </c>
      <c r="W967" t="s">
        <v>183</v>
      </c>
      <c r="X967">
        <v>23.00000000000000000000000000000000000003</v>
      </c>
      <c r="Y967">
        <v>0</v>
      </c>
      <c r="Z967" t="s">
        <v>46</v>
      </c>
      <c r="AA967">
        <v>62134</v>
      </c>
      <c r="AB967" t="s">
        <v>903</v>
      </c>
      <c r="AC967" t="s">
        <v>56</v>
      </c>
      <c r="AD967" t="s">
        <v>38</v>
      </c>
      <c r="AE967" t="s">
        <v>49</v>
      </c>
      <c r="AF967" t="s">
        <v>50</v>
      </c>
      <c r="AG967">
        <v>0</v>
      </c>
      <c r="AH967">
        <v>0</v>
      </c>
      <c r="AI967" t="s">
        <v>51</v>
      </c>
      <c r="AJ967" t="s">
        <v>51</v>
      </c>
      <c r="AK967" t="s">
        <v>51</v>
      </c>
    </row>
    <row r="968" spans="1:37" x14ac:dyDescent="0.2">
      <c r="A968">
        <v>62118</v>
      </c>
      <c r="B968" t="s">
        <v>37</v>
      </c>
      <c r="C968" t="s">
        <v>38</v>
      </c>
      <c r="D968" t="s">
        <v>307</v>
      </c>
      <c r="E968" t="s">
        <v>40</v>
      </c>
      <c r="G968" s="4">
        <v>43947.662905092593</v>
      </c>
      <c r="H968" s="4">
        <v>43947.66318287037</v>
      </c>
      <c r="I968" t="s">
        <v>1153</v>
      </c>
      <c r="J968" s="5">
        <v>24.00000000000000000000000000000000000002</v>
      </c>
      <c r="K968" t="s">
        <v>38</v>
      </c>
      <c r="M968">
        <v>62122</v>
      </c>
      <c r="N968" t="s">
        <v>309</v>
      </c>
      <c r="O968" t="s">
        <v>310</v>
      </c>
      <c r="P968" t="s">
        <v>38</v>
      </c>
      <c r="Q968" t="s">
        <v>183</v>
      </c>
      <c r="R968">
        <v>23.00000000000000000000000000000000000003</v>
      </c>
      <c r="S968" t="s">
        <v>45</v>
      </c>
      <c r="T968" t="str" s="2">
        <f>=HYPERLINK("http://demo.enginatics.com:80/ecc/user/applications/log/62118.log","http://demo.enginatics.com:80/ecc/user/applications/log/62118.log")</f>
        <v>"http://demo.enginatics.com:80/ecc/user/applications/log/62118.log")</v>
      </c>
      <c r="U968">
        <v>62123</v>
      </c>
      <c r="V968" t="s">
        <v>38</v>
      </c>
      <c r="W968" t="s">
        <v>183</v>
      </c>
      <c r="X968">
        <v>23.00000000000000000000000000000000000003</v>
      </c>
      <c r="Y968">
        <v>0</v>
      </c>
      <c r="Z968" t="s">
        <v>46</v>
      </c>
      <c r="AA968">
        <v>62129</v>
      </c>
      <c r="AB968" t="s">
        <v>1157</v>
      </c>
      <c r="AC968" t="s">
        <v>97</v>
      </c>
      <c r="AD968" t="s">
        <v>38</v>
      </c>
      <c r="AE968" t="s">
        <v>49</v>
      </c>
      <c r="AF968" t="s">
        <v>236</v>
      </c>
      <c r="AG968">
        <v>12.00000000000000000000000000000000000001</v>
      </c>
      <c r="AH968">
        <v>11</v>
      </c>
      <c r="AI968" t="s">
        <v>51</v>
      </c>
      <c r="AJ968" t="s">
        <v>51</v>
      </c>
      <c r="AK968" t="s">
        <v>51</v>
      </c>
    </row>
    <row r="969" spans="1:37" x14ac:dyDescent="0.2">
      <c r="A969">
        <v>62118</v>
      </c>
      <c r="B969" t="s">
        <v>37</v>
      </c>
      <c r="C969" t="s">
        <v>38</v>
      </c>
      <c r="D969" t="s">
        <v>307</v>
      </c>
      <c r="E969" t="s">
        <v>40</v>
      </c>
      <c r="G969" s="4">
        <v>43947.662905092593</v>
      </c>
      <c r="H969" s="4">
        <v>43947.66318287037</v>
      </c>
      <c r="I969" t="s">
        <v>1153</v>
      </c>
      <c r="J969" s="5">
        <v>24.00000000000000000000000000000000000002</v>
      </c>
      <c r="K969" t="s">
        <v>38</v>
      </c>
      <c r="M969">
        <v>62122</v>
      </c>
      <c r="N969" t="s">
        <v>309</v>
      </c>
      <c r="O969" t="s">
        <v>310</v>
      </c>
      <c r="P969" t="s">
        <v>38</v>
      </c>
      <c r="Q969" t="s">
        <v>183</v>
      </c>
      <c r="R969">
        <v>23.00000000000000000000000000000000000003</v>
      </c>
      <c r="S969" t="s">
        <v>45</v>
      </c>
      <c r="T969" t="str" s="2">
        <f>=HYPERLINK("http://demo.enginatics.com:80/ecc/user/applications/log/62118.log","http://demo.enginatics.com:80/ecc/user/applications/log/62118.log")</f>
        <v>"http://demo.enginatics.com:80/ecc/user/applications/log/62118.log")</v>
      </c>
      <c r="U969">
        <v>62123</v>
      </c>
      <c r="V969" t="s">
        <v>38</v>
      </c>
      <c r="W969" t="s">
        <v>183</v>
      </c>
      <c r="X969">
        <v>23.00000000000000000000000000000000000003</v>
      </c>
      <c r="Y969">
        <v>0</v>
      </c>
      <c r="Z969" t="s">
        <v>46</v>
      </c>
      <c r="AA969">
        <v>62124</v>
      </c>
      <c r="AB969" t="s">
        <v>1158</v>
      </c>
      <c r="AC969" t="s">
        <v>97</v>
      </c>
      <c r="AD969" t="s">
        <v>38</v>
      </c>
      <c r="AE969" t="s">
        <v>49</v>
      </c>
      <c r="AF969" t="s">
        <v>337</v>
      </c>
      <c r="AG969">
        <v>11.00000000000000000000000000000000000002</v>
      </c>
      <c r="AH969">
        <v>11</v>
      </c>
      <c r="AI969" t="s">
        <v>51</v>
      </c>
      <c r="AJ969" t="s">
        <v>51</v>
      </c>
      <c r="AK969" t="s">
        <v>51</v>
      </c>
    </row>
    <row r="970" spans="1:37" x14ac:dyDescent="0.2">
      <c r="A970">
        <v>62118</v>
      </c>
      <c r="B970" t="s">
        <v>37</v>
      </c>
      <c r="C970" t="s">
        <v>38</v>
      </c>
      <c r="D970" t="s">
        <v>307</v>
      </c>
      <c r="E970" t="s">
        <v>40</v>
      </c>
      <c r="G970" s="4">
        <v>43947.662905092593</v>
      </c>
      <c r="H970" s="4">
        <v>43947.66318287037</v>
      </c>
      <c r="I970" t="s">
        <v>1153</v>
      </c>
      <c r="J970" s="5">
        <v>24.00000000000000000000000000000000000002</v>
      </c>
      <c r="K970" t="s">
        <v>38</v>
      </c>
      <c r="M970">
        <v>62119</v>
      </c>
      <c r="N970" t="s">
        <v>316</v>
      </c>
      <c r="O970" t="s">
        <v>317</v>
      </c>
      <c r="P970" t="s">
        <v>38</v>
      </c>
      <c r="Q970" t="s">
        <v>50</v>
      </c>
      <c r="R970">
        <v>0</v>
      </c>
      <c r="S970" t="s">
        <v>45</v>
      </c>
      <c r="T970" t="str" s="2">
        <f>=HYPERLINK("http://demo.enginatics.com:80/ecc/user/applications/log/62118.log","http://demo.enginatics.com:80/ecc/user/applications/log/62118.log")</f>
        <v>"http://demo.enginatics.com:80/ecc/user/applications/log/62118.log")</v>
      </c>
      <c r="U970">
        <v>62120</v>
      </c>
      <c r="V970" t="s">
        <v>38</v>
      </c>
      <c r="W970" t="s">
        <v>50</v>
      </c>
      <c r="X970">
        <v>0</v>
      </c>
      <c r="Y970">
        <v>0</v>
      </c>
      <c r="Z970" t="s">
        <v>46</v>
      </c>
      <c r="AA970">
        <v>62121</v>
      </c>
      <c r="AB970" t="s">
        <v>906</v>
      </c>
      <c r="AC970" t="s">
        <v>97</v>
      </c>
      <c r="AD970" t="s">
        <v>38</v>
      </c>
      <c r="AE970" t="s">
        <v>49</v>
      </c>
      <c r="AF970" t="s">
        <v>50</v>
      </c>
      <c r="AG970">
        <v>0</v>
      </c>
      <c r="AH970">
        <v>0</v>
      </c>
      <c r="AI970" t="s">
        <v>51</v>
      </c>
      <c r="AJ970" t="s">
        <v>51</v>
      </c>
      <c r="AK970" t="s">
        <v>51</v>
      </c>
    </row>
    <row r="971" spans="1:37" x14ac:dyDescent="0.2">
      <c r="A971">
        <v>62113</v>
      </c>
      <c r="B971" t="s">
        <v>37</v>
      </c>
      <c r="C971" t="s">
        <v>38</v>
      </c>
      <c r="D971" t="s">
        <v>253</v>
      </c>
      <c r="E971" t="s">
        <v>319</v>
      </c>
      <c r="G971" s="4">
        <v>43947.662569444444</v>
      </c>
      <c r="H971" s="4">
        <v>43947.662638888889</v>
      </c>
      <c r="I971" t="s">
        <v>75</v>
      </c>
      <c r="J971" s="5">
        <v>6</v>
      </c>
      <c r="K971" t="s">
        <v>38</v>
      </c>
      <c r="M971">
        <v>62114</v>
      </c>
      <c r="N971" t="s">
        <v>319</v>
      </c>
      <c r="O971" t="s">
        <v>320</v>
      </c>
      <c r="P971" t="s">
        <v>38</v>
      </c>
      <c r="Q971" t="s">
        <v>75</v>
      </c>
      <c r="R971">
        <v>6</v>
      </c>
      <c r="S971" t="s">
        <v>45</v>
      </c>
      <c r="T971" t="str" s="2">
        <f>=HYPERLINK("http://demo.enginatics.com:80/ecc/user/applications/log/62113.log","http://demo.enginatics.com:80/ecc/user/applications/log/62113.log")</f>
        <v>"http://demo.enginatics.com:80/ecc/user/applications/log/62113.log")</v>
      </c>
      <c r="U971">
        <v>62115</v>
      </c>
      <c r="V971" t="s">
        <v>38</v>
      </c>
      <c r="W971" t="s">
        <v>75</v>
      </c>
      <c r="X971">
        <v>6</v>
      </c>
      <c r="Y971">
        <v>1</v>
      </c>
      <c r="Z971" t="s">
        <v>46</v>
      </c>
      <c r="AA971">
        <v>62117</v>
      </c>
      <c r="AB971" t="s">
        <v>321</v>
      </c>
      <c r="AC971" t="s">
        <v>68</v>
      </c>
      <c r="AD971" t="s">
        <v>38</v>
      </c>
      <c r="AE971" t="s">
        <v>49</v>
      </c>
      <c r="AF971" t="s">
        <v>50</v>
      </c>
      <c r="AG971">
        <v>0</v>
      </c>
      <c r="AH971">
        <v>0</v>
      </c>
      <c r="AI971" t="s">
        <v>51</v>
      </c>
      <c r="AJ971" t="s">
        <v>51</v>
      </c>
      <c r="AK971" t="s">
        <v>51</v>
      </c>
    </row>
    <row r="972" spans="1:37" x14ac:dyDescent="0.2">
      <c r="A972">
        <v>62113</v>
      </c>
      <c r="B972" t="s">
        <v>37</v>
      </c>
      <c r="C972" t="s">
        <v>38</v>
      </c>
      <c r="D972" t="s">
        <v>253</v>
      </c>
      <c r="E972" t="s">
        <v>319</v>
      </c>
      <c r="G972" s="4">
        <v>43947.662569444444</v>
      </c>
      <c r="H972" s="4">
        <v>43947.662638888889</v>
      </c>
      <c r="I972" t="s">
        <v>75</v>
      </c>
      <c r="J972" s="5">
        <v>6</v>
      </c>
      <c r="K972" t="s">
        <v>38</v>
      </c>
      <c r="M972">
        <v>62114</v>
      </c>
      <c r="N972" t="s">
        <v>319</v>
      </c>
      <c r="O972" t="s">
        <v>320</v>
      </c>
      <c r="P972" t="s">
        <v>38</v>
      </c>
      <c r="Q972" t="s">
        <v>75</v>
      </c>
      <c r="R972">
        <v>6</v>
      </c>
      <c r="S972" t="s">
        <v>45</v>
      </c>
      <c r="T972" t="str" s="2">
        <f>=HYPERLINK("http://demo.enginatics.com:80/ecc/user/applications/log/62113.log","http://demo.enginatics.com:80/ecc/user/applications/log/62113.log")</f>
        <v>"http://demo.enginatics.com:80/ecc/user/applications/log/62113.log")</v>
      </c>
      <c r="U972">
        <v>62115</v>
      </c>
      <c r="V972" t="s">
        <v>38</v>
      </c>
      <c r="W972" t="s">
        <v>75</v>
      </c>
      <c r="X972">
        <v>6</v>
      </c>
      <c r="Y972">
        <v>1</v>
      </c>
      <c r="Z972" t="s">
        <v>46</v>
      </c>
      <c r="AA972">
        <v>62116</v>
      </c>
      <c r="AB972" t="s">
        <v>322</v>
      </c>
      <c r="AC972" t="s">
        <v>56</v>
      </c>
      <c r="AD972" t="s">
        <v>38</v>
      </c>
      <c r="AE972" t="s">
        <v>49</v>
      </c>
      <c r="AF972" t="s">
        <v>44</v>
      </c>
      <c r="AG972">
        <v>4</v>
      </c>
      <c r="AH972">
        <v>0</v>
      </c>
      <c r="AI972" t="s">
        <v>51</v>
      </c>
      <c r="AJ972" t="s">
        <v>51</v>
      </c>
      <c r="AK972" t="s">
        <v>51</v>
      </c>
    </row>
    <row r="973" spans="1:37" x14ac:dyDescent="0.2">
      <c r="A973">
        <v>62109</v>
      </c>
      <c r="B973" t="s">
        <v>37</v>
      </c>
      <c r="C973" t="s">
        <v>38</v>
      </c>
      <c r="D973" t="s">
        <v>253</v>
      </c>
      <c r="E973" t="s">
        <v>358</v>
      </c>
      <c r="G973" s="4">
        <v>43947.662465277778</v>
      </c>
      <c r="H973" s="4">
        <v>43947.662476851852</v>
      </c>
      <c r="I973" t="s">
        <v>50</v>
      </c>
      <c r="J973" s="5">
        <v>.9999999999999999999999999999999999999996</v>
      </c>
      <c r="K973" t="s">
        <v>38</v>
      </c>
      <c r="M973">
        <v>62110</v>
      </c>
      <c r="N973" t="s">
        <v>358</v>
      </c>
      <c r="O973" t="s">
        <v>359</v>
      </c>
      <c r="P973" t="s">
        <v>38</v>
      </c>
      <c r="Q973" t="s">
        <v>50</v>
      </c>
      <c r="R973">
        <v>.9999999999999999999999999999999999999996</v>
      </c>
      <c r="S973" t="s">
        <v>45</v>
      </c>
      <c r="T973" t="str" s="2">
        <f>=HYPERLINK("http://demo.enginatics.com:80/ecc/user/applications/log/62109.log","http://demo.enginatics.com:80/ecc/user/applications/log/62109.log")</f>
        <v>"http://demo.enginatics.com:80/ecc/user/applications/log/62109.log")</v>
      </c>
      <c r="U973">
        <v>62111</v>
      </c>
      <c r="V973" t="s">
        <v>38</v>
      </c>
      <c r="W973" t="s">
        <v>50</v>
      </c>
      <c r="X973">
        <v>.9999999999999999999999999999999999999996</v>
      </c>
      <c r="Y973">
        <v>0</v>
      </c>
      <c r="Z973" t="s">
        <v>46</v>
      </c>
      <c r="AA973">
        <v>62112</v>
      </c>
      <c r="AB973" t="s">
        <v>360</v>
      </c>
      <c r="AC973" t="s">
        <v>68</v>
      </c>
      <c r="AD973" t="s">
        <v>38</v>
      </c>
      <c r="AE973" t="s">
        <v>49</v>
      </c>
      <c r="AF973" t="s">
        <v>50</v>
      </c>
      <c r="AG973">
        <v>0</v>
      </c>
      <c r="AH973">
        <v>0</v>
      </c>
      <c r="AI973" t="s">
        <v>51</v>
      </c>
      <c r="AJ973" t="s">
        <v>51</v>
      </c>
      <c r="AK973" t="s">
        <v>51</v>
      </c>
    </row>
    <row r="974" spans="1:37" x14ac:dyDescent="0.2">
      <c r="A974">
        <v>62078</v>
      </c>
      <c r="B974" t="s">
        <v>37</v>
      </c>
      <c r="C974" t="s">
        <v>38</v>
      </c>
      <c r="D974" t="s">
        <v>323</v>
      </c>
      <c r="E974" t="s">
        <v>40</v>
      </c>
      <c r="G974" s="4">
        <v>43947.6621875</v>
      </c>
      <c r="H974" s="4">
        <v>43947.662418981481</v>
      </c>
      <c r="I974" t="s">
        <v>693</v>
      </c>
      <c r="J974" s="5">
        <v>19.99999999999999999999999999999999999996</v>
      </c>
      <c r="K974" t="s">
        <v>38</v>
      </c>
      <c r="M974">
        <v>62106</v>
      </c>
      <c r="N974" t="s">
        <v>325</v>
      </c>
      <c r="O974" t="s">
        <v>326</v>
      </c>
      <c r="P974" t="s">
        <v>38</v>
      </c>
      <c r="Q974" t="s">
        <v>50</v>
      </c>
      <c r="R974">
        <v>0</v>
      </c>
      <c r="S974" t="s">
        <v>45</v>
      </c>
      <c r="T974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74">
        <v>62107</v>
      </c>
      <c r="V974" t="s">
        <v>38</v>
      </c>
      <c r="W974" t="s">
        <v>50</v>
      </c>
      <c r="X974">
        <v>0</v>
      </c>
      <c r="Y974">
        <v>0</v>
      </c>
      <c r="Z974" t="s">
        <v>46</v>
      </c>
      <c r="AA974">
        <v>62108</v>
      </c>
      <c r="AB974" t="s">
        <v>908</v>
      </c>
      <c r="AC974" t="s">
        <v>97</v>
      </c>
      <c r="AD974" t="s">
        <v>38</v>
      </c>
      <c r="AE974" t="s">
        <v>49</v>
      </c>
      <c r="AF974" t="s">
        <v>50</v>
      </c>
      <c r="AG974">
        <v>0</v>
      </c>
      <c r="AH974">
        <v>0</v>
      </c>
      <c r="AI974" t="s">
        <v>51</v>
      </c>
      <c r="AJ974" t="s">
        <v>51</v>
      </c>
      <c r="AK974" t="s">
        <v>51</v>
      </c>
    </row>
    <row r="975" spans="1:37" x14ac:dyDescent="0.2">
      <c r="A975">
        <v>62078</v>
      </c>
      <c r="B975" t="s">
        <v>37</v>
      </c>
      <c r="C975" t="s">
        <v>38</v>
      </c>
      <c r="D975" t="s">
        <v>323</v>
      </c>
      <c r="E975" t="s">
        <v>40</v>
      </c>
      <c r="G975" s="4">
        <v>43947.6621875</v>
      </c>
      <c r="H975" s="4">
        <v>43947.662418981481</v>
      </c>
      <c r="I975" t="s">
        <v>693</v>
      </c>
      <c r="J975" s="5">
        <v>19.99999999999999999999999999999999999996</v>
      </c>
      <c r="K975" t="s">
        <v>38</v>
      </c>
      <c r="M975">
        <v>62099</v>
      </c>
      <c r="N975" t="s">
        <v>328</v>
      </c>
      <c r="O975" t="s">
        <v>329</v>
      </c>
      <c r="P975" t="s">
        <v>38</v>
      </c>
      <c r="Q975" t="s">
        <v>50</v>
      </c>
      <c r="R975">
        <v>.9999999999999999999999999999999999999996</v>
      </c>
      <c r="S975" t="s">
        <v>45</v>
      </c>
      <c r="T975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75">
        <v>62100</v>
      </c>
      <c r="V975" t="s">
        <v>38</v>
      </c>
      <c r="W975" t="s">
        <v>50</v>
      </c>
      <c r="X975">
        <v>.9999999999999999999999999999999999999996</v>
      </c>
      <c r="Y975">
        <v>0</v>
      </c>
      <c r="Z975" t="s">
        <v>46</v>
      </c>
      <c r="AA975">
        <v>62105</v>
      </c>
      <c r="AB975" t="s">
        <v>1159</v>
      </c>
      <c r="AC975" t="s">
        <v>97</v>
      </c>
      <c r="AD975" t="s">
        <v>38</v>
      </c>
      <c r="AE975" t="s">
        <v>49</v>
      </c>
      <c r="AF975" t="s">
        <v>50</v>
      </c>
      <c r="AG975">
        <v>0</v>
      </c>
      <c r="AH975">
        <v>0</v>
      </c>
      <c r="AI975" t="s">
        <v>51</v>
      </c>
      <c r="AJ975" t="s">
        <v>51</v>
      </c>
      <c r="AK975" t="s">
        <v>51</v>
      </c>
    </row>
    <row r="976" spans="1:37" x14ac:dyDescent="0.2">
      <c r="A976">
        <v>62078</v>
      </c>
      <c r="B976" t="s">
        <v>37</v>
      </c>
      <c r="C976" t="s">
        <v>38</v>
      </c>
      <c r="D976" t="s">
        <v>323</v>
      </c>
      <c r="E976" t="s">
        <v>40</v>
      </c>
      <c r="G976" s="4">
        <v>43947.6621875</v>
      </c>
      <c r="H976" s="4">
        <v>43947.662418981481</v>
      </c>
      <c r="I976" t="s">
        <v>693</v>
      </c>
      <c r="J976" s="5">
        <v>19.99999999999999999999999999999999999996</v>
      </c>
      <c r="K976" t="s">
        <v>38</v>
      </c>
      <c r="M976">
        <v>62099</v>
      </c>
      <c r="N976" t="s">
        <v>328</v>
      </c>
      <c r="O976" t="s">
        <v>329</v>
      </c>
      <c r="P976" t="s">
        <v>38</v>
      </c>
      <c r="Q976" t="s">
        <v>50</v>
      </c>
      <c r="R976">
        <v>.9999999999999999999999999999999999999996</v>
      </c>
      <c r="S976" t="s">
        <v>45</v>
      </c>
      <c r="T976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76">
        <v>62100</v>
      </c>
      <c r="V976" t="s">
        <v>38</v>
      </c>
      <c r="W976" t="s">
        <v>50</v>
      </c>
      <c r="X976">
        <v>.9999999999999999999999999999999999999996</v>
      </c>
      <c r="Y976">
        <v>0</v>
      </c>
      <c r="Z976" t="s">
        <v>46</v>
      </c>
      <c r="AA976">
        <v>62104</v>
      </c>
      <c r="AB976" t="s">
        <v>1160</v>
      </c>
      <c r="AC976" t="s">
        <v>97</v>
      </c>
      <c r="AD976" t="s">
        <v>38</v>
      </c>
      <c r="AE976" t="s">
        <v>49</v>
      </c>
      <c r="AF976" t="s">
        <v>50</v>
      </c>
      <c r="AG976">
        <v>.9999999999999999999999999999999999999996</v>
      </c>
      <c r="AH976">
        <v>0</v>
      </c>
      <c r="AI976" t="s">
        <v>51</v>
      </c>
      <c r="AJ976" t="s">
        <v>51</v>
      </c>
      <c r="AK976" t="s">
        <v>51</v>
      </c>
    </row>
    <row r="977" spans="1:37" x14ac:dyDescent="0.2">
      <c r="A977">
        <v>62078</v>
      </c>
      <c r="B977" t="s">
        <v>37</v>
      </c>
      <c r="C977" t="s">
        <v>38</v>
      </c>
      <c r="D977" t="s">
        <v>323</v>
      </c>
      <c r="E977" t="s">
        <v>40</v>
      </c>
      <c r="G977" s="4">
        <v>43947.6621875</v>
      </c>
      <c r="H977" s="4">
        <v>43947.662418981481</v>
      </c>
      <c r="I977" t="s">
        <v>693</v>
      </c>
      <c r="J977" s="5">
        <v>19.99999999999999999999999999999999999996</v>
      </c>
      <c r="K977" t="s">
        <v>38</v>
      </c>
      <c r="M977">
        <v>62099</v>
      </c>
      <c r="N977" t="s">
        <v>328</v>
      </c>
      <c r="O977" t="s">
        <v>329</v>
      </c>
      <c r="P977" t="s">
        <v>38</v>
      </c>
      <c r="Q977" t="s">
        <v>50</v>
      </c>
      <c r="R977">
        <v>.9999999999999999999999999999999999999996</v>
      </c>
      <c r="S977" t="s">
        <v>45</v>
      </c>
      <c r="T977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77">
        <v>62100</v>
      </c>
      <c r="V977" t="s">
        <v>38</v>
      </c>
      <c r="W977" t="s">
        <v>50</v>
      </c>
      <c r="X977">
        <v>.9999999999999999999999999999999999999996</v>
      </c>
      <c r="Y977">
        <v>0</v>
      </c>
      <c r="Z977" t="s">
        <v>46</v>
      </c>
      <c r="AA977">
        <v>62103</v>
      </c>
      <c r="AB977" t="s">
        <v>1161</v>
      </c>
      <c r="AC977" t="s">
        <v>97</v>
      </c>
      <c r="AD977" t="s">
        <v>38</v>
      </c>
      <c r="AE977" t="s">
        <v>49</v>
      </c>
      <c r="AF977" t="s">
        <v>50</v>
      </c>
      <c r="AG977">
        <v>0</v>
      </c>
      <c r="AH977">
        <v>0</v>
      </c>
      <c r="AI977" t="s">
        <v>51</v>
      </c>
      <c r="AJ977" t="s">
        <v>51</v>
      </c>
      <c r="AK977" t="s">
        <v>51</v>
      </c>
    </row>
    <row r="978" spans="1:37" x14ac:dyDescent="0.2">
      <c r="A978">
        <v>62078</v>
      </c>
      <c r="B978" t="s">
        <v>37</v>
      </c>
      <c r="C978" t="s">
        <v>38</v>
      </c>
      <c r="D978" t="s">
        <v>323</v>
      </c>
      <c r="E978" t="s">
        <v>40</v>
      </c>
      <c r="G978" s="4">
        <v>43947.6621875</v>
      </c>
      <c r="H978" s="4">
        <v>43947.662418981481</v>
      </c>
      <c r="I978" t="s">
        <v>693</v>
      </c>
      <c r="J978" s="5">
        <v>19.99999999999999999999999999999999999996</v>
      </c>
      <c r="K978" t="s">
        <v>38</v>
      </c>
      <c r="M978">
        <v>62099</v>
      </c>
      <c r="N978" t="s">
        <v>328</v>
      </c>
      <c r="O978" t="s">
        <v>329</v>
      </c>
      <c r="P978" t="s">
        <v>38</v>
      </c>
      <c r="Q978" t="s">
        <v>50</v>
      </c>
      <c r="R978">
        <v>.9999999999999999999999999999999999999996</v>
      </c>
      <c r="S978" t="s">
        <v>45</v>
      </c>
      <c r="T978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78">
        <v>62100</v>
      </c>
      <c r="V978" t="s">
        <v>38</v>
      </c>
      <c r="W978" t="s">
        <v>50</v>
      </c>
      <c r="X978">
        <v>.9999999999999999999999999999999999999996</v>
      </c>
      <c r="Y978">
        <v>0</v>
      </c>
      <c r="Z978" t="s">
        <v>46</v>
      </c>
      <c r="AA978">
        <v>62102</v>
      </c>
      <c r="AB978" t="s">
        <v>1162</v>
      </c>
      <c r="AC978" t="s">
        <v>97</v>
      </c>
      <c r="AD978" t="s">
        <v>38</v>
      </c>
      <c r="AE978" t="s">
        <v>49</v>
      </c>
      <c r="AF978" t="s">
        <v>50</v>
      </c>
      <c r="AG978">
        <v>0</v>
      </c>
      <c r="AH978">
        <v>0</v>
      </c>
      <c r="AI978" t="s">
        <v>51</v>
      </c>
      <c r="AJ978" t="s">
        <v>51</v>
      </c>
      <c r="AK978" t="s">
        <v>51</v>
      </c>
    </row>
    <row r="979" spans="1:37" x14ac:dyDescent="0.2">
      <c r="A979">
        <v>62078</v>
      </c>
      <c r="B979" t="s">
        <v>37</v>
      </c>
      <c r="C979" t="s">
        <v>38</v>
      </c>
      <c r="D979" t="s">
        <v>323</v>
      </c>
      <c r="E979" t="s">
        <v>40</v>
      </c>
      <c r="G979" s="4">
        <v>43947.6621875</v>
      </c>
      <c r="H979" s="4">
        <v>43947.662418981481</v>
      </c>
      <c r="I979" t="s">
        <v>693</v>
      </c>
      <c r="J979" s="5">
        <v>19.99999999999999999999999999999999999996</v>
      </c>
      <c r="K979" t="s">
        <v>38</v>
      </c>
      <c r="M979">
        <v>62099</v>
      </c>
      <c r="N979" t="s">
        <v>328</v>
      </c>
      <c r="O979" t="s">
        <v>329</v>
      </c>
      <c r="P979" t="s">
        <v>38</v>
      </c>
      <c r="Q979" t="s">
        <v>50</v>
      </c>
      <c r="R979">
        <v>.9999999999999999999999999999999999999996</v>
      </c>
      <c r="S979" t="s">
        <v>45</v>
      </c>
      <c r="T979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79">
        <v>62100</v>
      </c>
      <c r="V979" t="s">
        <v>38</v>
      </c>
      <c r="W979" t="s">
        <v>50</v>
      </c>
      <c r="X979">
        <v>.9999999999999999999999999999999999999996</v>
      </c>
      <c r="Y979">
        <v>0</v>
      </c>
      <c r="Z979" t="s">
        <v>46</v>
      </c>
      <c r="AA979">
        <v>62101</v>
      </c>
      <c r="AB979" t="s">
        <v>1163</v>
      </c>
      <c r="AC979" t="s">
        <v>97</v>
      </c>
      <c r="AD979" t="s">
        <v>38</v>
      </c>
      <c r="AE979" t="s">
        <v>49</v>
      </c>
      <c r="AF979" t="s">
        <v>50</v>
      </c>
      <c r="AG979">
        <v>0</v>
      </c>
      <c r="AH979">
        <v>0</v>
      </c>
      <c r="AI979" t="s">
        <v>51</v>
      </c>
      <c r="AJ979" t="s">
        <v>51</v>
      </c>
      <c r="AK979" t="s">
        <v>51</v>
      </c>
    </row>
    <row r="980" spans="1:37" x14ac:dyDescent="0.2">
      <c r="A980">
        <v>62078</v>
      </c>
      <c r="B980" t="s">
        <v>37</v>
      </c>
      <c r="C980" t="s">
        <v>38</v>
      </c>
      <c r="D980" t="s">
        <v>323</v>
      </c>
      <c r="E980" t="s">
        <v>40</v>
      </c>
      <c r="G980" s="4">
        <v>43947.6621875</v>
      </c>
      <c r="H980" s="4">
        <v>43947.662418981481</v>
      </c>
      <c r="I980" t="s">
        <v>693</v>
      </c>
      <c r="J980" s="5">
        <v>19.99999999999999999999999999999999999996</v>
      </c>
      <c r="K980" t="s">
        <v>38</v>
      </c>
      <c r="M980">
        <v>62091</v>
      </c>
      <c r="N980" t="s">
        <v>335</v>
      </c>
      <c r="O980" t="s">
        <v>336</v>
      </c>
      <c r="P980" t="s">
        <v>38</v>
      </c>
      <c r="Q980" t="s">
        <v>966</v>
      </c>
      <c r="R980">
        <v>15.99999999999999999999999999999999999998</v>
      </c>
      <c r="S980" t="s">
        <v>45</v>
      </c>
      <c r="T980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0">
        <v>62092</v>
      </c>
      <c r="V980" t="s">
        <v>38</v>
      </c>
      <c r="W980" t="s">
        <v>315</v>
      </c>
      <c r="X980">
        <v>14</v>
      </c>
      <c r="Y980">
        <v>0</v>
      </c>
      <c r="Z980" t="s">
        <v>46</v>
      </c>
      <c r="AA980">
        <v>62098</v>
      </c>
      <c r="AB980" t="s">
        <v>917</v>
      </c>
      <c r="AC980" t="s">
        <v>97</v>
      </c>
      <c r="AD980" t="s">
        <v>38</v>
      </c>
      <c r="AE980" t="s">
        <v>49</v>
      </c>
      <c r="AF980" t="s">
        <v>50</v>
      </c>
      <c r="AG980">
        <v>0</v>
      </c>
      <c r="AH980">
        <v>0</v>
      </c>
      <c r="AI980" t="s">
        <v>51</v>
      </c>
      <c r="AJ980" t="s">
        <v>51</v>
      </c>
      <c r="AK980" t="s">
        <v>51</v>
      </c>
    </row>
    <row r="981" spans="1:37" x14ac:dyDescent="0.2">
      <c r="A981">
        <v>62078</v>
      </c>
      <c r="B981" t="s">
        <v>37</v>
      </c>
      <c r="C981" t="s">
        <v>38</v>
      </c>
      <c r="D981" t="s">
        <v>323</v>
      </c>
      <c r="E981" t="s">
        <v>40</v>
      </c>
      <c r="G981" s="4">
        <v>43947.6621875</v>
      </c>
      <c r="H981" s="4">
        <v>43947.662418981481</v>
      </c>
      <c r="I981" t="s">
        <v>693</v>
      </c>
      <c r="J981" s="5">
        <v>19.99999999999999999999999999999999999996</v>
      </c>
      <c r="K981" t="s">
        <v>38</v>
      </c>
      <c r="M981">
        <v>62091</v>
      </c>
      <c r="N981" t="s">
        <v>335</v>
      </c>
      <c r="O981" t="s">
        <v>336</v>
      </c>
      <c r="P981" t="s">
        <v>38</v>
      </c>
      <c r="Q981" t="s">
        <v>966</v>
      </c>
      <c r="R981">
        <v>15.99999999999999999999999999999999999998</v>
      </c>
      <c r="S981" t="s">
        <v>45</v>
      </c>
      <c r="T981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1">
        <v>62092</v>
      </c>
      <c r="V981" t="s">
        <v>38</v>
      </c>
      <c r="W981" t="s">
        <v>315</v>
      </c>
      <c r="X981">
        <v>14</v>
      </c>
      <c r="Y981">
        <v>0</v>
      </c>
      <c r="Z981" t="s">
        <v>46</v>
      </c>
      <c r="AA981">
        <v>62097</v>
      </c>
      <c r="AB981" t="s">
        <v>918</v>
      </c>
      <c r="AC981" t="s">
        <v>97</v>
      </c>
      <c r="AD981" t="s">
        <v>38</v>
      </c>
      <c r="AE981" t="s">
        <v>49</v>
      </c>
      <c r="AF981" t="s">
        <v>50</v>
      </c>
      <c r="AG981">
        <v>.9999999999999999999999999999999999999996</v>
      </c>
      <c r="AH981">
        <v>0</v>
      </c>
      <c r="AI981" t="s">
        <v>51</v>
      </c>
      <c r="AJ981" t="s">
        <v>51</v>
      </c>
      <c r="AK981" t="s">
        <v>51</v>
      </c>
    </row>
    <row r="982" spans="1:37" x14ac:dyDescent="0.2">
      <c r="A982">
        <v>62078</v>
      </c>
      <c r="B982" t="s">
        <v>37</v>
      </c>
      <c r="C982" t="s">
        <v>38</v>
      </c>
      <c r="D982" t="s">
        <v>323</v>
      </c>
      <c r="E982" t="s">
        <v>40</v>
      </c>
      <c r="G982" s="4">
        <v>43947.6621875</v>
      </c>
      <c r="H982" s="4">
        <v>43947.662418981481</v>
      </c>
      <c r="I982" t="s">
        <v>693</v>
      </c>
      <c r="J982" s="5">
        <v>19.99999999999999999999999999999999999996</v>
      </c>
      <c r="K982" t="s">
        <v>38</v>
      </c>
      <c r="M982">
        <v>62091</v>
      </c>
      <c r="N982" t="s">
        <v>335</v>
      </c>
      <c r="O982" t="s">
        <v>336</v>
      </c>
      <c r="P982" t="s">
        <v>38</v>
      </c>
      <c r="Q982" t="s">
        <v>966</v>
      </c>
      <c r="R982">
        <v>15.99999999999999999999999999999999999998</v>
      </c>
      <c r="S982" t="s">
        <v>45</v>
      </c>
      <c r="T982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2">
        <v>62092</v>
      </c>
      <c r="V982" t="s">
        <v>38</v>
      </c>
      <c r="W982" t="s">
        <v>315</v>
      </c>
      <c r="X982">
        <v>14</v>
      </c>
      <c r="Y982">
        <v>0</v>
      </c>
      <c r="Z982" t="s">
        <v>46</v>
      </c>
      <c r="AA982">
        <v>62096</v>
      </c>
      <c r="AB982" t="s">
        <v>919</v>
      </c>
      <c r="AC982" t="s">
        <v>97</v>
      </c>
      <c r="AD982" t="s">
        <v>38</v>
      </c>
      <c r="AE982" t="s">
        <v>49</v>
      </c>
      <c r="AF982" t="s">
        <v>50</v>
      </c>
      <c r="AG982">
        <v>0</v>
      </c>
      <c r="AH982">
        <v>0</v>
      </c>
      <c r="AI982" t="s">
        <v>51</v>
      </c>
      <c r="AJ982" t="s">
        <v>51</v>
      </c>
      <c r="AK982" t="s">
        <v>51</v>
      </c>
    </row>
    <row r="983" spans="1:37" x14ac:dyDescent="0.2">
      <c r="A983">
        <v>62078</v>
      </c>
      <c r="B983" t="s">
        <v>37</v>
      </c>
      <c r="C983" t="s">
        <v>38</v>
      </c>
      <c r="D983" t="s">
        <v>323</v>
      </c>
      <c r="E983" t="s">
        <v>40</v>
      </c>
      <c r="G983" s="4">
        <v>43947.6621875</v>
      </c>
      <c r="H983" s="4">
        <v>43947.662418981481</v>
      </c>
      <c r="I983" t="s">
        <v>693</v>
      </c>
      <c r="J983" s="5">
        <v>19.99999999999999999999999999999999999996</v>
      </c>
      <c r="K983" t="s">
        <v>38</v>
      </c>
      <c r="M983">
        <v>62091</v>
      </c>
      <c r="N983" t="s">
        <v>335</v>
      </c>
      <c r="O983" t="s">
        <v>336</v>
      </c>
      <c r="P983" t="s">
        <v>38</v>
      </c>
      <c r="Q983" t="s">
        <v>966</v>
      </c>
      <c r="R983">
        <v>15.99999999999999999999999999999999999998</v>
      </c>
      <c r="S983" t="s">
        <v>45</v>
      </c>
      <c r="T983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3">
        <v>62092</v>
      </c>
      <c r="V983" t="s">
        <v>38</v>
      </c>
      <c r="W983" t="s">
        <v>315</v>
      </c>
      <c r="X983">
        <v>14</v>
      </c>
      <c r="Y983">
        <v>0</v>
      </c>
      <c r="Z983" t="s">
        <v>46</v>
      </c>
      <c r="AA983">
        <v>62095</v>
      </c>
      <c r="AB983" t="s">
        <v>920</v>
      </c>
      <c r="AC983" t="s">
        <v>97</v>
      </c>
      <c r="AD983" t="s">
        <v>38</v>
      </c>
      <c r="AE983" t="s">
        <v>49</v>
      </c>
      <c r="AF983" t="s">
        <v>78</v>
      </c>
      <c r="AG983">
        <v>5</v>
      </c>
      <c r="AH983">
        <v>2</v>
      </c>
      <c r="AI983" t="s">
        <v>51</v>
      </c>
      <c r="AJ983" t="s">
        <v>51</v>
      </c>
      <c r="AK983" t="s">
        <v>51</v>
      </c>
    </row>
    <row r="984" spans="1:37" x14ac:dyDescent="0.2">
      <c r="A984">
        <v>62078</v>
      </c>
      <c r="B984" t="s">
        <v>37</v>
      </c>
      <c r="C984" t="s">
        <v>38</v>
      </c>
      <c r="D984" t="s">
        <v>323</v>
      </c>
      <c r="E984" t="s">
        <v>40</v>
      </c>
      <c r="G984" s="4">
        <v>43947.6621875</v>
      </c>
      <c r="H984" s="4">
        <v>43947.662418981481</v>
      </c>
      <c r="I984" t="s">
        <v>693</v>
      </c>
      <c r="J984" s="5">
        <v>19.99999999999999999999999999999999999996</v>
      </c>
      <c r="K984" t="s">
        <v>38</v>
      </c>
      <c r="M984">
        <v>62091</v>
      </c>
      <c r="N984" t="s">
        <v>335</v>
      </c>
      <c r="O984" t="s">
        <v>336</v>
      </c>
      <c r="P984" t="s">
        <v>38</v>
      </c>
      <c r="Q984" t="s">
        <v>966</v>
      </c>
      <c r="R984">
        <v>15.99999999999999999999999999999999999998</v>
      </c>
      <c r="S984" t="s">
        <v>45</v>
      </c>
      <c r="T984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4">
        <v>62092</v>
      </c>
      <c r="V984" t="s">
        <v>38</v>
      </c>
      <c r="W984" t="s">
        <v>315</v>
      </c>
      <c r="X984">
        <v>14</v>
      </c>
      <c r="Y984">
        <v>0</v>
      </c>
      <c r="Z984" t="s">
        <v>46</v>
      </c>
      <c r="AA984">
        <v>62094</v>
      </c>
      <c r="AB984" t="s">
        <v>921</v>
      </c>
      <c r="AC984" t="s">
        <v>97</v>
      </c>
      <c r="AD984" t="s">
        <v>38</v>
      </c>
      <c r="AE984" t="s">
        <v>49</v>
      </c>
      <c r="AF984" t="s">
        <v>75</v>
      </c>
      <c r="AG984">
        <v>6</v>
      </c>
      <c r="AH984">
        <v>6</v>
      </c>
      <c r="AI984" t="s">
        <v>51</v>
      </c>
      <c r="AJ984" t="s">
        <v>51</v>
      </c>
      <c r="AK984" t="s">
        <v>51</v>
      </c>
    </row>
    <row r="985" spans="1:37" x14ac:dyDescent="0.2">
      <c r="A985">
        <v>62078</v>
      </c>
      <c r="B985" t="s">
        <v>37</v>
      </c>
      <c r="C985" t="s">
        <v>38</v>
      </c>
      <c r="D985" t="s">
        <v>323</v>
      </c>
      <c r="E985" t="s">
        <v>40</v>
      </c>
      <c r="G985" s="4">
        <v>43947.6621875</v>
      </c>
      <c r="H985" s="4">
        <v>43947.662418981481</v>
      </c>
      <c r="I985" t="s">
        <v>693</v>
      </c>
      <c r="J985" s="5">
        <v>19.99999999999999999999999999999999999996</v>
      </c>
      <c r="K985" t="s">
        <v>38</v>
      </c>
      <c r="M985">
        <v>62091</v>
      </c>
      <c r="N985" t="s">
        <v>335</v>
      </c>
      <c r="O985" t="s">
        <v>336</v>
      </c>
      <c r="P985" t="s">
        <v>38</v>
      </c>
      <c r="Q985" t="s">
        <v>966</v>
      </c>
      <c r="R985">
        <v>15.99999999999999999999999999999999999998</v>
      </c>
      <c r="S985" t="s">
        <v>45</v>
      </c>
      <c r="T985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5">
        <v>62092</v>
      </c>
      <c r="V985" t="s">
        <v>38</v>
      </c>
      <c r="W985" t="s">
        <v>315</v>
      </c>
      <c r="X985">
        <v>14</v>
      </c>
      <c r="Y985">
        <v>0</v>
      </c>
      <c r="Z985" t="s">
        <v>46</v>
      </c>
      <c r="AA985">
        <v>62093</v>
      </c>
      <c r="AB985" t="s">
        <v>922</v>
      </c>
      <c r="AC985" t="s">
        <v>97</v>
      </c>
      <c r="AD985" t="s">
        <v>38</v>
      </c>
      <c r="AE985" t="s">
        <v>49</v>
      </c>
      <c r="AF985" t="s">
        <v>50</v>
      </c>
      <c r="AG985">
        <v>.9999999999999999999999999999999999999996</v>
      </c>
      <c r="AH985">
        <v>1</v>
      </c>
      <c r="AI985" t="s">
        <v>51</v>
      </c>
      <c r="AJ985" t="s">
        <v>51</v>
      </c>
      <c r="AK985" t="s">
        <v>51</v>
      </c>
    </row>
    <row r="986" spans="1:37" x14ac:dyDescent="0.2">
      <c r="A986">
        <v>62078</v>
      </c>
      <c r="B986" t="s">
        <v>37</v>
      </c>
      <c r="C986" t="s">
        <v>38</v>
      </c>
      <c r="D986" t="s">
        <v>323</v>
      </c>
      <c r="E986" t="s">
        <v>40</v>
      </c>
      <c r="G986" s="4">
        <v>43947.6621875</v>
      </c>
      <c r="H986" s="4">
        <v>43947.662418981481</v>
      </c>
      <c r="I986" t="s">
        <v>693</v>
      </c>
      <c r="J986" s="5">
        <v>19.99999999999999999999999999999999999996</v>
      </c>
      <c r="K986" t="s">
        <v>38</v>
      </c>
      <c r="M986">
        <v>62087</v>
      </c>
      <c r="N986" t="s">
        <v>344</v>
      </c>
      <c r="O986" t="s">
        <v>345</v>
      </c>
      <c r="P986" t="s">
        <v>38</v>
      </c>
      <c r="Q986" t="s">
        <v>50</v>
      </c>
      <c r="R986">
        <v>.9999999999999999999999999999999999999996</v>
      </c>
      <c r="S986" t="s">
        <v>45</v>
      </c>
      <c r="T986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6">
        <v>62088</v>
      </c>
      <c r="V986" t="s">
        <v>38</v>
      </c>
      <c r="W986" t="s">
        <v>50</v>
      </c>
      <c r="X986">
        <v>.9999999999999999999999999999999999999996</v>
      </c>
      <c r="Y986">
        <v>0</v>
      </c>
      <c r="Z986" t="s">
        <v>46</v>
      </c>
      <c r="AA986">
        <v>62090</v>
      </c>
      <c r="AB986" t="s">
        <v>923</v>
      </c>
      <c r="AC986" t="s">
        <v>56</v>
      </c>
      <c r="AD986" t="s">
        <v>38</v>
      </c>
      <c r="AE986" t="s">
        <v>49</v>
      </c>
      <c r="AF986" t="s">
        <v>50</v>
      </c>
      <c r="AG986">
        <v>0</v>
      </c>
      <c r="AH986">
        <v>0</v>
      </c>
      <c r="AI986" t="s">
        <v>51</v>
      </c>
      <c r="AJ986" t="s">
        <v>51</v>
      </c>
      <c r="AK986" t="s">
        <v>51</v>
      </c>
    </row>
    <row r="987" spans="1:37" x14ac:dyDescent="0.2">
      <c r="A987">
        <v>62078</v>
      </c>
      <c r="B987" t="s">
        <v>37</v>
      </c>
      <c r="C987" t="s">
        <v>38</v>
      </c>
      <c r="D987" t="s">
        <v>323</v>
      </c>
      <c r="E987" t="s">
        <v>40</v>
      </c>
      <c r="G987" s="4">
        <v>43947.6621875</v>
      </c>
      <c r="H987" s="4">
        <v>43947.662418981481</v>
      </c>
      <c r="I987" t="s">
        <v>693</v>
      </c>
      <c r="J987" s="5">
        <v>19.99999999999999999999999999999999999996</v>
      </c>
      <c r="K987" t="s">
        <v>38</v>
      </c>
      <c r="M987">
        <v>62087</v>
      </c>
      <c r="N987" t="s">
        <v>344</v>
      </c>
      <c r="O987" t="s">
        <v>345</v>
      </c>
      <c r="P987" t="s">
        <v>38</v>
      </c>
      <c r="Q987" t="s">
        <v>50</v>
      </c>
      <c r="R987">
        <v>.9999999999999999999999999999999999999996</v>
      </c>
      <c r="S987" t="s">
        <v>45</v>
      </c>
      <c r="T987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7">
        <v>62088</v>
      </c>
      <c r="V987" t="s">
        <v>38</v>
      </c>
      <c r="W987" t="s">
        <v>50</v>
      </c>
      <c r="X987">
        <v>.9999999999999999999999999999999999999996</v>
      </c>
      <c r="Y987">
        <v>0</v>
      </c>
      <c r="Z987" t="s">
        <v>46</v>
      </c>
      <c r="AA987">
        <v>62089</v>
      </c>
      <c r="AB987" t="s">
        <v>924</v>
      </c>
      <c r="AC987" t="s">
        <v>97</v>
      </c>
      <c r="AD987" t="s">
        <v>38</v>
      </c>
      <c r="AE987" t="s">
        <v>49</v>
      </c>
      <c r="AF987" t="s">
        <v>50</v>
      </c>
      <c r="AG987">
        <v>.9999999999999999999999999999999999999996</v>
      </c>
      <c r="AH987">
        <v>1</v>
      </c>
      <c r="AI987" t="s">
        <v>51</v>
      </c>
      <c r="AJ987" t="s">
        <v>51</v>
      </c>
      <c r="AK987" t="s">
        <v>51</v>
      </c>
    </row>
    <row r="988" spans="1:37" x14ac:dyDescent="0.2">
      <c r="A988">
        <v>62078</v>
      </c>
      <c r="B988" t="s">
        <v>37</v>
      </c>
      <c r="C988" t="s">
        <v>38</v>
      </c>
      <c r="D988" t="s">
        <v>323</v>
      </c>
      <c r="E988" t="s">
        <v>40</v>
      </c>
      <c r="G988" s="4">
        <v>43947.6621875</v>
      </c>
      <c r="H988" s="4">
        <v>43947.662418981481</v>
      </c>
      <c r="I988" t="s">
        <v>693</v>
      </c>
      <c r="J988" s="5">
        <v>19.99999999999999999999999999999999999996</v>
      </c>
      <c r="K988" t="s">
        <v>38</v>
      </c>
      <c r="M988">
        <v>62084</v>
      </c>
      <c r="N988" t="s">
        <v>350</v>
      </c>
      <c r="O988" t="s">
        <v>351</v>
      </c>
      <c r="P988" t="s">
        <v>38</v>
      </c>
      <c r="Q988" t="s">
        <v>50</v>
      </c>
      <c r="R988">
        <v>0</v>
      </c>
      <c r="S988" t="s">
        <v>45</v>
      </c>
      <c r="T988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8">
        <v>62085</v>
      </c>
      <c r="V988" t="s">
        <v>38</v>
      </c>
      <c r="W988" t="s">
        <v>50</v>
      </c>
      <c r="X988">
        <v>0</v>
      </c>
      <c r="Y988">
        <v>0</v>
      </c>
      <c r="Z988" t="s">
        <v>46</v>
      </c>
      <c r="AA988">
        <v>62086</v>
      </c>
      <c r="AB988" t="s">
        <v>925</v>
      </c>
      <c r="AC988" t="s">
        <v>97</v>
      </c>
      <c r="AD988" t="s">
        <v>38</v>
      </c>
      <c r="AE988" t="s">
        <v>49</v>
      </c>
      <c r="AF988" t="s">
        <v>50</v>
      </c>
      <c r="AG988">
        <v>0</v>
      </c>
      <c r="AH988">
        <v>0</v>
      </c>
      <c r="AI988" t="s">
        <v>51</v>
      </c>
      <c r="AJ988" t="s">
        <v>51</v>
      </c>
      <c r="AK988" t="s">
        <v>51</v>
      </c>
    </row>
    <row r="989" spans="1:37" x14ac:dyDescent="0.2">
      <c r="A989">
        <v>62078</v>
      </c>
      <c r="B989" t="s">
        <v>37</v>
      </c>
      <c r="C989" t="s">
        <v>38</v>
      </c>
      <c r="D989" t="s">
        <v>323</v>
      </c>
      <c r="E989" t="s">
        <v>40</v>
      </c>
      <c r="G989" s="4">
        <v>43947.6621875</v>
      </c>
      <c r="H989" s="4">
        <v>43947.662418981481</v>
      </c>
      <c r="I989" t="s">
        <v>693</v>
      </c>
      <c r="J989" s="5">
        <v>19.99999999999999999999999999999999999996</v>
      </c>
      <c r="K989" t="s">
        <v>38</v>
      </c>
      <c r="M989">
        <v>62079</v>
      </c>
      <c r="N989" t="s">
        <v>353</v>
      </c>
      <c r="O989" t="s">
        <v>354</v>
      </c>
      <c r="P989" t="s">
        <v>38</v>
      </c>
      <c r="Q989" t="s">
        <v>88</v>
      </c>
      <c r="R989">
        <v>2</v>
      </c>
      <c r="S989" t="s">
        <v>45</v>
      </c>
      <c r="T989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89">
        <v>62080</v>
      </c>
      <c r="V989" t="s">
        <v>38</v>
      </c>
      <c r="W989" t="s">
        <v>50</v>
      </c>
      <c r="X989">
        <v>0</v>
      </c>
      <c r="Y989">
        <v>0</v>
      </c>
      <c r="Z989" t="s">
        <v>46</v>
      </c>
      <c r="AA989">
        <v>62083</v>
      </c>
      <c r="AB989" t="s">
        <v>1164</v>
      </c>
      <c r="AC989" t="s">
        <v>97</v>
      </c>
      <c r="AD989" t="s">
        <v>38</v>
      </c>
      <c r="AE989" t="s">
        <v>49</v>
      </c>
      <c r="AF989" t="s">
        <v>50</v>
      </c>
      <c r="AG989">
        <v>0</v>
      </c>
      <c r="AH989">
        <v>0</v>
      </c>
      <c r="AI989" t="s">
        <v>51</v>
      </c>
      <c r="AJ989" t="s">
        <v>51</v>
      </c>
      <c r="AK989" t="s">
        <v>51</v>
      </c>
    </row>
    <row r="990" spans="1:37" x14ac:dyDescent="0.2">
      <c r="A990">
        <v>62078</v>
      </c>
      <c r="B990" t="s">
        <v>37</v>
      </c>
      <c r="C990" t="s">
        <v>38</v>
      </c>
      <c r="D990" t="s">
        <v>323</v>
      </c>
      <c r="E990" t="s">
        <v>40</v>
      </c>
      <c r="G990" s="4">
        <v>43947.6621875</v>
      </c>
      <c r="H990" s="4">
        <v>43947.662418981481</v>
      </c>
      <c r="I990" t="s">
        <v>693</v>
      </c>
      <c r="J990" s="5">
        <v>19.99999999999999999999999999999999999996</v>
      </c>
      <c r="K990" t="s">
        <v>38</v>
      </c>
      <c r="M990">
        <v>62079</v>
      </c>
      <c r="N990" t="s">
        <v>353</v>
      </c>
      <c r="O990" t="s">
        <v>354</v>
      </c>
      <c r="P990" t="s">
        <v>38</v>
      </c>
      <c r="Q990" t="s">
        <v>88</v>
      </c>
      <c r="R990">
        <v>2</v>
      </c>
      <c r="S990" t="s">
        <v>45</v>
      </c>
      <c r="T990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90">
        <v>62080</v>
      </c>
      <c r="V990" t="s">
        <v>38</v>
      </c>
      <c r="W990" t="s">
        <v>50</v>
      </c>
      <c r="X990">
        <v>0</v>
      </c>
      <c r="Y990">
        <v>0</v>
      </c>
      <c r="Z990" t="s">
        <v>46</v>
      </c>
      <c r="AA990">
        <v>62082</v>
      </c>
      <c r="AB990" t="s">
        <v>1165</v>
      </c>
      <c r="AC990" t="s">
        <v>97</v>
      </c>
      <c r="AD990" t="s">
        <v>38</v>
      </c>
      <c r="AE990" t="s">
        <v>49</v>
      </c>
      <c r="AF990" t="s">
        <v>50</v>
      </c>
      <c r="AG990">
        <v>0</v>
      </c>
      <c r="AH990">
        <v>0</v>
      </c>
      <c r="AI990" t="s">
        <v>51</v>
      </c>
      <c r="AJ990" t="s">
        <v>51</v>
      </c>
      <c r="AK990" t="s">
        <v>51</v>
      </c>
    </row>
    <row r="991" spans="1:37" x14ac:dyDescent="0.2">
      <c r="A991">
        <v>62078</v>
      </c>
      <c r="B991" t="s">
        <v>37</v>
      </c>
      <c r="C991" t="s">
        <v>38</v>
      </c>
      <c r="D991" t="s">
        <v>323</v>
      </c>
      <c r="E991" t="s">
        <v>40</v>
      </c>
      <c r="G991" s="4">
        <v>43947.6621875</v>
      </c>
      <c r="H991" s="4">
        <v>43947.662418981481</v>
      </c>
      <c r="I991" t="s">
        <v>693</v>
      </c>
      <c r="J991" s="5">
        <v>19.99999999999999999999999999999999999996</v>
      </c>
      <c r="K991" t="s">
        <v>38</v>
      </c>
      <c r="M991">
        <v>62079</v>
      </c>
      <c r="N991" t="s">
        <v>353</v>
      </c>
      <c r="O991" t="s">
        <v>354</v>
      </c>
      <c r="P991" t="s">
        <v>38</v>
      </c>
      <c r="Q991" t="s">
        <v>88</v>
      </c>
      <c r="R991">
        <v>2</v>
      </c>
      <c r="S991" t="s">
        <v>45</v>
      </c>
      <c r="T991" t="str" s="2">
        <f>=HYPERLINK("http://demo.enginatics.com:80/ecc/user/applications/log/62078.log","http://demo.enginatics.com:80/ecc/user/applications/log/62078.log")</f>
        <v>"http://demo.enginatics.com:80/ecc/user/applications/log/62078.log")</v>
      </c>
      <c r="U991">
        <v>62080</v>
      </c>
      <c r="V991" t="s">
        <v>38</v>
      </c>
      <c r="W991" t="s">
        <v>50</v>
      </c>
      <c r="X991">
        <v>0</v>
      </c>
      <c r="Y991">
        <v>0</v>
      </c>
      <c r="Z991" t="s">
        <v>46</v>
      </c>
      <c r="AA991">
        <v>62081</v>
      </c>
      <c r="AB991" t="s">
        <v>1166</v>
      </c>
      <c r="AC991" t="s">
        <v>97</v>
      </c>
      <c r="AD991" t="s">
        <v>38</v>
      </c>
      <c r="AE991" t="s">
        <v>49</v>
      </c>
      <c r="AF991" t="s">
        <v>50</v>
      </c>
      <c r="AG991">
        <v>0</v>
      </c>
      <c r="AH991">
        <v>0</v>
      </c>
      <c r="AI991" t="s">
        <v>51</v>
      </c>
      <c r="AJ991" t="s">
        <v>51</v>
      </c>
      <c r="AK991" t="s">
        <v>51</v>
      </c>
    </row>
    <row r="992" spans="1:37" x14ac:dyDescent="0.2">
      <c r="A992">
        <v>62023</v>
      </c>
      <c r="B992" t="s">
        <v>37</v>
      </c>
      <c r="C992" t="s">
        <v>196</v>
      </c>
      <c r="D992" t="s">
        <v>361</v>
      </c>
      <c r="E992" t="s">
        <v>40</v>
      </c>
      <c r="G992" s="4">
        <v>43947.662083333333</v>
      </c>
      <c r="H992" s="4">
        <v>43947.662175925926</v>
      </c>
      <c r="I992" t="s">
        <v>652</v>
      </c>
      <c r="J992" s="5">
        <v>8</v>
      </c>
      <c r="K992" t="s">
        <v>196</v>
      </c>
      <c r="M992">
        <v>62076</v>
      </c>
      <c r="N992" t="s">
        <v>362</v>
      </c>
      <c r="O992" t="s">
        <v>363</v>
      </c>
      <c r="P992" t="s">
        <v>196</v>
      </c>
      <c r="Q992" t="s">
        <v>50</v>
      </c>
      <c r="R992">
        <v>0</v>
      </c>
      <c r="S992" t="s">
        <v>364</v>
      </c>
      <c r="T992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2">
        <v>62077</v>
      </c>
      <c r="V992" t="s">
        <v>196</v>
      </c>
      <c r="W992" t="s">
        <v>50</v>
      </c>
      <c r="X992">
        <v>0</v>
      </c>
      <c r="Y992">
        <v>0</v>
      </c>
      <c r="Z992" t="s">
        <v>1167</v>
      </c>
    </row>
    <row r="993" spans="1:37" x14ac:dyDescent="0.2">
      <c r="A993">
        <v>62023</v>
      </c>
      <c r="B993" t="s">
        <v>37</v>
      </c>
      <c r="C993" t="s">
        <v>196</v>
      </c>
      <c r="D993" t="s">
        <v>361</v>
      </c>
      <c r="E993" t="s">
        <v>40</v>
      </c>
      <c r="G993" s="4">
        <v>43947.662083333333</v>
      </c>
      <c r="H993" s="4">
        <v>43947.662175925926</v>
      </c>
      <c r="I993" t="s">
        <v>652</v>
      </c>
      <c r="J993" s="5">
        <v>8</v>
      </c>
      <c r="K993" t="s">
        <v>196</v>
      </c>
      <c r="M993">
        <v>62073</v>
      </c>
      <c r="N993" t="s">
        <v>366</v>
      </c>
      <c r="O993" t="s">
        <v>367</v>
      </c>
      <c r="P993" t="s">
        <v>38</v>
      </c>
      <c r="Q993" t="s">
        <v>50</v>
      </c>
      <c r="R993">
        <v>0</v>
      </c>
      <c r="S993" t="s">
        <v>45</v>
      </c>
      <c r="T993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3">
        <v>62074</v>
      </c>
      <c r="V993" t="s">
        <v>38</v>
      </c>
      <c r="W993" t="s">
        <v>50</v>
      </c>
      <c r="X993">
        <v>0</v>
      </c>
      <c r="Y993">
        <v>0</v>
      </c>
      <c r="Z993" t="s">
        <v>46</v>
      </c>
      <c r="AA993">
        <v>62075</v>
      </c>
      <c r="AB993" t="s">
        <v>1168</v>
      </c>
      <c r="AC993" t="s">
        <v>97</v>
      </c>
      <c r="AD993" t="s">
        <v>38</v>
      </c>
      <c r="AE993" t="s">
        <v>49</v>
      </c>
      <c r="AF993" t="s">
        <v>50</v>
      </c>
      <c r="AG993">
        <v>0</v>
      </c>
      <c r="AH993">
        <v>0</v>
      </c>
      <c r="AI993" t="s">
        <v>51</v>
      </c>
      <c r="AJ993" t="s">
        <v>51</v>
      </c>
      <c r="AK993" t="s">
        <v>51</v>
      </c>
    </row>
    <row r="994" spans="1:37" x14ac:dyDescent="0.2">
      <c r="A994">
        <v>62023</v>
      </c>
      <c r="B994" t="s">
        <v>37</v>
      </c>
      <c r="C994" t="s">
        <v>196</v>
      </c>
      <c r="D994" t="s">
        <v>361</v>
      </c>
      <c r="E994" t="s">
        <v>40</v>
      </c>
      <c r="G994" s="4">
        <v>43947.662083333333</v>
      </c>
      <c r="H994" s="4">
        <v>43947.662175925926</v>
      </c>
      <c r="I994" t="s">
        <v>652</v>
      </c>
      <c r="J994" s="5">
        <v>8</v>
      </c>
      <c r="K994" t="s">
        <v>196</v>
      </c>
      <c r="M994">
        <v>62071</v>
      </c>
      <c r="N994" t="s">
        <v>369</v>
      </c>
      <c r="O994" t="s">
        <v>345</v>
      </c>
      <c r="P994" t="s">
        <v>196</v>
      </c>
      <c r="Q994" t="s">
        <v>50</v>
      </c>
      <c r="R994">
        <v>.9999999999999999999999999999999999999996</v>
      </c>
      <c r="S994" t="s">
        <v>370</v>
      </c>
      <c r="T994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4">
        <v>62072</v>
      </c>
      <c r="V994" t="s">
        <v>196</v>
      </c>
      <c r="W994" t="s">
        <v>50</v>
      </c>
      <c r="X994">
        <v>0</v>
      </c>
      <c r="Y994">
        <v>0</v>
      </c>
      <c r="Z994" t="s">
        <v>1169</v>
      </c>
    </row>
    <row r="995" spans="1:37" x14ac:dyDescent="0.2">
      <c r="A995">
        <v>62023</v>
      </c>
      <c r="B995" t="s">
        <v>37</v>
      </c>
      <c r="C995" t="s">
        <v>196</v>
      </c>
      <c r="D995" t="s">
        <v>361</v>
      </c>
      <c r="E995" t="s">
        <v>40</v>
      </c>
      <c r="G995" s="4">
        <v>43947.662083333333</v>
      </c>
      <c r="H995" s="4">
        <v>43947.662175925926</v>
      </c>
      <c r="I995" t="s">
        <v>652</v>
      </c>
      <c r="J995" s="5">
        <v>8</v>
      </c>
      <c r="K995" t="s">
        <v>196</v>
      </c>
      <c r="M995">
        <v>62063</v>
      </c>
      <c r="N995" t="s">
        <v>372</v>
      </c>
      <c r="O995" t="s">
        <v>373</v>
      </c>
      <c r="P995" t="s">
        <v>38</v>
      </c>
      <c r="Q995" t="s">
        <v>50</v>
      </c>
      <c r="R995">
        <v>0</v>
      </c>
      <c r="S995" t="s">
        <v>45</v>
      </c>
      <c r="T995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5">
        <v>62064</v>
      </c>
      <c r="V995" t="s">
        <v>38</v>
      </c>
      <c r="W995" t="s">
        <v>50</v>
      </c>
      <c r="X995">
        <v>0</v>
      </c>
      <c r="Y995">
        <v>0</v>
      </c>
      <c r="Z995" t="s">
        <v>46</v>
      </c>
      <c r="AA995">
        <v>62070</v>
      </c>
      <c r="AB995" t="s">
        <v>1170</v>
      </c>
      <c r="AC995" t="s">
        <v>103</v>
      </c>
      <c r="AD995" t="s">
        <v>38</v>
      </c>
      <c r="AE995" t="s">
        <v>49</v>
      </c>
      <c r="AF995" t="s">
        <v>50</v>
      </c>
      <c r="AG995">
        <v>0</v>
      </c>
      <c r="AH995">
        <v>0</v>
      </c>
      <c r="AI995" t="s">
        <v>51</v>
      </c>
      <c r="AJ995" t="s">
        <v>51</v>
      </c>
      <c r="AK995" t="s">
        <v>51</v>
      </c>
    </row>
    <row r="996" spans="1:37" x14ac:dyDescent="0.2">
      <c r="A996">
        <v>62023</v>
      </c>
      <c r="B996" t="s">
        <v>37</v>
      </c>
      <c r="C996" t="s">
        <v>196</v>
      </c>
      <c r="D996" t="s">
        <v>361</v>
      </c>
      <c r="E996" t="s">
        <v>40</v>
      </c>
      <c r="G996" s="4">
        <v>43947.662083333333</v>
      </c>
      <c r="H996" s="4">
        <v>43947.662175925926</v>
      </c>
      <c r="I996" t="s">
        <v>652</v>
      </c>
      <c r="J996" s="5">
        <v>8</v>
      </c>
      <c r="K996" t="s">
        <v>196</v>
      </c>
      <c r="M996">
        <v>62063</v>
      </c>
      <c r="N996" t="s">
        <v>372</v>
      </c>
      <c r="O996" t="s">
        <v>373</v>
      </c>
      <c r="P996" t="s">
        <v>38</v>
      </c>
      <c r="Q996" t="s">
        <v>50</v>
      </c>
      <c r="R996">
        <v>0</v>
      </c>
      <c r="S996" t="s">
        <v>45</v>
      </c>
      <c r="T996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6">
        <v>62064</v>
      </c>
      <c r="V996" t="s">
        <v>38</v>
      </c>
      <c r="W996" t="s">
        <v>50</v>
      </c>
      <c r="X996">
        <v>0</v>
      </c>
      <c r="Y996">
        <v>0</v>
      </c>
      <c r="Z996" t="s">
        <v>46</v>
      </c>
      <c r="AA996">
        <v>62069</v>
      </c>
      <c r="AB996" t="s">
        <v>1171</v>
      </c>
      <c r="AC996" t="s">
        <v>103</v>
      </c>
      <c r="AD996" t="s">
        <v>38</v>
      </c>
      <c r="AE996" t="s">
        <v>49</v>
      </c>
      <c r="AF996" t="s">
        <v>50</v>
      </c>
      <c r="AG996">
        <v>0</v>
      </c>
      <c r="AH996">
        <v>0</v>
      </c>
      <c r="AI996" t="s">
        <v>51</v>
      </c>
      <c r="AJ996" t="s">
        <v>51</v>
      </c>
      <c r="AK996" t="s">
        <v>51</v>
      </c>
    </row>
    <row r="997" spans="1:37" x14ac:dyDescent="0.2">
      <c r="A997">
        <v>62023</v>
      </c>
      <c r="B997" t="s">
        <v>37</v>
      </c>
      <c r="C997" t="s">
        <v>196</v>
      </c>
      <c r="D997" t="s">
        <v>361</v>
      </c>
      <c r="E997" t="s">
        <v>40</v>
      </c>
      <c r="G997" s="4">
        <v>43947.662083333333</v>
      </c>
      <c r="H997" s="4">
        <v>43947.662175925926</v>
      </c>
      <c r="I997" t="s">
        <v>652</v>
      </c>
      <c r="J997" s="5">
        <v>8</v>
      </c>
      <c r="K997" t="s">
        <v>196</v>
      </c>
      <c r="M997">
        <v>62063</v>
      </c>
      <c r="N997" t="s">
        <v>372</v>
      </c>
      <c r="O997" t="s">
        <v>373</v>
      </c>
      <c r="P997" t="s">
        <v>38</v>
      </c>
      <c r="Q997" t="s">
        <v>50</v>
      </c>
      <c r="R997">
        <v>0</v>
      </c>
      <c r="S997" t="s">
        <v>45</v>
      </c>
      <c r="T997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7">
        <v>62064</v>
      </c>
      <c r="V997" t="s">
        <v>38</v>
      </c>
      <c r="W997" t="s">
        <v>50</v>
      </c>
      <c r="X997">
        <v>0</v>
      </c>
      <c r="Y997">
        <v>0</v>
      </c>
      <c r="Z997" t="s">
        <v>46</v>
      </c>
      <c r="AA997">
        <v>62068</v>
      </c>
      <c r="AB997" t="s">
        <v>1172</v>
      </c>
      <c r="AC997" t="s">
        <v>103</v>
      </c>
      <c r="AD997" t="s">
        <v>38</v>
      </c>
      <c r="AE997" t="s">
        <v>49</v>
      </c>
      <c r="AF997" t="s">
        <v>50</v>
      </c>
      <c r="AG997">
        <v>0</v>
      </c>
      <c r="AH997">
        <v>0</v>
      </c>
      <c r="AI997" t="s">
        <v>51</v>
      </c>
      <c r="AJ997" t="s">
        <v>51</v>
      </c>
      <c r="AK997" t="s">
        <v>51</v>
      </c>
    </row>
    <row r="998" spans="1:37" x14ac:dyDescent="0.2">
      <c r="A998">
        <v>62023</v>
      </c>
      <c r="B998" t="s">
        <v>37</v>
      </c>
      <c r="C998" t="s">
        <v>196</v>
      </c>
      <c r="D998" t="s">
        <v>361</v>
      </c>
      <c r="E998" t="s">
        <v>40</v>
      </c>
      <c r="G998" s="4">
        <v>43947.662083333333</v>
      </c>
      <c r="H998" s="4">
        <v>43947.662175925926</v>
      </c>
      <c r="I998" t="s">
        <v>652</v>
      </c>
      <c r="J998" s="5">
        <v>8</v>
      </c>
      <c r="K998" t="s">
        <v>196</v>
      </c>
      <c r="M998">
        <v>62063</v>
      </c>
      <c r="N998" t="s">
        <v>372</v>
      </c>
      <c r="O998" t="s">
        <v>373</v>
      </c>
      <c r="P998" t="s">
        <v>38</v>
      </c>
      <c r="Q998" t="s">
        <v>50</v>
      </c>
      <c r="R998">
        <v>0</v>
      </c>
      <c r="S998" t="s">
        <v>45</v>
      </c>
      <c r="T998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8">
        <v>62064</v>
      </c>
      <c r="V998" t="s">
        <v>38</v>
      </c>
      <c r="W998" t="s">
        <v>50</v>
      </c>
      <c r="X998">
        <v>0</v>
      </c>
      <c r="Y998">
        <v>0</v>
      </c>
      <c r="Z998" t="s">
        <v>46</v>
      </c>
      <c r="AA998">
        <v>62067</v>
      </c>
      <c r="AB998" t="s">
        <v>1173</v>
      </c>
      <c r="AC998" t="s">
        <v>103</v>
      </c>
      <c r="AD998" t="s">
        <v>38</v>
      </c>
      <c r="AE998" t="s">
        <v>49</v>
      </c>
      <c r="AF998" t="s">
        <v>50</v>
      </c>
      <c r="AG998">
        <v>0</v>
      </c>
      <c r="AH998">
        <v>0</v>
      </c>
      <c r="AI998" t="s">
        <v>51</v>
      </c>
      <c r="AJ998" t="s">
        <v>51</v>
      </c>
      <c r="AK998" t="s">
        <v>51</v>
      </c>
    </row>
    <row r="999" spans="1:37" x14ac:dyDescent="0.2">
      <c r="A999">
        <v>62023</v>
      </c>
      <c r="B999" t="s">
        <v>37</v>
      </c>
      <c r="C999" t="s">
        <v>196</v>
      </c>
      <c r="D999" t="s">
        <v>361</v>
      </c>
      <c r="E999" t="s">
        <v>40</v>
      </c>
      <c r="G999" s="4">
        <v>43947.662083333333</v>
      </c>
      <c r="H999" s="4">
        <v>43947.662175925926</v>
      </c>
      <c r="I999" t="s">
        <v>652</v>
      </c>
      <c r="J999" s="5">
        <v>8</v>
      </c>
      <c r="K999" t="s">
        <v>196</v>
      </c>
      <c r="M999">
        <v>62063</v>
      </c>
      <c r="N999" t="s">
        <v>372</v>
      </c>
      <c r="O999" t="s">
        <v>373</v>
      </c>
      <c r="P999" t="s">
        <v>38</v>
      </c>
      <c r="Q999" t="s">
        <v>50</v>
      </c>
      <c r="R999">
        <v>0</v>
      </c>
      <c r="S999" t="s">
        <v>45</v>
      </c>
      <c r="T999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999">
        <v>62064</v>
      </c>
      <c r="V999" t="s">
        <v>38</v>
      </c>
      <c r="W999" t="s">
        <v>50</v>
      </c>
      <c r="X999">
        <v>0</v>
      </c>
      <c r="Y999">
        <v>0</v>
      </c>
      <c r="Z999" t="s">
        <v>46</v>
      </c>
      <c r="AA999">
        <v>62066</v>
      </c>
      <c r="AB999" t="s">
        <v>1174</v>
      </c>
      <c r="AC999" t="s">
        <v>103</v>
      </c>
      <c r="AD999" t="s">
        <v>38</v>
      </c>
      <c r="AE999" t="s">
        <v>49</v>
      </c>
      <c r="AF999" t="s">
        <v>50</v>
      </c>
      <c r="AG999">
        <v>0</v>
      </c>
      <c r="AH999">
        <v>0</v>
      </c>
      <c r="AI999" t="s">
        <v>51</v>
      </c>
      <c r="AJ999" t="s">
        <v>51</v>
      </c>
      <c r="AK999" t="s">
        <v>51</v>
      </c>
    </row>
    <row r="1000" spans="1:37" x14ac:dyDescent="0.2">
      <c r="A1000">
        <v>62023</v>
      </c>
      <c r="B1000" t="s">
        <v>37</v>
      </c>
      <c r="C1000" t="s">
        <v>196</v>
      </c>
      <c r="D1000" t="s">
        <v>361</v>
      </c>
      <c r="E1000" t="s">
        <v>40</v>
      </c>
      <c r="G1000" s="4">
        <v>43947.662083333333</v>
      </c>
      <c r="H1000" s="4">
        <v>43947.662175925926</v>
      </c>
      <c r="I1000" t="s">
        <v>652</v>
      </c>
      <c r="J1000" s="5">
        <v>8</v>
      </c>
      <c r="K1000" t="s">
        <v>196</v>
      </c>
      <c r="M1000">
        <v>62063</v>
      </c>
      <c r="N1000" t="s">
        <v>372</v>
      </c>
      <c r="O1000" t="s">
        <v>373</v>
      </c>
      <c r="P1000" t="s">
        <v>38</v>
      </c>
      <c r="Q1000" t="s">
        <v>50</v>
      </c>
      <c r="R1000">
        <v>0</v>
      </c>
      <c r="S1000" t="s">
        <v>45</v>
      </c>
      <c r="T1000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0">
        <v>62064</v>
      </c>
      <c r="V1000" t="s">
        <v>38</v>
      </c>
      <c r="W1000" t="s">
        <v>50</v>
      </c>
      <c r="X1000">
        <v>0</v>
      </c>
      <c r="Y1000">
        <v>0</v>
      </c>
      <c r="Z1000" t="s">
        <v>46</v>
      </c>
      <c r="AA1000">
        <v>62065</v>
      </c>
      <c r="AB1000" t="s">
        <v>1175</v>
      </c>
      <c r="AC1000" t="s">
        <v>103</v>
      </c>
      <c r="AD1000" t="s">
        <v>38</v>
      </c>
      <c r="AE1000" t="s">
        <v>49</v>
      </c>
      <c r="AF1000" t="s">
        <v>50</v>
      </c>
      <c r="AG1000">
        <v>0</v>
      </c>
      <c r="AH1000">
        <v>0</v>
      </c>
      <c r="AI1000" t="s">
        <v>51</v>
      </c>
      <c r="AJ1000" t="s">
        <v>51</v>
      </c>
      <c r="AK1000" t="s">
        <v>51</v>
      </c>
    </row>
    <row r="1001" spans="1:37" x14ac:dyDescent="0.2">
      <c r="A1001">
        <v>62023</v>
      </c>
      <c r="B1001" t="s">
        <v>37</v>
      </c>
      <c r="C1001" t="s">
        <v>196</v>
      </c>
      <c r="D1001" t="s">
        <v>361</v>
      </c>
      <c r="E1001" t="s">
        <v>40</v>
      </c>
      <c r="G1001" s="4">
        <v>43947.662083333333</v>
      </c>
      <c r="H1001" s="4">
        <v>43947.662175925926</v>
      </c>
      <c r="I1001" t="s">
        <v>652</v>
      </c>
      <c r="J1001" s="5">
        <v>8</v>
      </c>
      <c r="K1001" t="s">
        <v>196</v>
      </c>
      <c r="M1001">
        <v>62055</v>
      </c>
      <c r="N1001" t="s">
        <v>380</v>
      </c>
      <c r="O1001" t="s">
        <v>381</v>
      </c>
      <c r="P1001" t="s">
        <v>38</v>
      </c>
      <c r="Q1001" t="s">
        <v>50</v>
      </c>
      <c r="R1001">
        <v>.9999999999999999999999999999999999999996</v>
      </c>
      <c r="S1001" t="s">
        <v>45</v>
      </c>
      <c r="T1001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1">
        <v>62056</v>
      </c>
      <c r="V1001" t="s">
        <v>38</v>
      </c>
      <c r="W1001" t="s">
        <v>50</v>
      </c>
      <c r="X1001">
        <v>.9999999999999999999999999999999999999996</v>
      </c>
      <c r="Y1001">
        <v>0</v>
      </c>
      <c r="Z1001" t="s">
        <v>46</v>
      </c>
      <c r="AA1001">
        <v>62062</v>
      </c>
      <c r="AB1001" t="s">
        <v>1176</v>
      </c>
      <c r="AC1001" t="s">
        <v>103</v>
      </c>
      <c r="AD1001" t="s">
        <v>38</v>
      </c>
      <c r="AE1001" t="s">
        <v>49</v>
      </c>
      <c r="AF1001" t="s">
        <v>50</v>
      </c>
      <c r="AG1001">
        <v>0</v>
      </c>
      <c r="AH1001">
        <v>0</v>
      </c>
      <c r="AI1001" t="s">
        <v>51</v>
      </c>
      <c r="AJ1001" t="s">
        <v>51</v>
      </c>
      <c r="AK1001" t="s">
        <v>51</v>
      </c>
    </row>
    <row r="1002" spans="1:37" x14ac:dyDescent="0.2">
      <c r="A1002">
        <v>62023</v>
      </c>
      <c r="B1002" t="s">
        <v>37</v>
      </c>
      <c r="C1002" t="s">
        <v>196</v>
      </c>
      <c r="D1002" t="s">
        <v>361</v>
      </c>
      <c r="E1002" t="s">
        <v>40</v>
      </c>
      <c r="G1002" s="4">
        <v>43947.662083333333</v>
      </c>
      <c r="H1002" s="4">
        <v>43947.662175925926</v>
      </c>
      <c r="I1002" t="s">
        <v>652</v>
      </c>
      <c r="J1002" s="5">
        <v>8</v>
      </c>
      <c r="K1002" t="s">
        <v>196</v>
      </c>
      <c r="M1002">
        <v>62055</v>
      </c>
      <c r="N1002" t="s">
        <v>380</v>
      </c>
      <c r="O1002" t="s">
        <v>381</v>
      </c>
      <c r="P1002" t="s">
        <v>38</v>
      </c>
      <c r="Q1002" t="s">
        <v>50</v>
      </c>
      <c r="R1002">
        <v>.9999999999999999999999999999999999999996</v>
      </c>
      <c r="S1002" t="s">
        <v>45</v>
      </c>
      <c r="T1002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2">
        <v>62056</v>
      </c>
      <c r="V1002" t="s">
        <v>38</v>
      </c>
      <c r="W1002" t="s">
        <v>50</v>
      </c>
      <c r="X1002">
        <v>.9999999999999999999999999999999999999996</v>
      </c>
      <c r="Y1002">
        <v>0</v>
      </c>
      <c r="Z1002" t="s">
        <v>46</v>
      </c>
      <c r="AA1002">
        <v>62061</v>
      </c>
      <c r="AB1002" t="s">
        <v>1177</v>
      </c>
      <c r="AC1002" t="s">
        <v>103</v>
      </c>
      <c r="AD1002" t="s">
        <v>38</v>
      </c>
      <c r="AE1002" t="s">
        <v>49</v>
      </c>
      <c r="AF1002" t="s">
        <v>50</v>
      </c>
      <c r="AG1002">
        <v>0</v>
      </c>
      <c r="AH1002">
        <v>0</v>
      </c>
      <c r="AI1002" t="s">
        <v>51</v>
      </c>
      <c r="AJ1002" t="s">
        <v>51</v>
      </c>
      <c r="AK1002" t="s">
        <v>51</v>
      </c>
    </row>
    <row r="1003" spans="1:37" x14ac:dyDescent="0.2">
      <c r="A1003">
        <v>62023</v>
      </c>
      <c r="B1003" t="s">
        <v>37</v>
      </c>
      <c r="C1003" t="s">
        <v>196</v>
      </c>
      <c r="D1003" t="s">
        <v>361</v>
      </c>
      <c r="E1003" t="s">
        <v>40</v>
      </c>
      <c r="G1003" s="4">
        <v>43947.662083333333</v>
      </c>
      <c r="H1003" s="4">
        <v>43947.662175925926</v>
      </c>
      <c r="I1003" t="s">
        <v>652</v>
      </c>
      <c r="J1003" s="5">
        <v>8</v>
      </c>
      <c r="K1003" t="s">
        <v>196</v>
      </c>
      <c r="M1003">
        <v>62055</v>
      </c>
      <c r="N1003" t="s">
        <v>380</v>
      </c>
      <c r="O1003" t="s">
        <v>381</v>
      </c>
      <c r="P1003" t="s">
        <v>38</v>
      </c>
      <c r="Q1003" t="s">
        <v>50</v>
      </c>
      <c r="R1003">
        <v>.9999999999999999999999999999999999999996</v>
      </c>
      <c r="S1003" t="s">
        <v>45</v>
      </c>
      <c r="T1003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3">
        <v>62056</v>
      </c>
      <c r="V1003" t="s">
        <v>38</v>
      </c>
      <c r="W1003" t="s">
        <v>50</v>
      </c>
      <c r="X1003">
        <v>.9999999999999999999999999999999999999996</v>
      </c>
      <c r="Y1003">
        <v>0</v>
      </c>
      <c r="Z1003" t="s">
        <v>46</v>
      </c>
      <c r="AA1003">
        <v>62060</v>
      </c>
      <c r="AB1003" t="s">
        <v>1178</v>
      </c>
      <c r="AC1003" t="s">
        <v>103</v>
      </c>
      <c r="AD1003" t="s">
        <v>38</v>
      </c>
      <c r="AE1003" t="s">
        <v>49</v>
      </c>
      <c r="AF1003" t="s">
        <v>50</v>
      </c>
      <c r="AG1003">
        <v>0</v>
      </c>
      <c r="AH1003">
        <v>0</v>
      </c>
      <c r="AI1003" t="s">
        <v>51</v>
      </c>
      <c r="AJ1003" t="s">
        <v>51</v>
      </c>
      <c r="AK1003" t="s">
        <v>51</v>
      </c>
    </row>
    <row r="1004" spans="1:37" x14ac:dyDescent="0.2">
      <c r="A1004">
        <v>62023</v>
      </c>
      <c r="B1004" t="s">
        <v>37</v>
      </c>
      <c r="C1004" t="s">
        <v>196</v>
      </c>
      <c r="D1004" t="s">
        <v>361</v>
      </c>
      <c r="E1004" t="s">
        <v>40</v>
      </c>
      <c r="G1004" s="4">
        <v>43947.662083333333</v>
      </c>
      <c r="H1004" s="4">
        <v>43947.662175925926</v>
      </c>
      <c r="I1004" t="s">
        <v>652</v>
      </c>
      <c r="J1004" s="5">
        <v>8</v>
      </c>
      <c r="K1004" t="s">
        <v>196</v>
      </c>
      <c r="M1004">
        <v>62055</v>
      </c>
      <c r="N1004" t="s">
        <v>380</v>
      </c>
      <c r="O1004" t="s">
        <v>381</v>
      </c>
      <c r="P1004" t="s">
        <v>38</v>
      </c>
      <c r="Q1004" t="s">
        <v>50</v>
      </c>
      <c r="R1004">
        <v>.9999999999999999999999999999999999999996</v>
      </c>
      <c r="S1004" t="s">
        <v>45</v>
      </c>
      <c r="T1004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4">
        <v>62056</v>
      </c>
      <c r="V1004" t="s">
        <v>38</v>
      </c>
      <c r="W1004" t="s">
        <v>50</v>
      </c>
      <c r="X1004">
        <v>.9999999999999999999999999999999999999996</v>
      </c>
      <c r="Y1004">
        <v>0</v>
      </c>
      <c r="Z1004" t="s">
        <v>46</v>
      </c>
      <c r="AA1004">
        <v>62059</v>
      </c>
      <c r="AB1004" t="s">
        <v>1179</v>
      </c>
      <c r="AC1004" t="s">
        <v>103</v>
      </c>
      <c r="AD1004" t="s">
        <v>38</v>
      </c>
      <c r="AE1004" t="s">
        <v>49</v>
      </c>
      <c r="AF1004" t="s">
        <v>50</v>
      </c>
      <c r="AG1004">
        <v>0</v>
      </c>
      <c r="AH1004">
        <v>0</v>
      </c>
      <c r="AI1004" t="s">
        <v>51</v>
      </c>
      <c r="AJ1004" t="s">
        <v>51</v>
      </c>
      <c r="AK1004" t="s">
        <v>51</v>
      </c>
    </row>
    <row r="1005" spans="1:37" x14ac:dyDescent="0.2">
      <c r="A1005">
        <v>62023</v>
      </c>
      <c r="B1005" t="s">
        <v>37</v>
      </c>
      <c r="C1005" t="s">
        <v>196</v>
      </c>
      <c r="D1005" t="s">
        <v>361</v>
      </c>
      <c r="E1005" t="s">
        <v>40</v>
      </c>
      <c r="G1005" s="4">
        <v>43947.662083333333</v>
      </c>
      <c r="H1005" s="4">
        <v>43947.662175925926</v>
      </c>
      <c r="I1005" t="s">
        <v>652</v>
      </c>
      <c r="J1005" s="5">
        <v>8</v>
      </c>
      <c r="K1005" t="s">
        <v>196</v>
      </c>
      <c r="M1005">
        <v>62055</v>
      </c>
      <c r="N1005" t="s">
        <v>380</v>
      </c>
      <c r="O1005" t="s">
        <v>381</v>
      </c>
      <c r="P1005" t="s">
        <v>38</v>
      </c>
      <c r="Q1005" t="s">
        <v>50</v>
      </c>
      <c r="R1005">
        <v>.9999999999999999999999999999999999999996</v>
      </c>
      <c r="S1005" t="s">
        <v>45</v>
      </c>
      <c r="T1005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5">
        <v>62056</v>
      </c>
      <c r="V1005" t="s">
        <v>38</v>
      </c>
      <c r="W1005" t="s">
        <v>50</v>
      </c>
      <c r="X1005">
        <v>.9999999999999999999999999999999999999996</v>
      </c>
      <c r="Y1005">
        <v>0</v>
      </c>
      <c r="Z1005" t="s">
        <v>46</v>
      </c>
      <c r="AA1005">
        <v>62058</v>
      </c>
      <c r="AB1005" t="s">
        <v>1180</v>
      </c>
      <c r="AC1005" t="s">
        <v>103</v>
      </c>
      <c r="AD1005" t="s">
        <v>38</v>
      </c>
      <c r="AE1005" t="s">
        <v>49</v>
      </c>
      <c r="AF1005" t="s">
        <v>50</v>
      </c>
      <c r="AG1005">
        <v>0</v>
      </c>
      <c r="AH1005">
        <v>0</v>
      </c>
      <c r="AI1005" t="s">
        <v>51</v>
      </c>
      <c r="AJ1005" t="s">
        <v>51</v>
      </c>
      <c r="AK1005" t="s">
        <v>51</v>
      </c>
    </row>
    <row r="1006" spans="1:37" x14ac:dyDescent="0.2">
      <c r="A1006">
        <v>62023</v>
      </c>
      <c r="B1006" t="s">
        <v>37</v>
      </c>
      <c r="C1006" t="s">
        <v>196</v>
      </c>
      <c r="D1006" t="s">
        <v>361</v>
      </c>
      <c r="E1006" t="s">
        <v>40</v>
      </c>
      <c r="G1006" s="4">
        <v>43947.662083333333</v>
      </c>
      <c r="H1006" s="4">
        <v>43947.662175925926</v>
      </c>
      <c r="I1006" t="s">
        <v>652</v>
      </c>
      <c r="J1006" s="5">
        <v>8</v>
      </c>
      <c r="K1006" t="s">
        <v>196</v>
      </c>
      <c r="M1006">
        <v>62055</v>
      </c>
      <c r="N1006" t="s">
        <v>380</v>
      </c>
      <c r="O1006" t="s">
        <v>381</v>
      </c>
      <c r="P1006" t="s">
        <v>38</v>
      </c>
      <c r="Q1006" t="s">
        <v>50</v>
      </c>
      <c r="R1006">
        <v>.9999999999999999999999999999999999999996</v>
      </c>
      <c r="S1006" t="s">
        <v>45</v>
      </c>
      <c r="T1006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6">
        <v>62056</v>
      </c>
      <c r="V1006" t="s">
        <v>38</v>
      </c>
      <c r="W1006" t="s">
        <v>50</v>
      </c>
      <c r="X1006">
        <v>.9999999999999999999999999999999999999996</v>
      </c>
      <c r="Y1006">
        <v>0</v>
      </c>
      <c r="Z1006" t="s">
        <v>46</v>
      </c>
      <c r="AA1006">
        <v>62057</v>
      </c>
      <c r="AB1006" t="s">
        <v>1181</v>
      </c>
      <c r="AC1006" t="s">
        <v>103</v>
      </c>
      <c r="AD1006" t="s">
        <v>38</v>
      </c>
      <c r="AE1006" t="s">
        <v>49</v>
      </c>
      <c r="AF1006" t="s">
        <v>50</v>
      </c>
      <c r="AG1006">
        <v>0</v>
      </c>
      <c r="AH1006">
        <v>0</v>
      </c>
      <c r="AI1006" t="s">
        <v>51</v>
      </c>
      <c r="AJ1006" t="s">
        <v>51</v>
      </c>
      <c r="AK1006" t="s">
        <v>51</v>
      </c>
    </row>
    <row r="1007" spans="1:37" x14ac:dyDescent="0.2">
      <c r="A1007">
        <v>62023</v>
      </c>
      <c r="B1007" t="s">
        <v>37</v>
      </c>
      <c r="C1007" t="s">
        <v>196</v>
      </c>
      <c r="D1007" t="s">
        <v>361</v>
      </c>
      <c r="E1007" t="s">
        <v>40</v>
      </c>
      <c r="G1007" s="4">
        <v>43947.662083333333</v>
      </c>
      <c r="H1007" s="4">
        <v>43947.662175925926</v>
      </c>
      <c r="I1007" t="s">
        <v>652</v>
      </c>
      <c r="J1007" s="5">
        <v>8</v>
      </c>
      <c r="K1007" t="s">
        <v>196</v>
      </c>
      <c r="M1007">
        <v>62050</v>
      </c>
      <c r="N1007" t="s">
        <v>388</v>
      </c>
      <c r="O1007" t="s">
        <v>389</v>
      </c>
      <c r="P1007" t="s">
        <v>38</v>
      </c>
      <c r="Q1007" t="s">
        <v>44</v>
      </c>
      <c r="R1007">
        <v>4</v>
      </c>
      <c r="S1007" t="s">
        <v>45</v>
      </c>
      <c r="T1007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7">
        <v>62051</v>
      </c>
      <c r="V1007" t="s">
        <v>38</v>
      </c>
      <c r="W1007" t="s">
        <v>85</v>
      </c>
      <c r="X1007">
        <v>3</v>
      </c>
      <c r="Y1007">
        <v>3</v>
      </c>
      <c r="Z1007" t="s">
        <v>46</v>
      </c>
      <c r="AA1007">
        <v>62052</v>
      </c>
      <c r="AB1007" t="s">
        <v>1182</v>
      </c>
      <c r="AC1007" t="s">
        <v>97</v>
      </c>
      <c r="AD1007" t="s">
        <v>38</v>
      </c>
      <c r="AE1007" t="s">
        <v>49</v>
      </c>
      <c r="AF1007" t="s">
        <v>50</v>
      </c>
      <c r="AG1007">
        <v>0</v>
      </c>
      <c r="AH1007">
        <v>0</v>
      </c>
      <c r="AI1007" t="s">
        <v>51</v>
      </c>
      <c r="AJ1007" t="s">
        <v>51</v>
      </c>
      <c r="AK1007" t="s">
        <v>51</v>
      </c>
    </row>
    <row r="1008" spans="1:37" x14ac:dyDescent="0.2">
      <c r="A1008">
        <v>62023</v>
      </c>
      <c r="B1008" t="s">
        <v>37</v>
      </c>
      <c r="C1008" t="s">
        <v>196</v>
      </c>
      <c r="D1008" t="s">
        <v>361</v>
      </c>
      <c r="E1008" t="s">
        <v>40</v>
      </c>
      <c r="G1008" s="4">
        <v>43947.662083333333</v>
      </c>
      <c r="H1008" s="4">
        <v>43947.662175925926</v>
      </c>
      <c r="I1008" t="s">
        <v>652</v>
      </c>
      <c r="J1008" s="5">
        <v>8</v>
      </c>
      <c r="K1008" t="s">
        <v>196</v>
      </c>
      <c r="M1008">
        <v>62048</v>
      </c>
      <c r="N1008" t="s">
        <v>391</v>
      </c>
      <c r="O1008" t="s">
        <v>392</v>
      </c>
      <c r="P1008" t="s">
        <v>196</v>
      </c>
      <c r="Q1008" t="s">
        <v>50</v>
      </c>
      <c r="R1008">
        <v>0</v>
      </c>
      <c r="S1008" t="s">
        <v>393</v>
      </c>
      <c r="T1008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8">
        <v>62049</v>
      </c>
      <c r="V1008" t="s">
        <v>196</v>
      </c>
      <c r="W1008" t="s">
        <v>50</v>
      </c>
      <c r="X1008">
        <v>0</v>
      </c>
      <c r="Y1008">
        <v>0</v>
      </c>
      <c r="Z1008" t="s">
        <v>1183</v>
      </c>
    </row>
    <row r="1009" spans="1:37" x14ac:dyDescent="0.2">
      <c r="A1009">
        <v>62023</v>
      </c>
      <c r="B1009" t="s">
        <v>37</v>
      </c>
      <c r="C1009" t="s">
        <v>196</v>
      </c>
      <c r="D1009" t="s">
        <v>361</v>
      </c>
      <c r="E1009" t="s">
        <v>40</v>
      </c>
      <c r="G1009" s="4">
        <v>43947.662083333333</v>
      </c>
      <c r="H1009" s="4">
        <v>43947.662175925926</v>
      </c>
      <c r="I1009" t="s">
        <v>652</v>
      </c>
      <c r="J1009" s="5">
        <v>8</v>
      </c>
      <c r="K1009" t="s">
        <v>196</v>
      </c>
      <c r="M1009">
        <v>62045</v>
      </c>
      <c r="N1009" t="s">
        <v>395</v>
      </c>
      <c r="O1009" t="s">
        <v>396</v>
      </c>
      <c r="P1009" t="s">
        <v>38</v>
      </c>
      <c r="Q1009" t="s">
        <v>50</v>
      </c>
      <c r="R1009">
        <v>0</v>
      </c>
      <c r="S1009" t="s">
        <v>45</v>
      </c>
      <c r="T1009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09">
        <v>62046</v>
      </c>
      <c r="V1009" t="s">
        <v>38</v>
      </c>
      <c r="W1009" t="s">
        <v>50</v>
      </c>
      <c r="X1009">
        <v>0</v>
      </c>
      <c r="Y1009">
        <v>0</v>
      </c>
      <c r="Z1009" t="s">
        <v>46</v>
      </c>
      <c r="AA1009">
        <v>62047</v>
      </c>
      <c r="AB1009" t="s">
        <v>946</v>
      </c>
      <c r="AC1009" t="s">
        <v>97</v>
      </c>
      <c r="AD1009" t="s">
        <v>38</v>
      </c>
      <c r="AE1009" t="s">
        <v>49</v>
      </c>
      <c r="AF1009" t="s">
        <v>50</v>
      </c>
      <c r="AG1009">
        <v>0</v>
      </c>
      <c r="AH1009">
        <v>0</v>
      </c>
      <c r="AI1009" t="s">
        <v>51</v>
      </c>
      <c r="AJ1009" t="s">
        <v>51</v>
      </c>
      <c r="AK1009" t="s">
        <v>51</v>
      </c>
    </row>
    <row r="1010" spans="1:37" x14ac:dyDescent="0.2">
      <c r="A1010">
        <v>62023</v>
      </c>
      <c r="B1010" t="s">
        <v>37</v>
      </c>
      <c r="C1010" t="s">
        <v>196</v>
      </c>
      <c r="D1010" t="s">
        <v>361</v>
      </c>
      <c r="E1010" t="s">
        <v>40</v>
      </c>
      <c r="G1010" s="4">
        <v>43947.662083333333</v>
      </c>
      <c r="H1010" s="4">
        <v>43947.662175925926</v>
      </c>
      <c r="I1010" t="s">
        <v>652</v>
      </c>
      <c r="J1010" s="5">
        <v>8</v>
      </c>
      <c r="K1010" t="s">
        <v>196</v>
      </c>
      <c r="M1010">
        <v>62042</v>
      </c>
      <c r="N1010" t="s">
        <v>398</v>
      </c>
      <c r="O1010" t="s">
        <v>399</v>
      </c>
      <c r="P1010" t="s">
        <v>38</v>
      </c>
      <c r="Q1010" t="s">
        <v>50</v>
      </c>
      <c r="R1010">
        <v>0</v>
      </c>
      <c r="S1010" t="s">
        <v>45</v>
      </c>
      <c r="T1010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0">
        <v>62043</v>
      </c>
      <c r="V1010" t="s">
        <v>38</v>
      </c>
      <c r="W1010" t="s">
        <v>50</v>
      </c>
      <c r="X1010">
        <v>0</v>
      </c>
      <c r="Y1010">
        <v>0</v>
      </c>
      <c r="Z1010" t="s">
        <v>46</v>
      </c>
      <c r="AA1010">
        <v>62044</v>
      </c>
      <c r="AB1010" t="s">
        <v>947</v>
      </c>
      <c r="AC1010" t="s">
        <v>97</v>
      </c>
      <c r="AD1010" t="s">
        <v>38</v>
      </c>
      <c r="AE1010" t="s">
        <v>49</v>
      </c>
      <c r="AF1010" t="s">
        <v>50</v>
      </c>
      <c r="AG1010">
        <v>0</v>
      </c>
      <c r="AH1010">
        <v>0</v>
      </c>
      <c r="AI1010" t="s">
        <v>51</v>
      </c>
      <c r="AJ1010" t="s">
        <v>51</v>
      </c>
      <c r="AK1010" t="s">
        <v>51</v>
      </c>
    </row>
    <row r="1011" spans="1:37" x14ac:dyDescent="0.2">
      <c r="A1011">
        <v>62023</v>
      </c>
      <c r="B1011" t="s">
        <v>37</v>
      </c>
      <c r="C1011" t="s">
        <v>196</v>
      </c>
      <c r="D1011" t="s">
        <v>361</v>
      </c>
      <c r="E1011" t="s">
        <v>40</v>
      </c>
      <c r="G1011" s="4">
        <v>43947.662083333333</v>
      </c>
      <c r="H1011" s="4">
        <v>43947.662175925926</v>
      </c>
      <c r="I1011" t="s">
        <v>652</v>
      </c>
      <c r="J1011" s="5">
        <v>8</v>
      </c>
      <c r="K1011" t="s">
        <v>196</v>
      </c>
      <c r="M1011">
        <v>62035</v>
      </c>
      <c r="N1011" t="s">
        <v>401</v>
      </c>
      <c r="O1011" t="s">
        <v>402</v>
      </c>
      <c r="P1011" t="s">
        <v>38</v>
      </c>
      <c r="Q1011" t="s">
        <v>50</v>
      </c>
      <c r="R1011">
        <v>.9999999999999999999999999999999999999996</v>
      </c>
      <c r="S1011" t="s">
        <v>45</v>
      </c>
      <c r="T1011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1">
        <v>62036</v>
      </c>
      <c r="V1011" t="s">
        <v>38</v>
      </c>
      <c r="W1011" t="s">
        <v>50</v>
      </c>
      <c r="X1011">
        <v>.9999999999999999999999999999999999999996</v>
      </c>
      <c r="Y1011">
        <v>0</v>
      </c>
      <c r="Z1011" t="s">
        <v>46</v>
      </c>
      <c r="AA1011">
        <v>62041</v>
      </c>
      <c r="AB1011" t="s">
        <v>1184</v>
      </c>
      <c r="AC1011" t="s">
        <v>103</v>
      </c>
      <c r="AD1011" t="s">
        <v>38</v>
      </c>
      <c r="AE1011" t="s">
        <v>49</v>
      </c>
      <c r="AF1011" t="s">
        <v>50</v>
      </c>
      <c r="AG1011">
        <v>.9999999999999999999999999999999999999996</v>
      </c>
      <c r="AH1011">
        <v>0</v>
      </c>
      <c r="AI1011" t="s">
        <v>51</v>
      </c>
      <c r="AJ1011" t="s">
        <v>51</v>
      </c>
      <c r="AK1011" t="s">
        <v>51</v>
      </c>
    </row>
    <row r="1012" spans="1:37" x14ac:dyDescent="0.2">
      <c r="A1012">
        <v>62023</v>
      </c>
      <c r="B1012" t="s">
        <v>37</v>
      </c>
      <c r="C1012" t="s">
        <v>196</v>
      </c>
      <c r="D1012" t="s">
        <v>361</v>
      </c>
      <c r="E1012" t="s">
        <v>40</v>
      </c>
      <c r="G1012" s="4">
        <v>43947.662083333333</v>
      </c>
      <c r="H1012" s="4">
        <v>43947.662175925926</v>
      </c>
      <c r="I1012" t="s">
        <v>652</v>
      </c>
      <c r="J1012" s="5">
        <v>8</v>
      </c>
      <c r="K1012" t="s">
        <v>196</v>
      </c>
      <c r="M1012">
        <v>62035</v>
      </c>
      <c r="N1012" t="s">
        <v>401</v>
      </c>
      <c r="O1012" t="s">
        <v>402</v>
      </c>
      <c r="P1012" t="s">
        <v>38</v>
      </c>
      <c r="Q1012" t="s">
        <v>50</v>
      </c>
      <c r="R1012">
        <v>.9999999999999999999999999999999999999996</v>
      </c>
      <c r="S1012" t="s">
        <v>45</v>
      </c>
      <c r="T1012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2">
        <v>62036</v>
      </c>
      <c r="V1012" t="s">
        <v>38</v>
      </c>
      <c r="W1012" t="s">
        <v>50</v>
      </c>
      <c r="X1012">
        <v>.9999999999999999999999999999999999999996</v>
      </c>
      <c r="Y1012">
        <v>0</v>
      </c>
      <c r="Z1012" t="s">
        <v>46</v>
      </c>
      <c r="AA1012">
        <v>62040</v>
      </c>
      <c r="AB1012" t="s">
        <v>1185</v>
      </c>
      <c r="AC1012" t="s">
        <v>103</v>
      </c>
      <c r="AD1012" t="s">
        <v>38</v>
      </c>
      <c r="AE1012" t="s">
        <v>49</v>
      </c>
      <c r="AF1012" t="s">
        <v>50</v>
      </c>
      <c r="AG1012">
        <v>0</v>
      </c>
      <c r="AH1012">
        <v>0</v>
      </c>
      <c r="AI1012" t="s">
        <v>51</v>
      </c>
      <c r="AJ1012" t="s">
        <v>51</v>
      </c>
      <c r="AK1012" t="s">
        <v>51</v>
      </c>
    </row>
    <row r="1013" spans="1:37" x14ac:dyDescent="0.2">
      <c r="A1013">
        <v>62023</v>
      </c>
      <c r="B1013" t="s">
        <v>37</v>
      </c>
      <c r="C1013" t="s">
        <v>196</v>
      </c>
      <c r="D1013" t="s">
        <v>361</v>
      </c>
      <c r="E1013" t="s">
        <v>40</v>
      </c>
      <c r="G1013" s="4">
        <v>43947.662083333333</v>
      </c>
      <c r="H1013" s="4">
        <v>43947.662175925926</v>
      </c>
      <c r="I1013" t="s">
        <v>652</v>
      </c>
      <c r="J1013" s="5">
        <v>8</v>
      </c>
      <c r="K1013" t="s">
        <v>196</v>
      </c>
      <c r="M1013">
        <v>62035</v>
      </c>
      <c r="N1013" t="s">
        <v>401</v>
      </c>
      <c r="O1013" t="s">
        <v>402</v>
      </c>
      <c r="P1013" t="s">
        <v>38</v>
      </c>
      <c r="Q1013" t="s">
        <v>50</v>
      </c>
      <c r="R1013">
        <v>.9999999999999999999999999999999999999996</v>
      </c>
      <c r="S1013" t="s">
        <v>45</v>
      </c>
      <c r="T1013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3">
        <v>62036</v>
      </c>
      <c r="V1013" t="s">
        <v>38</v>
      </c>
      <c r="W1013" t="s">
        <v>50</v>
      </c>
      <c r="X1013">
        <v>.9999999999999999999999999999999999999996</v>
      </c>
      <c r="Y1013">
        <v>0</v>
      </c>
      <c r="Z1013" t="s">
        <v>46</v>
      </c>
      <c r="AA1013">
        <v>62039</v>
      </c>
      <c r="AB1013" t="s">
        <v>1186</v>
      </c>
      <c r="AC1013" t="s">
        <v>103</v>
      </c>
      <c r="AD1013" t="s">
        <v>38</v>
      </c>
      <c r="AE1013" t="s">
        <v>49</v>
      </c>
      <c r="AF1013" t="s">
        <v>50</v>
      </c>
      <c r="AG1013">
        <v>0</v>
      </c>
      <c r="AH1013">
        <v>0</v>
      </c>
      <c r="AI1013" t="s">
        <v>51</v>
      </c>
      <c r="AJ1013" t="s">
        <v>51</v>
      </c>
      <c r="AK1013" t="s">
        <v>51</v>
      </c>
    </row>
    <row r="1014" spans="1:37" x14ac:dyDescent="0.2">
      <c r="A1014">
        <v>62023</v>
      </c>
      <c r="B1014" t="s">
        <v>37</v>
      </c>
      <c r="C1014" t="s">
        <v>196</v>
      </c>
      <c r="D1014" t="s">
        <v>361</v>
      </c>
      <c r="E1014" t="s">
        <v>40</v>
      </c>
      <c r="G1014" s="4">
        <v>43947.662083333333</v>
      </c>
      <c r="H1014" s="4">
        <v>43947.662175925926</v>
      </c>
      <c r="I1014" t="s">
        <v>652</v>
      </c>
      <c r="J1014" s="5">
        <v>8</v>
      </c>
      <c r="K1014" t="s">
        <v>196</v>
      </c>
      <c r="M1014">
        <v>62035</v>
      </c>
      <c r="N1014" t="s">
        <v>401</v>
      </c>
      <c r="O1014" t="s">
        <v>402</v>
      </c>
      <c r="P1014" t="s">
        <v>38</v>
      </c>
      <c r="Q1014" t="s">
        <v>50</v>
      </c>
      <c r="R1014">
        <v>.9999999999999999999999999999999999999996</v>
      </c>
      <c r="S1014" t="s">
        <v>45</v>
      </c>
      <c r="T1014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4">
        <v>62036</v>
      </c>
      <c r="V1014" t="s">
        <v>38</v>
      </c>
      <c r="W1014" t="s">
        <v>50</v>
      </c>
      <c r="X1014">
        <v>.9999999999999999999999999999999999999996</v>
      </c>
      <c r="Y1014">
        <v>0</v>
      </c>
      <c r="Z1014" t="s">
        <v>46</v>
      </c>
      <c r="AA1014">
        <v>62038</v>
      </c>
      <c r="AB1014" t="s">
        <v>1187</v>
      </c>
      <c r="AC1014" t="s">
        <v>103</v>
      </c>
      <c r="AD1014" t="s">
        <v>38</v>
      </c>
      <c r="AE1014" t="s">
        <v>49</v>
      </c>
      <c r="AF1014" t="s">
        <v>50</v>
      </c>
      <c r="AG1014">
        <v>0</v>
      </c>
      <c r="AH1014">
        <v>0</v>
      </c>
      <c r="AI1014" t="s">
        <v>51</v>
      </c>
      <c r="AJ1014" t="s">
        <v>51</v>
      </c>
      <c r="AK1014" t="s">
        <v>51</v>
      </c>
    </row>
    <row r="1015" spans="1:37" x14ac:dyDescent="0.2">
      <c r="A1015">
        <v>62023</v>
      </c>
      <c r="B1015" t="s">
        <v>37</v>
      </c>
      <c r="C1015" t="s">
        <v>196</v>
      </c>
      <c r="D1015" t="s">
        <v>361</v>
      </c>
      <c r="E1015" t="s">
        <v>40</v>
      </c>
      <c r="G1015" s="4">
        <v>43947.662083333333</v>
      </c>
      <c r="H1015" s="4">
        <v>43947.662175925926</v>
      </c>
      <c r="I1015" t="s">
        <v>652</v>
      </c>
      <c r="J1015" s="5">
        <v>8</v>
      </c>
      <c r="K1015" t="s">
        <v>196</v>
      </c>
      <c r="M1015">
        <v>62035</v>
      </c>
      <c r="N1015" t="s">
        <v>401</v>
      </c>
      <c r="O1015" t="s">
        <v>402</v>
      </c>
      <c r="P1015" t="s">
        <v>38</v>
      </c>
      <c r="Q1015" t="s">
        <v>50</v>
      </c>
      <c r="R1015">
        <v>.9999999999999999999999999999999999999996</v>
      </c>
      <c r="S1015" t="s">
        <v>45</v>
      </c>
      <c r="T1015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5">
        <v>62036</v>
      </c>
      <c r="V1015" t="s">
        <v>38</v>
      </c>
      <c r="W1015" t="s">
        <v>50</v>
      </c>
      <c r="X1015">
        <v>.9999999999999999999999999999999999999996</v>
      </c>
      <c r="Y1015">
        <v>0</v>
      </c>
      <c r="Z1015" t="s">
        <v>46</v>
      </c>
      <c r="AA1015">
        <v>62037</v>
      </c>
      <c r="AB1015" t="s">
        <v>1188</v>
      </c>
      <c r="AC1015" t="s">
        <v>103</v>
      </c>
      <c r="AD1015" t="s">
        <v>38</v>
      </c>
      <c r="AE1015" t="s">
        <v>49</v>
      </c>
      <c r="AF1015" t="s">
        <v>50</v>
      </c>
      <c r="AG1015">
        <v>0</v>
      </c>
      <c r="AH1015">
        <v>0</v>
      </c>
      <c r="AI1015" t="s">
        <v>51</v>
      </c>
      <c r="AJ1015" t="s">
        <v>51</v>
      </c>
      <c r="AK1015" t="s">
        <v>51</v>
      </c>
    </row>
    <row r="1016" spans="1:37" x14ac:dyDescent="0.2">
      <c r="A1016">
        <v>62023</v>
      </c>
      <c r="B1016" t="s">
        <v>37</v>
      </c>
      <c r="C1016" t="s">
        <v>196</v>
      </c>
      <c r="D1016" t="s">
        <v>361</v>
      </c>
      <c r="E1016" t="s">
        <v>40</v>
      </c>
      <c r="G1016" s="4">
        <v>43947.662083333333</v>
      </c>
      <c r="H1016" s="4">
        <v>43947.662175925926</v>
      </c>
      <c r="I1016" t="s">
        <v>652</v>
      </c>
      <c r="J1016" s="5">
        <v>8</v>
      </c>
      <c r="K1016" t="s">
        <v>196</v>
      </c>
      <c r="M1016">
        <v>62033</v>
      </c>
      <c r="N1016" t="s">
        <v>408</v>
      </c>
      <c r="O1016" t="s">
        <v>409</v>
      </c>
      <c r="P1016" t="s">
        <v>196</v>
      </c>
      <c r="Q1016" t="s">
        <v>50</v>
      </c>
      <c r="R1016">
        <v>0</v>
      </c>
      <c r="S1016" t="s">
        <v>410</v>
      </c>
      <c r="T1016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6">
        <v>62034</v>
      </c>
      <c r="V1016" t="s">
        <v>196</v>
      </c>
      <c r="W1016" t="s">
        <v>50</v>
      </c>
      <c r="X1016">
        <v>0</v>
      </c>
      <c r="Y1016">
        <v>0</v>
      </c>
      <c r="Z1016" t="s">
        <v>1189</v>
      </c>
    </row>
    <row r="1017" spans="1:37" x14ac:dyDescent="0.2">
      <c r="A1017">
        <v>62023</v>
      </c>
      <c r="B1017" t="s">
        <v>37</v>
      </c>
      <c r="C1017" t="s">
        <v>196</v>
      </c>
      <c r="D1017" t="s">
        <v>361</v>
      </c>
      <c r="E1017" t="s">
        <v>40</v>
      </c>
      <c r="G1017" s="4">
        <v>43947.662083333333</v>
      </c>
      <c r="H1017" s="4">
        <v>43947.662175925926</v>
      </c>
      <c r="I1017" t="s">
        <v>652</v>
      </c>
      <c r="J1017" s="5">
        <v>8</v>
      </c>
      <c r="K1017" t="s">
        <v>196</v>
      </c>
      <c r="M1017">
        <v>62030</v>
      </c>
      <c r="N1017" t="s">
        <v>412</v>
      </c>
      <c r="O1017" t="s">
        <v>413</v>
      </c>
      <c r="P1017" t="s">
        <v>38</v>
      </c>
      <c r="Q1017" t="s">
        <v>50</v>
      </c>
      <c r="R1017">
        <v>0</v>
      </c>
      <c r="S1017" t="s">
        <v>45</v>
      </c>
      <c r="T1017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7">
        <v>62031</v>
      </c>
      <c r="V1017" t="s">
        <v>38</v>
      </c>
      <c r="W1017" t="s">
        <v>50</v>
      </c>
      <c r="X1017">
        <v>0</v>
      </c>
      <c r="Y1017">
        <v>0</v>
      </c>
      <c r="Z1017" t="s">
        <v>46</v>
      </c>
      <c r="AA1017">
        <v>62032</v>
      </c>
      <c r="AB1017" t="s">
        <v>954</v>
      </c>
      <c r="AC1017" t="s">
        <v>97</v>
      </c>
      <c r="AD1017" t="s">
        <v>38</v>
      </c>
      <c r="AE1017" t="s">
        <v>49</v>
      </c>
      <c r="AF1017" t="s">
        <v>50</v>
      </c>
      <c r="AG1017">
        <v>0</v>
      </c>
      <c r="AH1017">
        <v>0</v>
      </c>
      <c r="AI1017" t="s">
        <v>51</v>
      </c>
      <c r="AJ1017" t="s">
        <v>51</v>
      </c>
      <c r="AK1017" t="s">
        <v>51</v>
      </c>
    </row>
    <row r="1018" spans="1:37" x14ac:dyDescent="0.2">
      <c r="A1018">
        <v>62023</v>
      </c>
      <c r="B1018" t="s">
        <v>37</v>
      </c>
      <c r="C1018" t="s">
        <v>196</v>
      </c>
      <c r="D1018" t="s">
        <v>361</v>
      </c>
      <c r="E1018" t="s">
        <v>40</v>
      </c>
      <c r="G1018" s="4">
        <v>43947.662083333333</v>
      </c>
      <c r="H1018" s="4">
        <v>43947.662175925926</v>
      </c>
      <c r="I1018" t="s">
        <v>652</v>
      </c>
      <c r="J1018" s="5">
        <v>8</v>
      </c>
      <c r="K1018" t="s">
        <v>196</v>
      </c>
      <c r="M1018">
        <v>62026</v>
      </c>
      <c r="N1018" t="s">
        <v>415</v>
      </c>
      <c r="O1018" t="s">
        <v>416</v>
      </c>
      <c r="P1018" t="s">
        <v>38</v>
      </c>
      <c r="Q1018" t="s">
        <v>50</v>
      </c>
      <c r="R1018">
        <v>.9999999999999999999999999999999999999996</v>
      </c>
      <c r="S1018" t="s">
        <v>45</v>
      </c>
      <c r="T1018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8">
        <v>62027</v>
      </c>
      <c r="V1018" t="s">
        <v>38</v>
      </c>
      <c r="W1018" t="s">
        <v>50</v>
      </c>
      <c r="X1018">
        <v>0</v>
      </c>
      <c r="Y1018">
        <v>0</v>
      </c>
      <c r="Z1018" t="s">
        <v>46</v>
      </c>
      <c r="AA1018">
        <v>62029</v>
      </c>
      <c r="AB1018" t="s">
        <v>1190</v>
      </c>
      <c r="AC1018" t="s">
        <v>56</v>
      </c>
      <c r="AD1018" t="s">
        <v>38</v>
      </c>
      <c r="AE1018" t="s">
        <v>49</v>
      </c>
      <c r="AF1018" t="s">
        <v>50</v>
      </c>
      <c r="AG1018">
        <v>0</v>
      </c>
      <c r="AH1018">
        <v>0</v>
      </c>
      <c r="AI1018" t="s">
        <v>51</v>
      </c>
      <c r="AJ1018" t="s">
        <v>51</v>
      </c>
      <c r="AK1018" t="s">
        <v>51</v>
      </c>
    </row>
    <row r="1019" spans="1:37" x14ac:dyDescent="0.2">
      <c r="A1019">
        <v>62023</v>
      </c>
      <c r="B1019" t="s">
        <v>37</v>
      </c>
      <c r="C1019" t="s">
        <v>196</v>
      </c>
      <c r="D1019" t="s">
        <v>361</v>
      </c>
      <c r="E1019" t="s">
        <v>40</v>
      </c>
      <c r="G1019" s="4">
        <v>43947.662083333333</v>
      </c>
      <c r="H1019" s="4">
        <v>43947.662175925926</v>
      </c>
      <c r="I1019" t="s">
        <v>652</v>
      </c>
      <c r="J1019" s="5">
        <v>8</v>
      </c>
      <c r="K1019" t="s">
        <v>196</v>
      </c>
      <c r="M1019">
        <v>62026</v>
      </c>
      <c r="N1019" t="s">
        <v>415</v>
      </c>
      <c r="O1019" t="s">
        <v>416</v>
      </c>
      <c r="P1019" t="s">
        <v>38</v>
      </c>
      <c r="Q1019" t="s">
        <v>50</v>
      </c>
      <c r="R1019">
        <v>.9999999999999999999999999999999999999996</v>
      </c>
      <c r="S1019" t="s">
        <v>45</v>
      </c>
      <c r="T1019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19">
        <v>62027</v>
      </c>
      <c r="V1019" t="s">
        <v>38</v>
      </c>
      <c r="W1019" t="s">
        <v>50</v>
      </c>
      <c r="X1019">
        <v>0</v>
      </c>
      <c r="Y1019">
        <v>0</v>
      </c>
      <c r="Z1019" t="s">
        <v>46</v>
      </c>
      <c r="AA1019">
        <v>62028</v>
      </c>
      <c r="AB1019" t="s">
        <v>1191</v>
      </c>
      <c r="AC1019" t="s">
        <v>97</v>
      </c>
      <c r="AD1019" t="s">
        <v>38</v>
      </c>
      <c r="AE1019" t="s">
        <v>49</v>
      </c>
      <c r="AF1019" t="s">
        <v>50</v>
      </c>
      <c r="AG1019">
        <v>0</v>
      </c>
      <c r="AH1019">
        <v>0</v>
      </c>
      <c r="AI1019" t="s">
        <v>51</v>
      </c>
      <c r="AJ1019" t="s">
        <v>51</v>
      </c>
      <c r="AK1019" t="s">
        <v>51</v>
      </c>
    </row>
    <row r="1020" spans="1:37" x14ac:dyDescent="0.2">
      <c r="A1020">
        <v>62023</v>
      </c>
      <c r="B1020" t="s">
        <v>37</v>
      </c>
      <c r="C1020" t="s">
        <v>196</v>
      </c>
      <c r="D1020" t="s">
        <v>361</v>
      </c>
      <c r="E1020" t="s">
        <v>40</v>
      </c>
      <c r="G1020" s="4">
        <v>43947.662083333333</v>
      </c>
      <c r="H1020" s="4">
        <v>43947.662175925926</v>
      </c>
      <c r="I1020" t="s">
        <v>652</v>
      </c>
      <c r="J1020" s="5">
        <v>8</v>
      </c>
      <c r="K1020" t="s">
        <v>196</v>
      </c>
      <c r="M1020">
        <v>62024</v>
      </c>
      <c r="N1020" t="s">
        <v>419</v>
      </c>
      <c r="O1020" t="s">
        <v>420</v>
      </c>
      <c r="P1020" t="s">
        <v>196</v>
      </c>
      <c r="Q1020" t="s">
        <v>50</v>
      </c>
      <c r="R1020">
        <v>0</v>
      </c>
      <c r="S1020" t="s">
        <v>421</v>
      </c>
      <c r="T1020" t="str" s="2">
        <f>=HYPERLINK("http://demo.enginatics.com:80/ecc/user/applications/log/62023.log","http://demo.enginatics.com:80/ecc/user/applications/log/62023.log")</f>
        <v>"http://demo.enginatics.com:80/ecc/user/applications/log/62023.log")</v>
      </c>
      <c r="U1020">
        <v>62025</v>
      </c>
      <c r="V1020" t="s">
        <v>196</v>
      </c>
      <c r="W1020" t="s">
        <v>50</v>
      </c>
      <c r="X1020">
        <v>0</v>
      </c>
      <c r="Y1020">
        <v>0</v>
      </c>
      <c r="Z1020" t="s">
        <v>1192</v>
      </c>
    </row>
    <row r="1021" spans="1:37" x14ac:dyDescent="0.2">
      <c r="A1021">
        <v>62002</v>
      </c>
      <c r="B1021" t="s">
        <v>37</v>
      </c>
      <c r="C1021" t="s">
        <v>38</v>
      </c>
      <c r="D1021" t="s">
        <v>295</v>
      </c>
      <c r="E1021" t="s">
        <v>40</v>
      </c>
      <c r="G1021" s="4">
        <v>43947.661979166667</v>
      </c>
      <c r="H1021" s="4">
        <v>43947.662152777778</v>
      </c>
      <c r="I1021" t="s">
        <v>315</v>
      </c>
      <c r="J1021" s="5">
        <v>14.99999999999999999999999999999999999999</v>
      </c>
      <c r="K1021" t="s">
        <v>38</v>
      </c>
      <c r="M1021">
        <v>62021</v>
      </c>
      <c r="N1021" t="s">
        <v>299</v>
      </c>
      <c r="O1021" t="s">
        <v>301</v>
      </c>
      <c r="P1021" t="s">
        <v>38</v>
      </c>
      <c r="Q1021" t="s">
        <v>313</v>
      </c>
      <c r="R1021">
        <v>13</v>
      </c>
      <c r="S1021" t="s">
        <v>45</v>
      </c>
      <c r="T1021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1">
        <v>62022</v>
      </c>
      <c r="V1021" t="s">
        <v>38</v>
      </c>
      <c r="W1021" t="s">
        <v>313</v>
      </c>
      <c r="X1021">
        <v>13</v>
      </c>
      <c r="Y1021">
        <v>12</v>
      </c>
      <c r="Z1021" t="s">
        <v>46</v>
      </c>
      <c r="AA1021">
        <v>62054</v>
      </c>
      <c r="AB1021" t="s">
        <v>302</v>
      </c>
      <c r="AC1021" t="s">
        <v>68</v>
      </c>
      <c r="AD1021" t="s">
        <v>38</v>
      </c>
      <c r="AE1021" t="s">
        <v>49</v>
      </c>
      <c r="AF1021" t="s">
        <v>50</v>
      </c>
      <c r="AG1021">
        <v>0</v>
      </c>
      <c r="AH1021">
        <v>0</v>
      </c>
      <c r="AI1021" t="s">
        <v>51</v>
      </c>
      <c r="AJ1021" t="s">
        <v>51</v>
      </c>
      <c r="AK1021" t="s">
        <v>51</v>
      </c>
    </row>
    <row r="1022" spans="1:37" x14ac:dyDescent="0.2">
      <c r="A1022">
        <v>62002</v>
      </c>
      <c r="B1022" t="s">
        <v>37</v>
      </c>
      <c r="C1022" t="s">
        <v>38</v>
      </c>
      <c r="D1022" t="s">
        <v>295</v>
      </c>
      <c r="E1022" t="s">
        <v>40</v>
      </c>
      <c r="G1022" s="4">
        <v>43947.661979166667</v>
      </c>
      <c r="H1022" s="4">
        <v>43947.662152777778</v>
      </c>
      <c r="I1022" t="s">
        <v>315</v>
      </c>
      <c r="J1022" s="5">
        <v>14.99999999999999999999999999999999999999</v>
      </c>
      <c r="K1022" t="s">
        <v>38</v>
      </c>
      <c r="M1022">
        <v>62021</v>
      </c>
      <c r="N1022" t="s">
        <v>299</v>
      </c>
      <c r="O1022" t="s">
        <v>301</v>
      </c>
      <c r="P1022" t="s">
        <v>38</v>
      </c>
      <c r="Q1022" t="s">
        <v>313</v>
      </c>
      <c r="R1022">
        <v>13</v>
      </c>
      <c r="S1022" t="s">
        <v>45</v>
      </c>
      <c r="T1022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2">
        <v>62022</v>
      </c>
      <c r="V1022" t="s">
        <v>38</v>
      </c>
      <c r="W1022" t="s">
        <v>313</v>
      </c>
      <c r="X1022">
        <v>13</v>
      </c>
      <c r="Y1022">
        <v>12</v>
      </c>
      <c r="Z1022" t="s">
        <v>46</v>
      </c>
      <c r="AA1022">
        <v>62053</v>
      </c>
      <c r="AB1022" t="s">
        <v>303</v>
      </c>
      <c r="AC1022" t="s">
        <v>56</v>
      </c>
      <c r="AD1022" t="s">
        <v>38</v>
      </c>
      <c r="AE1022" t="s">
        <v>49</v>
      </c>
      <c r="AF1022" t="s">
        <v>50</v>
      </c>
      <c r="AG1022">
        <v>0</v>
      </c>
      <c r="AH1022">
        <v>0</v>
      </c>
      <c r="AI1022" t="s">
        <v>51</v>
      </c>
      <c r="AJ1022" t="s">
        <v>51</v>
      </c>
      <c r="AK1022" t="s">
        <v>51</v>
      </c>
    </row>
    <row r="1023" spans="1:37" x14ac:dyDescent="0.2">
      <c r="A1023">
        <v>62002</v>
      </c>
      <c r="B1023" t="s">
        <v>37</v>
      </c>
      <c r="C1023" t="s">
        <v>38</v>
      </c>
      <c r="D1023" t="s">
        <v>295</v>
      </c>
      <c r="E1023" t="s">
        <v>40</v>
      </c>
      <c r="G1023" s="4">
        <v>43947.661979166667</v>
      </c>
      <c r="H1023" s="4">
        <v>43947.662152777778</v>
      </c>
      <c r="I1023" t="s">
        <v>315</v>
      </c>
      <c r="J1023" s="5">
        <v>14.99999999999999999999999999999999999999</v>
      </c>
      <c r="K1023" t="s">
        <v>38</v>
      </c>
      <c r="M1023">
        <v>62018</v>
      </c>
      <c r="N1023" t="s">
        <v>423</v>
      </c>
      <c r="O1023" t="s">
        <v>424</v>
      </c>
      <c r="P1023" t="s">
        <v>38</v>
      </c>
      <c r="Q1023" t="s">
        <v>50</v>
      </c>
      <c r="R1023">
        <v>0</v>
      </c>
      <c r="S1023" t="s">
        <v>45</v>
      </c>
      <c r="T1023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3">
        <v>62019</v>
      </c>
      <c r="V1023" t="s">
        <v>38</v>
      </c>
      <c r="W1023" t="s">
        <v>50</v>
      </c>
      <c r="X1023">
        <v>0</v>
      </c>
      <c r="Y1023">
        <v>0</v>
      </c>
      <c r="Z1023" t="s">
        <v>46</v>
      </c>
      <c r="AA1023">
        <v>62020</v>
      </c>
      <c r="AB1023" t="s">
        <v>959</v>
      </c>
      <c r="AC1023" t="s">
        <v>68</v>
      </c>
      <c r="AD1023" t="s">
        <v>38</v>
      </c>
      <c r="AE1023" t="s">
        <v>49</v>
      </c>
      <c r="AF1023" t="s">
        <v>50</v>
      </c>
      <c r="AG1023">
        <v>0</v>
      </c>
      <c r="AH1023">
        <v>0</v>
      </c>
      <c r="AI1023" t="s">
        <v>51</v>
      </c>
      <c r="AJ1023" t="s">
        <v>51</v>
      </c>
      <c r="AK1023" t="s">
        <v>51</v>
      </c>
    </row>
    <row r="1024" spans="1:37" x14ac:dyDescent="0.2">
      <c r="A1024">
        <v>62002</v>
      </c>
      <c r="B1024" t="s">
        <v>37</v>
      </c>
      <c r="C1024" t="s">
        <v>38</v>
      </c>
      <c r="D1024" t="s">
        <v>295</v>
      </c>
      <c r="E1024" t="s">
        <v>40</v>
      </c>
      <c r="G1024" s="4">
        <v>43947.661979166667</v>
      </c>
      <c r="H1024" s="4">
        <v>43947.662152777778</v>
      </c>
      <c r="I1024" t="s">
        <v>315</v>
      </c>
      <c r="J1024" s="5">
        <v>14.99999999999999999999999999999999999999</v>
      </c>
      <c r="K1024" t="s">
        <v>38</v>
      </c>
      <c r="M1024">
        <v>62015</v>
      </c>
      <c r="N1024" t="s">
        <v>426</v>
      </c>
      <c r="O1024" t="s">
        <v>427</v>
      </c>
      <c r="P1024" t="s">
        <v>38</v>
      </c>
      <c r="Q1024" t="s">
        <v>50</v>
      </c>
      <c r="R1024">
        <v>0</v>
      </c>
      <c r="S1024" t="s">
        <v>45</v>
      </c>
      <c r="T1024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4">
        <v>62016</v>
      </c>
      <c r="V1024" t="s">
        <v>38</v>
      </c>
      <c r="W1024" t="s">
        <v>50</v>
      </c>
      <c r="X1024">
        <v>0</v>
      </c>
      <c r="Y1024">
        <v>0</v>
      </c>
      <c r="Z1024" t="s">
        <v>46</v>
      </c>
      <c r="AA1024">
        <v>62017</v>
      </c>
      <c r="AB1024" t="s">
        <v>428</v>
      </c>
      <c r="AC1024" t="s">
        <v>68</v>
      </c>
      <c r="AD1024" t="s">
        <v>38</v>
      </c>
      <c r="AE1024" t="s">
        <v>49</v>
      </c>
      <c r="AF1024" t="s">
        <v>50</v>
      </c>
      <c r="AG1024">
        <v>0</v>
      </c>
      <c r="AH1024">
        <v>0</v>
      </c>
      <c r="AI1024" t="s">
        <v>51</v>
      </c>
      <c r="AJ1024" t="s">
        <v>51</v>
      </c>
      <c r="AK1024" t="s">
        <v>51</v>
      </c>
    </row>
    <row r="1025" spans="1:37" x14ac:dyDescent="0.2">
      <c r="A1025">
        <v>62002</v>
      </c>
      <c r="B1025" t="s">
        <v>37</v>
      </c>
      <c r="C1025" t="s">
        <v>38</v>
      </c>
      <c r="D1025" t="s">
        <v>295</v>
      </c>
      <c r="E1025" t="s">
        <v>40</v>
      </c>
      <c r="G1025" s="4">
        <v>43947.661979166667</v>
      </c>
      <c r="H1025" s="4">
        <v>43947.662152777778</v>
      </c>
      <c r="I1025" t="s">
        <v>315</v>
      </c>
      <c r="J1025" s="5">
        <v>14.99999999999999999999999999999999999999</v>
      </c>
      <c r="K1025" t="s">
        <v>38</v>
      </c>
      <c r="M1025">
        <v>62012</v>
      </c>
      <c r="N1025" t="s">
        <v>429</v>
      </c>
      <c r="O1025" t="s">
        <v>430</v>
      </c>
      <c r="P1025" t="s">
        <v>38</v>
      </c>
      <c r="Q1025" t="s">
        <v>50</v>
      </c>
      <c r="R1025">
        <v>0</v>
      </c>
      <c r="S1025" t="s">
        <v>45</v>
      </c>
      <c r="T1025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5">
        <v>62013</v>
      </c>
      <c r="V1025" t="s">
        <v>38</v>
      </c>
      <c r="W1025" t="s">
        <v>50</v>
      </c>
      <c r="X1025">
        <v>0</v>
      </c>
      <c r="Y1025">
        <v>0</v>
      </c>
      <c r="Z1025" t="s">
        <v>46</v>
      </c>
      <c r="AA1025">
        <v>62014</v>
      </c>
      <c r="AB1025" t="s">
        <v>431</v>
      </c>
      <c r="AC1025" t="s">
        <v>68</v>
      </c>
      <c r="AD1025" t="s">
        <v>38</v>
      </c>
      <c r="AE1025" t="s">
        <v>49</v>
      </c>
      <c r="AF1025" t="s">
        <v>50</v>
      </c>
      <c r="AG1025">
        <v>0</v>
      </c>
      <c r="AH1025">
        <v>0</v>
      </c>
      <c r="AI1025" t="s">
        <v>51</v>
      </c>
      <c r="AJ1025" t="s">
        <v>51</v>
      </c>
      <c r="AK1025" t="s">
        <v>51</v>
      </c>
    </row>
    <row r="1026" spans="1:37" x14ac:dyDescent="0.2">
      <c r="A1026">
        <v>62002</v>
      </c>
      <c r="B1026" t="s">
        <v>37</v>
      </c>
      <c r="C1026" t="s">
        <v>38</v>
      </c>
      <c r="D1026" t="s">
        <v>295</v>
      </c>
      <c r="E1026" t="s">
        <v>40</v>
      </c>
      <c r="G1026" s="4">
        <v>43947.661979166667</v>
      </c>
      <c r="H1026" s="4">
        <v>43947.662152777778</v>
      </c>
      <c r="I1026" t="s">
        <v>315</v>
      </c>
      <c r="J1026" s="5">
        <v>14.99999999999999999999999999999999999999</v>
      </c>
      <c r="K1026" t="s">
        <v>38</v>
      </c>
      <c r="M1026">
        <v>62009</v>
      </c>
      <c r="N1026" t="s">
        <v>304</v>
      </c>
      <c r="O1026" t="s">
        <v>305</v>
      </c>
      <c r="P1026" t="s">
        <v>38</v>
      </c>
      <c r="Q1026" t="s">
        <v>50</v>
      </c>
      <c r="R1026">
        <v>.9999999999999999999999999999999999999996</v>
      </c>
      <c r="S1026" t="s">
        <v>45</v>
      </c>
      <c r="T1026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6">
        <v>62010</v>
      </c>
      <c r="V1026" t="s">
        <v>38</v>
      </c>
      <c r="W1026" t="s">
        <v>50</v>
      </c>
      <c r="X1026">
        <v>.9999999999999999999999999999999999999996</v>
      </c>
      <c r="Y1026">
        <v>1</v>
      </c>
      <c r="Z1026" t="s">
        <v>46</v>
      </c>
      <c r="AA1026">
        <v>62011</v>
      </c>
      <c r="AB1026" t="s">
        <v>306</v>
      </c>
      <c r="AC1026" t="s">
        <v>68</v>
      </c>
      <c r="AD1026" t="s">
        <v>38</v>
      </c>
      <c r="AE1026" t="s">
        <v>49</v>
      </c>
      <c r="AF1026" t="s">
        <v>50</v>
      </c>
      <c r="AG1026">
        <v>0</v>
      </c>
      <c r="AH1026">
        <v>0</v>
      </c>
      <c r="AI1026" t="s">
        <v>51</v>
      </c>
      <c r="AJ1026" t="s">
        <v>51</v>
      </c>
      <c r="AK1026" t="s">
        <v>51</v>
      </c>
    </row>
    <row r="1027" spans="1:37" x14ac:dyDescent="0.2">
      <c r="A1027">
        <v>62002</v>
      </c>
      <c r="B1027" t="s">
        <v>37</v>
      </c>
      <c r="C1027" t="s">
        <v>38</v>
      </c>
      <c r="D1027" t="s">
        <v>295</v>
      </c>
      <c r="E1027" t="s">
        <v>40</v>
      </c>
      <c r="G1027" s="4">
        <v>43947.661979166667</v>
      </c>
      <c r="H1027" s="4">
        <v>43947.662152777778</v>
      </c>
      <c r="I1027" t="s">
        <v>315</v>
      </c>
      <c r="J1027" s="5">
        <v>14.99999999999999999999999999999999999999</v>
      </c>
      <c r="K1027" t="s">
        <v>38</v>
      </c>
      <c r="M1027">
        <v>62006</v>
      </c>
      <c r="N1027" t="s">
        <v>296</v>
      </c>
      <c r="O1027" t="s">
        <v>297</v>
      </c>
      <c r="P1027" t="s">
        <v>38</v>
      </c>
      <c r="Q1027" t="s">
        <v>50</v>
      </c>
      <c r="R1027">
        <v>0</v>
      </c>
      <c r="S1027" t="s">
        <v>45</v>
      </c>
      <c r="T1027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7">
        <v>62007</v>
      </c>
      <c r="V1027" t="s">
        <v>38</v>
      </c>
      <c r="W1027" t="s">
        <v>50</v>
      </c>
      <c r="X1027">
        <v>0</v>
      </c>
      <c r="Y1027">
        <v>0</v>
      </c>
      <c r="Z1027" t="s">
        <v>46</v>
      </c>
      <c r="AA1027">
        <v>62008</v>
      </c>
      <c r="AB1027" t="s">
        <v>958</v>
      </c>
      <c r="AC1027" t="s">
        <v>68</v>
      </c>
      <c r="AD1027" t="s">
        <v>38</v>
      </c>
      <c r="AE1027" t="s">
        <v>49</v>
      </c>
      <c r="AF1027" t="s">
        <v>50</v>
      </c>
      <c r="AG1027">
        <v>0</v>
      </c>
      <c r="AH1027">
        <v>0</v>
      </c>
      <c r="AI1027" t="s">
        <v>51</v>
      </c>
      <c r="AJ1027" t="s">
        <v>51</v>
      </c>
      <c r="AK1027" t="s">
        <v>51</v>
      </c>
    </row>
    <row r="1028" spans="1:37" x14ac:dyDescent="0.2">
      <c r="A1028">
        <v>62002</v>
      </c>
      <c r="B1028" t="s">
        <v>37</v>
      </c>
      <c r="C1028" t="s">
        <v>38</v>
      </c>
      <c r="D1028" t="s">
        <v>295</v>
      </c>
      <c r="E1028" t="s">
        <v>40</v>
      </c>
      <c r="G1028" s="4">
        <v>43947.661979166667</v>
      </c>
      <c r="H1028" s="4">
        <v>43947.662152777778</v>
      </c>
      <c r="I1028" t="s">
        <v>315</v>
      </c>
      <c r="J1028" s="5">
        <v>14.99999999999999999999999999999999999999</v>
      </c>
      <c r="K1028" t="s">
        <v>38</v>
      </c>
      <c r="M1028">
        <v>62003</v>
      </c>
      <c r="N1028" t="s">
        <v>432</v>
      </c>
      <c r="O1028" t="s">
        <v>433</v>
      </c>
      <c r="P1028" t="s">
        <v>38</v>
      </c>
      <c r="Q1028" t="s">
        <v>50</v>
      </c>
      <c r="R1028">
        <v>.9999999999999999999999999999999999999996</v>
      </c>
      <c r="S1028" t="s">
        <v>45</v>
      </c>
      <c r="T1028" t="str" s="2">
        <f>=HYPERLINK("http://demo.enginatics.com:80/ecc/user/applications/log/62002.log","http://demo.enginatics.com:80/ecc/user/applications/log/62002.log")</f>
        <v>"http://demo.enginatics.com:80/ecc/user/applications/log/62002.log")</v>
      </c>
      <c r="U1028">
        <v>62004</v>
      </c>
      <c r="V1028" t="s">
        <v>38</v>
      </c>
      <c r="W1028" t="s">
        <v>50</v>
      </c>
      <c r="X1028">
        <v>.9999999999999999999999999999999999999996</v>
      </c>
      <c r="Y1028">
        <v>0</v>
      </c>
      <c r="Z1028" t="s">
        <v>46</v>
      </c>
      <c r="AA1028">
        <v>62005</v>
      </c>
      <c r="AB1028" t="s">
        <v>434</v>
      </c>
      <c r="AC1028" t="s">
        <v>68</v>
      </c>
      <c r="AD1028" t="s">
        <v>38</v>
      </c>
      <c r="AE1028" t="s">
        <v>49</v>
      </c>
      <c r="AF1028" t="s">
        <v>50</v>
      </c>
      <c r="AG1028">
        <v>0</v>
      </c>
      <c r="AH1028">
        <v>0</v>
      </c>
      <c r="AI1028" t="s">
        <v>51</v>
      </c>
      <c r="AJ1028" t="s">
        <v>51</v>
      </c>
      <c r="AK1028" t="s">
        <v>51</v>
      </c>
    </row>
    <row r="1029" spans="1:37" x14ac:dyDescent="0.2">
      <c r="A1029">
        <v>61998</v>
      </c>
      <c r="B1029" t="s">
        <v>37</v>
      </c>
      <c r="C1029" t="s">
        <v>38</v>
      </c>
      <c r="D1029" t="s">
        <v>295</v>
      </c>
      <c r="E1029" t="s">
        <v>426</v>
      </c>
      <c r="G1029" s="4">
        <v>43947.661956018519</v>
      </c>
      <c r="H1029" s="4">
        <v>43947.661967592593</v>
      </c>
      <c r="I1029" t="s">
        <v>50</v>
      </c>
      <c r="J1029" s="5">
        <v>.9999999999999999999999999999999999999996</v>
      </c>
      <c r="K1029" t="s">
        <v>38</v>
      </c>
      <c r="M1029">
        <v>61999</v>
      </c>
      <c r="N1029" t="s">
        <v>426</v>
      </c>
      <c r="O1029" t="s">
        <v>427</v>
      </c>
      <c r="P1029" t="s">
        <v>38</v>
      </c>
      <c r="Q1029" t="s">
        <v>50</v>
      </c>
      <c r="R1029">
        <v>.9999999999999999999999999999999999999996</v>
      </c>
      <c r="S1029" t="s">
        <v>45</v>
      </c>
      <c r="T1029" t="str" s="2">
        <f>=HYPERLINK("http://demo.enginatics.com:80/ecc/user/applications/log/61998.log","http://demo.enginatics.com:80/ecc/user/applications/log/61998.log")</f>
        <v>"http://demo.enginatics.com:80/ecc/user/applications/log/61998.log")</v>
      </c>
      <c r="U1029">
        <v>62000</v>
      </c>
      <c r="V1029" t="s">
        <v>38</v>
      </c>
      <c r="W1029" t="s">
        <v>50</v>
      </c>
      <c r="X1029">
        <v>.9999999999999999999999999999999999999996</v>
      </c>
      <c r="Y1029">
        <v>0</v>
      </c>
      <c r="Z1029" t="s">
        <v>46</v>
      </c>
      <c r="AA1029">
        <v>62001</v>
      </c>
      <c r="AB1029" t="s">
        <v>428</v>
      </c>
      <c r="AC1029" t="s">
        <v>68</v>
      </c>
      <c r="AD1029" t="s">
        <v>38</v>
      </c>
      <c r="AE1029" t="s">
        <v>49</v>
      </c>
      <c r="AF1029" t="s">
        <v>50</v>
      </c>
      <c r="AG1029">
        <v>.9999999999999999999999999999999999999996</v>
      </c>
      <c r="AH1029">
        <v>0</v>
      </c>
      <c r="AI1029" t="s">
        <v>51</v>
      </c>
      <c r="AJ1029" t="s">
        <v>51</v>
      </c>
      <c r="AK1029" t="s">
        <v>51</v>
      </c>
    </row>
    <row r="1030" spans="1:37" x14ac:dyDescent="0.2">
      <c r="A1030">
        <v>61994</v>
      </c>
      <c r="B1030" t="s">
        <v>37</v>
      </c>
      <c r="C1030" t="s">
        <v>38</v>
      </c>
      <c r="D1030" t="s">
        <v>295</v>
      </c>
      <c r="E1030" t="s">
        <v>423</v>
      </c>
      <c r="G1030" s="4">
        <v>43947.661944444444</v>
      </c>
      <c r="H1030" s="4">
        <v>43947.661956018519</v>
      </c>
      <c r="I1030" t="s">
        <v>50</v>
      </c>
      <c r="J1030" s="5">
        <v>.9999999999999999999999999999999999999996</v>
      </c>
      <c r="K1030" t="s">
        <v>38</v>
      </c>
      <c r="M1030">
        <v>61995</v>
      </c>
      <c r="N1030" t="s">
        <v>423</v>
      </c>
      <c r="O1030" t="s">
        <v>424</v>
      </c>
      <c r="P1030" t="s">
        <v>38</v>
      </c>
      <c r="Q1030" t="s">
        <v>50</v>
      </c>
      <c r="R1030">
        <v>0</v>
      </c>
      <c r="S1030" t="s">
        <v>45</v>
      </c>
      <c r="T1030" t="str" s="2">
        <f>=HYPERLINK("http://demo.enginatics.com:80/ecc/user/applications/log/61994.log","http://demo.enginatics.com:80/ecc/user/applications/log/61994.log")</f>
        <v>"http://demo.enginatics.com:80/ecc/user/applications/log/61994.log")</v>
      </c>
      <c r="U1030">
        <v>61996</v>
      </c>
      <c r="V1030" t="s">
        <v>38</v>
      </c>
      <c r="W1030" t="s">
        <v>50</v>
      </c>
      <c r="X1030">
        <v>0</v>
      </c>
      <c r="Y1030">
        <v>0</v>
      </c>
      <c r="Z1030" t="s">
        <v>46</v>
      </c>
      <c r="AA1030">
        <v>61997</v>
      </c>
      <c r="AB1030" t="s">
        <v>959</v>
      </c>
      <c r="AC1030" t="s">
        <v>68</v>
      </c>
      <c r="AD1030" t="s">
        <v>38</v>
      </c>
      <c r="AE1030" t="s">
        <v>49</v>
      </c>
      <c r="AF1030" t="s">
        <v>50</v>
      </c>
      <c r="AG1030">
        <v>0</v>
      </c>
      <c r="AH1030">
        <v>0</v>
      </c>
      <c r="AI1030" t="s">
        <v>51</v>
      </c>
      <c r="AJ1030" t="s">
        <v>51</v>
      </c>
      <c r="AK1030" t="s">
        <v>51</v>
      </c>
    </row>
    <row r="1031" spans="1:37" x14ac:dyDescent="0.2">
      <c r="A1031">
        <v>61990</v>
      </c>
      <c r="B1031" t="s">
        <v>37</v>
      </c>
      <c r="C1031" t="s">
        <v>38</v>
      </c>
      <c r="D1031" t="s">
        <v>295</v>
      </c>
      <c r="E1031" t="s">
        <v>429</v>
      </c>
      <c r="G1031" s="4">
        <v>43947.661875</v>
      </c>
      <c r="H1031" s="4">
        <v>43947.661898148148</v>
      </c>
      <c r="I1031" t="s">
        <v>88</v>
      </c>
      <c r="J1031" s="5">
        <v>2</v>
      </c>
      <c r="K1031" t="s">
        <v>38</v>
      </c>
      <c r="M1031">
        <v>61991</v>
      </c>
      <c r="N1031" t="s">
        <v>429</v>
      </c>
      <c r="O1031" t="s">
        <v>430</v>
      </c>
      <c r="P1031" t="s">
        <v>38</v>
      </c>
      <c r="Q1031" t="s">
        <v>88</v>
      </c>
      <c r="R1031">
        <v>2</v>
      </c>
      <c r="S1031" t="s">
        <v>45</v>
      </c>
      <c r="T1031" t="str" s="2">
        <f>=HYPERLINK("http://demo.enginatics.com:80/ecc/user/applications/log/61990.log","http://demo.enginatics.com:80/ecc/user/applications/log/61990.log")</f>
        <v>"http://demo.enginatics.com:80/ecc/user/applications/log/61990.log")</v>
      </c>
      <c r="U1031">
        <v>61992</v>
      </c>
      <c r="V1031" t="s">
        <v>38</v>
      </c>
      <c r="W1031" t="s">
        <v>88</v>
      </c>
      <c r="X1031">
        <v>2</v>
      </c>
      <c r="Y1031">
        <v>0</v>
      </c>
      <c r="Z1031" t="s">
        <v>46</v>
      </c>
      <c r="AA1031">
        <v>61993</v>
      </c>
      <c r="AB1031" t="s">
        <v>431</v>
      </c>
      <c r="AC1031" t="s">
        <v>68</v>
      </c>
      <c r="AD1031" t="s">
        <v>38</v>
      </c>
      <c r="AE1031" t="s">
        <v>49</v>
      </c>
      <c r="AF1031" t="s">
        <v>50</v>
      </c>
      <c r="AG1031">
        <v>.9999999999999999999999999999999999999996</v>
      </c>
      <c r="AH1031">
        <v>1</v>
      </c>
      <c r="AI1031" t="s">
        <v>51</v>
      </c>
      <c r="AJ1031" t="s">
        <v>51</v>
      </c>
      <c r="AK1031" t="s">
        <v>51</v>
      </c>
    </row>
    <row r="1032" spans="1:37" x14ac:dyDescent="0.2">
      <c r="A1032">
        <v>61986</v>
      </c>
      <c r="B1032" t="s">
        <v>37</v>
      </c>
      <c r="C1032" t="s">
        <v>38</v>
      </c>
      <c r="D1032" t="s">
        <v>295</v>
      </c>
      <c r="E1032" t="s">
        <v>432</v>
      </c>
      <c r="G1032" s="4">
        <v>43947.661412037037</v>
      </c>
      <c r="H1032" s="4">
        <v>43947.661446759259</v>
      </c>
      <c r="I1032" t="s">
        <v>85</v>
      </c>
      <c r="J1032" s="5">
        <v>3</v>
      </c>
      <c r="K1032" t="s">
        <v>38</v>
      </c>
      <c r="M1032">
        <v>61987</v>
      </c>
      <c r="N1032" t="s">
        <v>432</v>
      </c>
      <c r="O1032" t="s">
        <v>433</v>
      </c>
      <c r="P1032" t="s">
        <v>38</v>
      </c>
      <c r="Q1032" t="s">
        <v>85</v>
      </c>
      <c r="R1032">
        <v>3</v>
      </c>
      <c r="S1032" t="s">
        <v>45</v>
      </c>
      <c r="T1032" t="str" s="2">
        <f>=HYPERLINK("http://demo.enginatics.com:80/ecc/user/applications/log/61986.log","http://demo.enginatics.com:80/ecc/user/applications/log/61986.log")</f>
        <v>"http://demo.enginatics.com:80/ecc/user/applications/log/61986.log")</v>
      </c>
      <c r="U1032">
        <v>61988</v>
      </c>
      <c r="V1032" t="s">
        <v>38</v>
      </c>
      <c r="W1032" t="s">
        <v>85</v>
      </c>
      <c r="X1032">
        <v>3</v>
      </c>
      <c r="Y1032">
        <v>0</v>
      </c>
      <c r="Z1032" t="s">
        <v>46</v>
      </c>
      <c r="AA1032">
        <v>61989</v>
      </c>
      <c r="AB1032" t="s">
        <v>434</v>
      </c>
      <c r="AC1032" t="s">
        <v>68</v>
      </c>
      <c r="AD1032" t="s">
        <v>38</v>
      </c>
      <c r="AE1032" t="s">
        <v>49</v>
      </c>
      <c r="AF1032" t="s">
        <v>88</v>
      </c>
      <c r="AG1032">
        <v>2</v>
      </c>
      <c r="AH1032">
        <v>1</v>
      </c>
      <c r="AI1032" t="s">
        <v>51</v>
      </c>
      <c r="AJ1032" t="s">
        <v>51</v>
      </c>
      <c r="AK1032" t="s">
        <v>51</v>
      </c>
    </row>
    <row r="1033" spans="1:37" x14ac:dyDescent="0.2">
      <c r="A1033">
        <v>61984</v>
      </c>
      <c r="B1033" t="s">
        <v>37</v>
      </c>
      <c r="C1033" t="s">
        <v>38</v>
      </c>
      <c r="D1033" t="s">
        <v>83</v>
      </c>
      <c r="E1033" t="s">
        <v>435</v>
      </c>
      <c r="G1033" s="4">
        <v>43947.66056712963</v>
      </c>
      <c r="H1033" s="4">
        <v>43947.66056712963</v>
      </c>
      <c r="I1033" t="s">
        <v>50</v>
      </c>
      <c r="J1033" s="5">
        <v>0</v>
      </c>
      <c r="K1033" t="s">
        <v>38</v>
      </c>
      <c r="M1033">
        <v>61985</v>
      </c>
      <c r="N1033" t="s">
        <v>435</v>
      </c>
      <c r="O1033" t="s">
        <v>436</v>
      </c>
      <c r="P1033" t="s">
        <v>38</v>
      </c>
      <c r="Q1033" t="s">
        <v>50</v>
      </c>
      <c r="R1033">
        <v>0</v>
      </c>
      <c r="S1033" t="s">
        <v>437</v>
      </c>
      <c r="T1033" t="str" s="2">
        <f>=HYPERLINK("http://demo.enginatics.com:80/ecc/user/applications/log/61984.log","http://demo.enginatics.com:80/ecc/user/applications/log/61984.log")</f>
        <v>"http://demo.enginatics.com:80/ecc/user/applications/log/61984.log")</v>
      </c>
    </row>
    <row r="1034" spans="1:37" x14ac:dyDescent="0.2">
      <c r="A1034">
        <v>61977</v>
      </c>
      <c r="B1034" t="s">
        <v>37</v>
      </c>
      <c r="C1034" t="s">
        <v>38</v>
      </c>
      <c r="D1034" t="s">
        <v>438</v>
      </c>
      <c r="E1034" t="s">
        <v>40</v>
      </c>
      <c r="G1034" s="4">
        <v>43947.658993055556</v>
      </c>
      <c r="H1034" s="4">
        <v>43947.65900462963</v>
      </c>
      <c r="I1034" t="s">
        <v>50</v>
      </c>
      <c r="J1034" s="5">
        <v>.9999999999999999999999999999999999999996</v>
      </c>
      <c r="K1034" t="s">
        <v>38</v>
      </c>
      <c r="M1034">
        <v>61983</v>
      </c>
      <c r="N1034" t="s">
        <v>439</v>
      </c>
      <c r="O1034" t="s">
        <v>440</v>
      </c>
      <c r="P1034" t="s">
        <v>38</v>
      </c>
      <c r="Q1034" t="s">
        <v>50</v>
      </c>
      <c r="R1034">
        <v>0</v>
      </c>
      <c r="S1034" t="s">
        <v>441</v>
      </c>
      <c r="T1034" t="str" s="2">
        <f>=HYPERLINK("http://demo.enginatics.com:80/ecc/user/applications/log/61977.log","http://demo.enginatics.com:80/ecc/user/applications/log/61977.log")</f>
        <v>"http://demo.enginatics.com:80/ecc/user/applications/log/61977.log")</v>
      </c>
    </row>
    <row r="1035" spans="1:37" x14ac:dyDescent="0.2">
      <c r="A1035">
        <v>61977</v>
      </c>
      <c r="B1035" t="s">
        <v>37</v>
      </c>
      <c r="C1035" t="s">
        <v>38</v>
      </c>
      <c r="D1035" t="s">
        <v>438</v>
      </c>
      <c r="E1035" t="s">
        <v>40</v>
      </c>
      <c r="G1035" s="4">
        <v>43947.658993055556</v>
      </c>
      <c r="H1035" s="4">
        <v>43947.65900462963</v>
      </c>
      <c r="I1035" t="s">
        <v>50</v>
      </c>
      <c r="J1035" s="5">
        <v>.9999999999999999999999999999999999999996</v>
      </c>
      <c r="K1035" t="s">
        <v>38</v>
      </c>
      <c r="M1035">
        <v>61982</v>
      </c>
      <c r="N1035" t="s">
        <v>442</v>
      </c>
      <c r="O1035" t="s">
        <v>443</v>
      </c>
      <c r="P1035" t="s">
        <v>38</v>
      </c>
      <c r="Q1035" t="s">
        <v>50</v>
      </c>
      <c r="R1035">
        <v>0</v>
      </c>
      <c r="S1035" t="s">
        <v>444</v>
      </c>
      <c r="T1035" t="str" s="2">
        <f>=HYPERLINK("http://demo.enginatics.com:80/ecc/user/applications/log/61977.log","http://demo.enginatics.com:80/ecc/user/applications/log/61977.log")</f>
        <v>"http://demo.enginatics.com:80/ecc/user/applications/log/61977.log")</v>
      </c>
    </row>
    <row r="1036" spans="1:37" x14ac:dyDescent="0.2">
      <c r="A1036">
        <v>61977</v>
      </c>
      <c r="B1036" t="s">
        <v>37</v>
      </c>
      <c r="C1036" t="s">
        <v>38</v>
      </c>
      <c r="D1036" t="s">
        <v>438</v>
      </c>
      <c r="E1036" t="s">
        <v>40</v>
      </c>
      <c r="G1036" s="4">
        <v>43947.658993055556</v>
      </c>
      <c r="H1036" s="4">
        <v>43947.65900462963</v>
      </c>
      <c r="I1036" t="s">
        <v>50</v>
      </c>
      <c r="J1036" s="5">
        <v>.9999999999999999999999999999999999999996</v>
      </c>
      <c r="K1036" t="s">
        <v>38</v>
      </c>
      <c r="M1036">
        <v>61981</v>
      </c>
      <c r="N1036" t="s">
        <v>445</v>
      </c>
      <c r="O1036" t="s">
        <v>446</v>
      </c>
      <c r="P1036" t="s">
        <v>38</v>
      </c>
      <c r="Q1036" t="s">
        <v>50</v>
      </c>
      <c r="R1036">
        <v>0</v>
      </c>
      <c r="S1036" t="s">
        <v>447</v>
      </c>
      <c r="T1036" t="str" s="2">
        <f>=HYPERLINK("http://demo.enginatics.com:80/ecc/user/applications/log/61977.log","http://demo.enginatics.com:80/ecc/user/applications/log/61977.log")</f>
        <v>"http://demo.enginatics.com:80/ecc/user/applications/log/61977.log")</v>
      </c>
    </row>
    <row r="1037" spans="1:37" x14ac:dyDescent="0.2">
      <c r="A1037">
        <v>61977</v>
      </c>
      <c r="B1037" t="s">
        <v>37</v>
      </c>
      <c r="C1037" t="s">
        <v>38</v>
      </c>
      <c r="D1037" t="s">
        <v>438</v>
      </c>
      <c r="E1037" t="s">
        <v>40</v>
      </c>
      <c r="G1037" s="4">
        <v>43947.658993055556</v>
      </c>
      <c r="H1037" s="4">
        <v>43947.65900462963</v>
      </c>
      <c r="I1037" t="s">
        <v>50</v>
      </c>
      <c r="J1037" s="5">
        <v>.9999999999999999999999999999999999999996</v>
      </c>
      <c r="K1037" t="s">
        <v>38</v>
      </c>
      <c r="M1037">
        <v>61980</v>
      </c>
      <c r="N1037" t="s">
        <v>448</v>
      </c>
      <c r="O1037" t="s">
        <v>449</v>
      </c>
      <c r="P1037" t="s">
        <v>38</v>
      </c>
      <c r="Q1037" t="s">
        <v>50</v>
      </c>
      <c r="R1037">
        <v>0</v>
      </c>
      <c r="S1037" t="s">
        <v>450</v>
      </c>
      <c r="T1037" t="str" s="2">
        <f>=HYPERLINK("http://demo.enginatics.com:80/ecc/user/applications/log/61977.log","http://demo.enginatics.com:80/ecc/user/applications/log/61977.log")</f>
        <v>"http://demo.enginatics.com:80/ecc/user/applications/log/61977.log")</v>
      </c>
    </row>
    <row r="1038" spans="1:37" x14ac:dyDescent="0.2">
      <c r="A1038">
        <v>61977</v>
      </c>
      <c r="B1038" t="s">
        <v>37</v>
      </c>
      <c r="C1038" t="s">
        <v>38</v>
      </c>
      <c r="D1038" t="s">
        <v>438</v>
      </c>
      <c r="E1038" t="s">
        <v>40</v>
      </c>
      <c r="G1038" s="4">
        <v>43947.658993055556</v>
      </c>
      <c r="H1038" s="4">
        <v>43947.65900462963</v>
      </c>
      <c r="I1038" t="s">
        <v>50</v>
      </c>
      <c r="J1038" s="5">
        <v>.9999999999999999999999999999999999999996</v>
      </c>
      <c r="K1038" t="s">
        <v>38</v>
      </c>
      <c r="M1038">
        <v>61979</v>
      </c>
      <c r="N1038" t="s">
        <v>451</v>
      </c>
      <c r="O1038" t="s">
        <v>452</v>
      </c>
      <c r="P1038" t="s">
        <v>38</v>
      </c>
      <c r="Q1038" t="s">
        <v>50</v>
      </c>
      <c r="R1038">
        <v>.9999999999999999999999999999999999999996</v>
      </c>
      <c r="S1038" t="s">
        <v>453</v>
      </c>
      <c r="T1038" t="str" s="2">
        <f>=HYPERLINK("http://demo.enginatics.com:80/ecc/user/applications/log/61977.log","http://demo.enginatics.com:80/ecc/user/applications/log/61977.log")</f>
        <v>"http://demo.enginatics.com:80/ecc/user/applications/log/61977.log")</v>
      </c>
    </row>
    <row r="1039" spans="1:37" x14ac:dyDescent="0.2">
      <c r="A1039">
        <v>61977</v>
      </c>
      <c r="B1039" t="s">
        <v>37</v>
      </c>
      <c r="C1039" t="s">
        <v>38</v>
      </c>
      <c r="D1039" t="s">
        <v>438</v>
      </c>
      <c r="E1039" t="s">
        <v>40</v>
      </c>
      <c r="G1039" s="4">
        <v>43947.658993055556</v>
      </c>
      <c r="H1039" s="4">
        <v>43947.65900462963</v>
      </c>
      <c r="I1039" t="s">
        <v>50</v>
      </c>
      <c r="J1039" s="5">
        <v>.9999999999999999999999999999999999999996</v>
      </c>
      <c r="K1039" t="s">
        <v>38</v>
      </c>
      <c r="M1039">
        <v>61978</v>
      </c>
      <c r="N1039" t="s">
        <v>454</v>
      </c>
      <c r="O1039" t="s">
        <v>455</v>
      </c>
      <c r="P1039" t="s">
        <v>38</v>
      </c>
      <c r="Q1039" t="s">
        <v>50</v>
      </c>
      <c r="R1039">
        <v>0</v>
      </c>
      <c r="S1039" t="s">
        <v>456</v>
      </c>
      <c r="T1039" t="str" s="2">
        <f>=HYPERLINK("http://demo.enginatics.com:80/ecc/user/applications/log/61977.log","http://demo.enginatics.com:80/ecc/user/applications/log/61977.log")</f>
        <v>"http://demo.enginatics.com:80/ecc/user/applications/log/61977.log")</v>
      </c>
    </row>
    <row r="1040" spans="1:37" x14ac:dyDescent="0.2">
      <c r="A1040">
        <v>61973</v>
      </c>
      <c r="B1040" t="s">
        <v>37</v>
      </c>
      <c r="C1040" t="s">
        <v>38</v>
      </c>
      <c r="D1040" t="s">
        <v>83</v>
      </c>
      <c r="E1040" t="s">
        <v>457</v>
      </c>
      <c r="G1040" s="4">
        <v>43947.658900462963</v>
      </c>
      <c r="H1040" s="4">
        <v>43947.658900462963</v>
      </c>
      <c r="I1040" t="s">
        <v>50</v>
      </c>
      <c r="J1040" s="5">
        <v>0</v>
      </c>
      <c r="K1040" t="s">
        <v>38</v>
      </c>
      <c r="M1040">
        <v>61974</v>
      </c>
      <c r="N1040" t="s">
        <v>457</v>
      </c>
      <c r="O1040" t="s">
        <v>458</v>
      </c>
      <c r="P1040" t="s">
        <v>38</v>
      </c>
      <c r="Q1040" t="s">
        <v>50</v>
      </c>
      <c r="R1040">
        <v>0</v>
      </c>
      <c r="S1040" t="s">
        <v>45</v>
      </c>
      <c r="T1040" t="str" s="2">
        <f>=HYPERLINK("http://demo.enginatics.com:80/ecc/user/applications/log/61973.log","http://demo.enginatics.com:80/ecc/user/applications/log/61973.log")</f>
        <v>"http://demo.enginatics.com:80/ecc/user/applications/log/61973.log")</v>
      </c>
      <c r="U1040">
        <v>61975</v>
      </c>
      <c r="V1040" t="s">
        <v>38</v>
      </c>
      <c r="W1040" t="s">
        <v>50</v>
      </c>
      <c r="X1040">
        <v>0</v>
      </c>
      <c r="Y1040">
        <v>0</v>
      </c>
      <c r="Z1040" t="s">
        <v>46</v>
      </c>
      <c r="AA1040">
        <v>61976</v>
      </c>
      <c r="AB1040" t="s">
        <v>1193</v>
      </c>
      <c r="AC1040" t="s">
        <v>68</v>
      </c>
      <c r="AD1040" t="s">
        <v>38</v>
      </c>
      <c r="AE1040" t="s">
        <v>49</v>
      </c>
      <c r="AF1040" t="s">
        <v>50</v>
      </c>
      <c r="AG1040">
        <v>0</v>
      </c>
      <c r="AH1040">
        <v>0</v>
      </c>
      <c r="AI1040" t="s">
        <v>51</v>
      </c>
      <c r="AJ1040" t="s">
        <v>51</v>
      </c>
      <c r="AK1040" t="s">
        <v>51</v>
      </c>
    </row>
    <row r="1041" spans="1:37" x14ac:dyDescent="0.2">
      <c r="A1041">
        <v>61969</v>
      </c>
      <c r="B1041" t="s">
        <v>37</v>
      </c>
      <c r="C1041" t="s">
        <v>38</v>
      </c>
      <c r="D1041" t="s">
        <v>460</v>
      </c>
      <c r="E1041" t="s">
        <v>40</v>
      </c>
      <c r="G1041" s="4">
        <v>43947.609456018519</v>
      </c>
      <c r="H1041" s="4">
        <v>43947.609479166667</v>
      </c>
      <c r="I1041" t="s">
        <v>88</v>
      </c>
      <c r="J1041" s="5">
        <v>2</v>
      </c>
      <c r="K1041" t="s">
        <v>38</v>
      </c>
      <c r="M1041">
        <v>61970</v>
      </c>
      <c r="N1041" t="s">
        <v>461</v>
      </c>
      <c r="O1041" t="s">
        <v>462</v>
      </c>
      <c r="P1041" t="s">
        <v>38</v>
      </c>
      <c r="Q1041" t="s">
        <v>88</v>
      </c>
      <c r="R1041">
        <v>2</v>
      </c>
      <c r="S1041" t="s">
        <v>45</v>
      </c>
      <c r="T1041" t="str" s="2">
        <f>=HYPERLINK("http://demo.enginatics.com:80/ecc/user/applications/log/61969.log","http://demo.enginatics.com:80/ecc/user/applications/log/61969.log")</f>
        <v>"http://demo.enginatics.com:80/ecc/user/applications/log/61969.log")</v>
      </c>
      <c r="U1041">
        <v>61971</v>
      </c>
      <c r="V1041" t="s">
        <v>38</v>
      </c>
      <c r="W1041" t="s">
        <v>88</v>
      </c>
      <c r="X1041">
        <v>2</v>
      </c>
      <c r="Y1041">
        <v>0</v>
      </c>
      <c r="Z1041" t="s">
        <v>46</v>
      </c>
      <c r="AA1041">
        <v>61972</v>
      </c>
      <c r="AB1041" t="s">
        <v>961</v>
      </c>
      <c r="AC1041" t="s">
        <v>68</v>
      </c>
      <c r="AD1041" t="s">
        <v>38</v>
      </c>
      <c r="AE1041" t="s">
        <v>49</v>
      </c>
      <c r="AF1041" t="s">
        <v>88</v>
      </c>
      <c r="AG1041">
        <v>2</v>
      </c>
      <c r="AH1041">
        <v>1</v>
      </c>
      <c r="AI1041" t="s">
        <v>51</v>
      </c>
      <c r="AJ1041" t="s">
        <v>51</v>
      </c>
      <c r="AK1041" t="s">
        <v>51</v>
      </c>
    </row>
    <row r="1042" spans="1:37" x14ac:dyDescent="0.2">
      <c r="A1042">
        <v>61944</v>
      </c>
      <c r="B1042" t="s">
        <v>37</v>
      </c>
      <c r="C1042" t="s">
        <v>38</v>
      </c>
      <c r="D1042" t="s">
        <v>464</v>
      </c>
      <c r="E1042" t="s">
        <v>40</v>
      </c>
      <c r="G1042" s="4">
        <v>43947.584837962963</v>
      </c>
      <c r="H1042" s="4">
        <v>43947.584965277778</v>
      </c>
      <c r="I1042" t="s">
        <v>337</v>
      </c>
      <c r="J1042" s="5">
        <v>11.00000000000000000000000000000000000002</v>
      </c>
      <c r="K1042" t="s">
        <v>38</v>
      </c>
      <c r="M1042">
        <v>61966</v>
      </c>
      <c r="N1042" t="s">
        <v>465</v>
      </c>
      <c r="O1042" t="s">
        <v>466</v>
      </c>
      <c r="P1042" t="s">
        <v>38</v>
      </c>
      <c r="Q1042" t="s">
        <v>75</v>
      </c>
      <c r="R1042">
        <v>6</v>
      </c>
      <c r="S1042" t="s">
        <v>45</v>
      </c>
      <c r="T1042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2">
        <v>61967</v>
      </c>
      <c r="V1042" t="s">
        <v>38</v>
      </c>
      <c r="W1042" t="s">
        <v>78</v>
      </c>
      <c r="X1042">
        <v>5</v>
      </c>
      <c r="Y1042">
        <v>0</v>
      </c>
      <c r="Z1042" t="s">
        <v>46</v>
      </c>
      <c r="AA1042">
        <v>61968</v>
      </c>
      <c r="AB1042" t="s">
        <v>467</v>
      </c>
      <c r="AC1042" t="s">
        <v>68</v>
      </c>
      <c r="AD1042" t="s">
        <v>38</v>
      </c>
      <c r="AE1042" t="s">
        <v>468</v>
      </c>
      <c r="AF1042" t="s">
        <v>78</v>
      </c>
      <c r="AG1042">
        <v>5</v>
      </c>
      <c r="AH1042">
        <v>0</v>
      </c>
      <c r="AI1042" t="s">
        <v>469</v>
      </c>
      <c r="AJ1042" t="s">
        <v>51</v>
      </c>
      <c r="AK1042" t="s">
        <v>469</v>
      </c>
    </row>
    <row r="1043" spans="1:37" x14ac:dyDescent="0.2">
      <c r="A1043">
        <v>61944</v>
      </c>
      <c r="B1043" t="s">
        <v>37</v>
      </c>
      <c r="C1043" t="s">
        <v>38</v>
      </c>
      <c r="D1043" t="s">
        <v>464</v>
      </c>
      <c r="E1043" t="s">
        <v>40</v>
      </c>
      <c r="G1043" s="4">
        <v>43947.584837962963</v>
      </c>
      <c r="H1043" s="4">
        <v>43947.584965277778</v>
      </c>
      <c r="I1043" t="s">
        <v>337</v>
      </c>
      <c r="J1043" s="5">
        <v>11.00000000000000000000000000000000000002</v>
      </c>
      <c r="K1043" t="s">
        <v>38</v>
      </c>
      <c r="M1043">
        <v>61963</v>
      </c>
      <c r="N1043" t="s">
        <v>470</v>
      </c>
      <c r="O1043" t="s">
        <v>471</v>
      </c>
      <c r="P1043" t="s">
        <v>38</v>
      </c>
      <c r="Q1043" t="s">
        <v>50</v>
      </c>
      <c r="R1043">
        <v>0</v>
      </c>
      <c r="S1043" t="s">
        <v>45</v>
      </c>
      <c r="T1043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3">
        <v>61964</v>
      </c>
      <c r="V1043" t="s">
        <v>38</v>
      </c>
      <c r="W1043" t="s">
        <v>50</v>
      </c>
      <c r="X1043">
        <v>0</v>
      </c>
      <c r="Y1043">
        <v>0</v>
      </c>
      <c r="Z1043" t="s">
        <v>46</v>
      </c>
      <c r="AA1043">
        <v>61965</v>
      </c>
      <c r="AB1043" t="s">
        <v>472</v>
      </c>
      <c r="AC1043" t="s">
        <v>68</v>
      </c>
      <c r="AD1043" t="s">
        <v>38</v>
      </c>
      <c r="AE1043" t="s">
        <v>49</v>
      </c>
      <c r="AF1043" t="s">
        <v>50</v>
      </c>
      <c r="AG1043">
        <v>0</v>
      </c>
      <c r="AH1043">
        <v>0</v>
      </c>
      <c r="AI1043" t="s">
        <v>51</v>
      </c>
      <c r="AJ1043" t="s">
        <v>51</v>
      </c>
      <c r="AK1043" t="s">
        <v>51</v>
      </c>
    </row>
    <row r="1044" spans="1:37" x14ac:dyDescent="0.2">
      <c r="A1044">
        <v>61944</v>
      </c>
      <c r="B1044" t="s">
        <v>37</v>
      </c>
      <c r="C1044" t="s">
        <v>38</v>
      </c>
      <c r="D1044" t="s">
        <v>464</v>
      </c>
      <c r="E1044" t="s">
        <v>40</v>
      </c>
      <c r="G1044" s="4">
        <v>43947.584837962963</v>
      </c>
      <c r="H1044" s="4">
        <v>43947.584965277778</v>
      </c>
      <c r="I1044" t="s">
        <v>337</v>
      </c>
      <c r="J1044" s="5">
        <v>11.00000000000000000000000000000000000002</v>
      </c>
      <c r="K1044" t="s">
        <v>38</v>
      </c>
      <c r="M1044">
        <v>61960</v>
      </c>
      <c r="N1044" t="s">
        <v>473</v>
      </c>
      <c r="O1044" t="s">
        <v>474</v>
      </c>
      <c r="P1044" t="s">
        <v>38</v>
      </c>
      <c r="Q1044" t="s">
        <v>85</v>
      </c>
      <c r="R1044">
        <v>3</v>
      </c>
      <c r="S1044" t="s">
        <v>45</v>
      </c>
      <c r="T1044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4">
        <v>61961</v>
      </c>
      <c r="V1044" t="s">
        <v>38</v>
      </c>
      <c r="W1044" t="s">
        <v>85</v>
      </c>
      <c r="X1044">
        <v>3</v>
      </c>
      <c r="Y1044">
        <v>0</v>
      </c>
      <c r="Z1044" t="s">
        <v>46</v>
      </c>
      <c r="AA1044">
        <v>61962</v>
      </c>
      <c r="AB1044" t="s">
        <v>475</v>
      </c>
      <c r="AC1044" t="s">
        <v>68</v>
      </c>
      <c r="AD1044" t="s">
        <v>38</v>
      </c>
      <c r="AE1044" t="s">
        <v>476</v>
      </c>
      <c r="AF1044" t="s">
        <v>85</v>
      </c>
      <c r="AG1044">
        <v>3</v>
      </c>
      <c r="AH1044">
        <v>0</v>
      </c>
      <c r="AI1044" t="s">
        <v>477</v>
      </c>
      <c r="AJ1044" t="s">
        <v>51</v>
      </c>
      <c r="AK1044" t="s">
        <v>477</v>
      </c>
    </row>
    <row r="1045" spans="1:37" x14ac:dyDescent="0.2">
      <c r="A1045">
        <v>61944</v>
      </c>
      <c r="B1045" t="s">
        <v>37</v>
      </c>
      <c r="C1045" t="s">
        <v>38</v>
      </c>
      <c r="D1045" t="s">
        <v>464</v>
      </c>
      <c r="E1045" t="s">
        <v>40</v>
      </c>
      <c r="G1045" s="4">
        <v>43947.584837962963</v>
      </c>
      <c r="H1045" s="4">
        <v>43947.584965277778</v>
      </c>
      <c r="I1045" t="s">
        <v>337</v>
      </c>
      <c r="J1045" s="5">
        <v>11.00000000000000000000000000000000000002</v>
      </c>
      <c r="K1045" t="s">
        <v>38</v>
      </c>
      <c r="M1045">
        <v>61957</v>
      </c>
      <c r="N1045" t="s">
        <v>478</v>
      </c>
      <c r="O1045" t="s">
        <v>479</v>
      </c>
      <c r="P1045" t="s">
        <v>38</v>
      </c>
      <c r="Q1045" t="s">
        <v>50</v>
      </c>
      <c r="R1045">
        <v>.9999999999999999999999999999999999999996</v>
      </c>
      <c r="S1045" t="s">
        <v>45</v>
      </c>
      <c r="T1045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5">
        <v>61958</v>
      </c>
      <c r="V1045" t="s">
        <v>38</v>
      </c>
      <c r="W1045" t="s">
        <v>50</v>
      </c>
      <c r="X1045">
        <v>.9999999999999999999999999999999999999996</v>
      </c>
      <c r="Y1045">
        <v>0</v>
      </c>
      <c r="Z1045" t="s">
        <v>46</v>
      </c>
      <c r="AA1045">
        <v>61959</v>
      </c>
      <c r="AB1045" t="s">
        <v>480</v>
      </c>
      <c r="AC1045" t="s">
        <v>68</v>
      </c>
      <c r="AD1045" t="s">
        <v>38</v>
      </c>
      <c r="AE1045" t="s">
        <v>49</v>
      </c>
      <c r="AF1045" t="s">
        <v>50</v>
      </c>
      <c r="AG1045">
        <v>.9999999999999999999999999999999999999996</v>
      </c>
      <c r="AH1045">
        <v>0</v>
      </c>
      <c r="AI1045" t="s">
        <v>51</v>
      </c>
      <c r="AJ1045" t="s">
        <v>51</v>
      </c>
      <c r="AK1045" t="s">
        <v>51</v>
      </c>
    </row>
    <row r="1046" spans="1:37" x14ac:dyDescent="0.2">
      <c r="A1046">
        <v>61944</v>
      </c>
      <c r="B1046" t="s">
        <v>37</v>
      </c>
      <c r="C1046" t="s">
        <v>38</v>
      </c>
      <c r="D1046" t="s">
        <v>464</v>
      </c>
      <c r="E1046" t="s">
        <v>40</v>
      </c>
      <c r="G1046" s="4">
        <v>43947.584837962963</v>
      </c>
      <c r="H1046" s="4">
        <v>43947.584965277778</v>
      </c>
      <c r="I1046" t="s">
        <v>337</v>
      </c>
      <c r="J1046" s="5">
        <v>11.00000000000000000000000000000000000002</v>
      </c>
      <c r="K1046" t="s">
        <v>38</v>
      </c>
      <c r="M1046">
        <v>61954</v>
      </c>
      <c r="N1046" t="s">
        <v>481</v>
      </c>
      <c r="O1046" t="s">
        <v>482</v>
      </c>
      <c r="P1046" t="s">
        <v>38</v>
      </c>
      <c r="Q1046" t="s">
        <v>50</v>
      </c>
      <c r="R1046">
        <v>0</v>
      </c>
      <c r="S1046" t="s">
        <v>45</v>
      </c>
      <c r="T1046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6">
        <v>61955</v>
      </c>
      <c r="V1046" t="s">
        <v>38</v>
      </c>
      <c r="W1046" t="s">
        <v>50</v>
      </c>
      <c r="X1046">
        <v>0</v>
      </c>
      <c r="Y1046">
        <v>0</v>
      </c>
      <c r="Z1046" t="s">
        <v>46</v>
      </c>
      <c r="AA1046">
        <v>61956</v>
      </c>
      <c r="AB1046" t="s">
        <v>483</v>
      </c>
      <c r="AC1046" t="s">
        <v>68</v>
      </c>
      <c r="AD1046" t="s">
        <v>38</v>
      </c>
      <c r="AE1046" t="s">
        <v>49</v>
      </c>
      <c r="AF1046" t="s">
        <v>50</v>
      </c>
      <c r="AG1046">
        <v>0</v>
      </c>
      <c r="AH1046">
        <v>0</v>
      </c>
      <c r="AI1046" t="s">
        <v>51</v>
      </c>
      <c r="AJ1046" t="s">
        <v>51</v>
      </c>
      <c r="AK1046" t="s">
        <v>51</v>
      </c>
    </row>
    <row r="1047" spans="1:37" x14ac:dyDescent="0.2">
      <c r="A1047">
        <v>61944</v>
      </c>
      <c r="B1047" t="s">
        <v>37</v>
      </c>
      <c r="C1047" t="s">
        <v>38</v>
      </c>
      <c r="D1047" t="s">
        <v>464</v>
      </c>
      <c r="E1047" t="s">
        <v>40</v>
      </c>
      <c r="G1047" s="4">
        <v>43947.584837962963</v>
      </c>
      <c r="H1047" s="4">
        <v>43947.584965277778</v>
      </c>
      <c r="I1047" t="s">
        <v>337</v>
      </c>
      <c r="J1047" s="5">
        <v>11.00000000000000000000000000000000000002</v>
      </c>
      <c r="K1047" t="s">
        <v>38</v>
      </c>
      <c r="M1047">
        <v>61951</v>
      </c>
      <c r="N1047" t="s">
        <v>484</v>
      </c>
      <c r="O1047" t="s">
        <v>485</v>
      </c>
      <c r="P1047" t="s">
        <v>38</v>
      </c>
      <c r="Q1047" t="s">
        <v>50</v>
      </c>
      <c r="R1047">
        <v>.9999999999999999999999999999999999999996</v>
      </c>
      <c r="S1047" t="s">
        <v>45</v>
      </c>
      <c r="T1047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7">
        <v>61952</v>
      </c>
      <c r="V1047" t="s">
        <v>38</v>
      </c>
      <c r="W1047" t="s">
        <v>50</v>
      </c>
      <c r="X1047">
        <v>.9999999999999999999999999999999999999996</v>
      </c>
      <c r="Y1047">
        <v>0</v>
      </c>
      <c r="Z1047" t="s">
        <v>46</v>
      </c>
      <c r="AA1047">
        <v>61953</v>
      </c>
      <c r="AB1047" t="s">
        <v>1194</v>
      </c>
      <c r="AC1047" t="s">
        <v>68</v>
      </c>
      <c r="AD1047" t="s">
        <v>38</v>
      </c>
      <c r="AE1047" t="s">
        <v>49</v>
      </c>
      <c r="AF1047" t="s">
        <v>50</v>
      </c>
      <c r="AG1047">
        <v>.9999999999999999999999999999999999999996</v>
      </c>
      <c r="AH1047">
        <v>0</v>
      </c>
      <c r="AI1047" t="s">
        <v>51</v>
      </c>
      <c r="AJ1047" t="s">
        <v>51</v>
      </c>
      <c r="AK1047" t="s">
        <v>51</v>
      </c>
    </row>
    <row r="1048" spans="1:37" x14ac:dyDescent="0.2">
      <c r="A1048">
        <v>61944</v>
      </c>
      <c r="B1048" t="s">
        <v>37</v>
      </c>
      <c r="C1048" t="s">
        <v>38</v>
      </c>
      <c r="D1048" t="s">
        <v>464</v>
      </c>
      <c r="E1048" t="s">
        <v>40</v>
      </c>
      <c r="G1048" s="4">
        <v>43947.584837962963</v>
      </c>
      <c r="H1048" s="4">
        <v>43947.584965277778</v>
      </c>
      <c r="I1048" t="s">
        <v>337</v>
      </c>
      <c r="J1048" s="5">
        <v>11.00000000000000000000000000000000000002</v>
      </c>
      <c r="K1048" t="s">
        <v>38</v>
      </c>
      <c r="M1048">
        <v>61948</v>
      </c>
      <c r="N1048" t="s">
        <v>487</v>
      </c>
      <c r="O1048" t="s">
        <v>488</v>
      </c>
      <c r="P1048" t="s">
        <v>38</v>
      </c>
      <c r="Q1048" t="s">
        <v>50</v>
      </c>
      <c r="R1048">
        <v>0</v>
      </c>
      <c r="S1048" t="s">
        <v>45</v>
      </c>
      <c r="T1048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8">
        <v>61949</v>
      </c>
      <c r="V1048" t="s">
        <v>38</v>
      </c>
      <c r="W1048" t="s">
        <v>50</v>
      </c>
      <c r="X1048">
        <v>0</v>
      </c>
      <c r="Y1048">
        <v>0</v>
      </c>
      <c r="Z1048" t="s">
        <v>46</v>
      </c>
      <c r="AA1048">
        <v>61950</v>
      </c>
      <c r="AB1048" t="s">
        <v>489</v>
      </c>
      <c r="AC1048" t="s">
        <v>68</v>
      </c>
      <c r="AD1048" t="s">
        <v>38</v>
      </c>
      <c r="AE1048" t="s">
        <v>49</v>
      </c>
      <c r="AF1048" t="s">
        <v>50</v>
      </c>
      <c r="AG1048">
        <v>0</v>
      </c>
      <c r="AH1048">
        <v>0</v>
      </c>
      <c r="AI1048" t="s">
        <v>51</v>
      </c>
      <c r="AJ1048" t="s">
        <v>51</v>
      </c>
      <c r="AK1048" t="s">
        <v>51</v>
      </c>
    </row>
    <row r="1049" spans="1:37" x14ac:dyDescent="0.2">
      <c r="A1049">
        <v>61944</v>
      </c>
      <c r="B1049" t="s">
        <v>37</v>
      </c>
      <c r="C1049" t="s">
        <v>38</v>
      </c>
      <c r="D1049" t="s">
        <v>464</v>
      </c>
      <c r="E1049" t="s">
        <v>40</v>
      </c>
      <c r="G1049" s="4">
        <v>43947.584837962963</v>
      </c>
      <c r="H1049" s="4">
        <v>43947.584965277778</v>
      </c>
      <c r="I1049" t="s">
        <v>337</v>
      </c>
      <c r="J1049" s="5">
        <v>11.00000000000000000000000000000000000002</v>
      </c>
      <c r="K1049" t="s">
        <v>38</v>
      </c>
      <c r="M1049">
        <v>61945</v>
      </c>
      <c r="N1049" t="s">
        <v>490</v>
      </c>
      <c r="O1049" t="s">
        <v>491</v>
      </c>
      <c r="P1049" t="s">
        <v>38</v>
      </c>
      <c r="Q1049" t="s">
        <v>50</v>
      </c>
      <c r="R1049">
        <v>0</v>
      </c>
      <c r="S1049" t="s">
        <v>45</v>
      </c>
      <c r="T1049" t="str" s="2">
        <f>=HYPERLINK("http://demo.enginatics.com:80/ecc/user/applications/log/61944.log","http://demo.enginatics.com:80/ecc/user/applications/log/61944.log")</f>
        <v>"http://demo.enginatics.com:80/ecc/user/applications/log/61944.log")</v>
      </c>
      <c r="U1049">
        <v>61946</v>
      </c>
      <c r="V1049" t="s">
        <v>38</v>
      </c>
      <c r="W1049" t="s">
        <v>50</v>
      </c>
      <c r="X1049">
        <v>0</v>
      </c>
      <c r="Y1049">
        <v>0</v>
      </c>
      <c r="Z1049" t="s">
        <v>46</v>
      </c>
      <c r="AA1049">
        <v>61947</v>
      </c>
      <c r="AB1049" t="s">
        <v>1195</v>
      </c>
      <c r="AC1049" t="s">
        <v>68</v>
      </c>
      <c r="AD1049" t="s">
        <v>38</v>
      </c>
      <c r="AE1049" t="s">
        <v>49</v>
      </c>
      <c r="AF1049" t="s">
        <v>50</v>
      </c>
      <c r="AG1049">
        <v>0</v>
      </c>
      <c r="AH1049">
        <v>0</v>
      </c>
      <c r="AI1049" t="s">
        <v>51</v>
      </c>
      <c r="AJ1049" t="s">
        <v>51</v>
      </c>
      <c r="AK1049" t="s">
        <v>51</v>
      </c>
    </row>
    <row r="1050" spans="1:37" x14ac:dyDescent="0.2">
      <c r="A1050">
        <v>61919</v>
      </c>
      <c r="B1050" t="s">
        <v>37</v>
      </c>
      <c r="C1050" t="s">
        <v>38</v>
      </c>
      <c r="D1050" t="s">
        <v>464</v>
      </c>
      <c r="E1050" t="s">
        <v>40</v>
      </c>
      <c r="G1050" s="4">
        <v>43947.581990740741</v>
      </c>
      <c r="H1050" s="4">
        <v>43947.582152777778</v>
      </c>
      <c r="I1050" t="s">
        <v>315</v>
      </c>
      <c r="J1050" s="5">
        <v>14</v>
      </c>
      <c r="K1050" t="s">
        <v>38</v>
      </c>
      <c r="M1050">
        <v>61941</v>
      </c>
      <c r="N1050" t="s">
        <v>465</v>
      </c>
      <c r="O1050" t="s">
        <v>466</v>
      </c>
      <c r="P1050" t="s">
        <v>38</v>
      </c>
      <c r="Q1050" t="s">
        <v>75</v>
      </c>
      <c r="R1050">
        <v>6</v>
      </c>
      <c r="S1050" t="s">
        <v>45</v>
      </c>
      <c r="T1050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0">
        <v>61942</v>
      </c>
      <c r="V1050" t="s">
        <v>38</v>
      </c>
      <c r="W1050" t="s">
        <v>78</v>
      </c>
      <c r="X1050">
        <v>5</v>
      </c>
      <c r="Y1050">
        <v>0</v>
      </c>
      <c r="Z1050" t="s">
        <v>46</v>
      </c>
      <c r="AA1050">
        <v>61943</v>
      </c>
      <c r="AB1050" t="s">
        <v>467</v>
      </c>
      <c r="AC1050" t="s">
        <v>68</v>
      </c>
      <c r="AD1050" t="s">
        <v>38</v>
      </c>
      <c r="AE1050" t="s">
        <v>468</v>
      </c>
      <c r="AF1050" t="s">
        <v>44</v>
      </c>
      <c r="AG1050">
        <v>4</v>
      </c>
      <c r="AH1050">
        <v>0</v>
      </c>
      <c r="AI1050" t="s">
        <v>469</v>
      </c>
      <c r="AJ1050" t="s">
        <v>51</v>
      </c>
      <c r="AK1050" t="s">
        <v>469</v>
      </c>
    </row>
    <row r="1051" spans="1:37" x14ac:dyDescent="0.2">
      <c r="A1051">
        <v>61919</v>
      </c>
      <c r="B1051" t="s">
        <v>37</v>
      </c>
      <c r="C1051" t="s">
        <v>38</v>
      </c>
      <c r="D1051" t="s">
        <v>464</v>
      </c>
      <c r="E1051" t="s">
        <v>40</v>
      </c>
      <c r="G1051" s="4">
        <v>43947.581990740741</v>
      </c>
      <c r="H1051" s="4">
        <v>43947.582152777778</v>
      </c>
      <c r="I1051" t="s">
        <v>315</v>
      </c>
      <c r="J1051" s="5">
        <v>14</v>
      </c>
      <c r="K1051" t="s">
        <v>38</v>
      </c>
      <c r="M1051">
        <v>61938</v>
      </c>
      <c r="N1051" t="s">
        <v>470</v>
      </c>
      <c r="O1051" t="s">
        <v>471</v>
      </c>
      <c r="P1051" t="s">
        <v>38</v>
      </c>
      <c r="Q1051" t="s">
        <v>50</v>
      </c>
      <c r="R1051">
        <v>0</v>
      </c>
      <c r="S1051" t="s">
        <v>45</v>
      </c>
      <c r="T1051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1">
        <v>61939</v>
      </c>
      <c r="V1051" t="s">
        <v>38</v>
      </c>
      <c r="W1051" t="s">
        <v>50</v>
      </c>
      <c r="X1051">
        <v>0</v>
      </c>
      <c r="Y1051">
        <v>0</v>
      </c>
      <c r="Z1051" t="s">
        <v>46</v>
      </c>
      <c r="AA1051">
        <v>61940</v>
      </c>
      <c r="AB1051" t="s">
        <v>472</v>
      </c>
      <c r="AC1051" t="s">
        <v>68</v>
      </c>
      <c r="AD1051" t="s">
        <v>38</v>
      </c>
      <c r="AE1051" t="s">
        <v>49</v>
      </c>
      <c r="AF1051" t="s">
        <v>50</v>
      </c>
      <c r="AG1051">
        <v>0</v>
      </c>
      <c r="AH1051">
        <v>0</v>
      </c>
      <c r="AI1051" t="s">
        <v>51</v>
      </c>
      <c r="AJ1051" t="s">
        <v>51</v>
      </c>
      <c r="AK1051" t="s">
        <v>51</v>
      </c>
    </row>
    <row r="1052" spans="1:37" x14ac:dyDescent="0.2">
      <c r="A1052">
        <v>61919</v>
      </c>
      <c r="B1052" t="s">
        <v>37</v>
      </c>
      <c r="C1052" t="s">
        <v>38</v>
      </c>
      <c r="D1052" t="s">
        <v>464</v>
      </c>
      <c r="E1052" t="s">
        <v>40</v>
      </c>
      <c r="G1052" s="4">
        <v>43947.581990740741</v>
      </c>
      <c r="H1052" s="4">
        <v>43947.582152777778</v>
      </c>
      <c r="I1052" t="s">
        <v>315</v>
      </c>
      <c r="J1052" s="5">
        <v>14</v>
      </c>
      <c r="K1052" t="s">
        <v>38</v>
      </c>
      <c r="M1052">
        <v>61935</v>
      </c>
      <c r="N1052" t="s">
        <v>473</v>
      </c>
      <c r="O1052" t="s">
        <v>474</v>
      </c>
      <c r="P1052" t="s">
        <v>38</v>
      </c>
      <c r="Q1052" t="s">
        <v>85</v>
      </c>
      <c r="R1052">
        <v>3</v>
      </c>
      <c r="S1052" t="s">
        <v>45</v>
      </c>
      <c r="T1052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2">
        <v>61936</v>
      </c>
      <c r="V1052" t="s">
        <v>38</v>
      </c>
      <c r="W1052" t="s">
        <v>85</v>
      </c>
      <c r="X1052">
        <v>3</v>
      </c>
      <c r="Y1052">
        <v>0</v>
      </c>
      <c r="Z1052" t="s">
        <v>46</v>
      </c>
      <c r="AA1052">
        <v>61937</v>
      </c>
      <c r="AB1052" t="s">
        <v>475</v>
      </c>
      <c r="AC1052" t="s">
        <v>68</v>
      </c>
      <c r="AD1052" t="s">
        <v>38</v>
      </c>
      <c r="AE1052" t="s">
        <v>476</v>
      </c>
      <c r="AF1052" t="s">
        <v>85</v>
      </c>
      <c r="AG1052">
        <v>3</v>
      </c>
      <c r="AH1052">
        <v>0</v>
      </c>
      <c r="AI1052" t="s">
        <v>477</v>
      </c>
      <c r="AJ1052" t="s">
        <v>51</v>
      </c>
      <c r="AK1052" t="s">
        <v>477</v>
      </c>
    </row>
    <row r="1053" spans="1:37" x14ac:dyDescent="0.2">
      <c r="A1053">
        <v>61919</v>
      </c>
      <c r="B1053" t="s">
        <v>37</v>
      </c>
      <c r="C1053" t="s">
        <v>38</v>
      </c>
      <c r="D1053" t="s">
        <v>464</v>
      </c>
      <c r="E1053" t="s">
        <v>40</v>
      </c>
      <c r="G1053" s="4">
        <v>43947.581990740741</v>
      </c>
      <c r="H1053" s="4">
        <v>43947.582152777778</v>
      </c>
      <c r="I1053" t="s">
        <v>315</v>
      </c>
      <c r="J1053" s="5">
        <v>14</v>
      </c>
      <c r="K1053" t="s">
        <v>38</v>
      </c>
      <c r="M1053">
        <v>61932</v>
      </c>
      <c r="N1053" t="s">
        <v>478</v>
      </c>
      <c r="O1053" t="s">
        <v>479</v>
      </c>
      <c r="P1053" t="s">
        <v>38</v>
      </c>
      <c r="Q1053" t="s">
        <v>50</v>
      </c>
      <c r="R1053">
        <v>.9999999999999999999999999999999999999996</v>
      </c>
      <c r="S1053" t="s">
        <v>45</v>
      </c>
      <c r="T1053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3">
        <v>61933</v>
      </c>
      <c r="V1053" t="s">
        <v>38</v>
      </c>
      <c r="W1053" t="s">
        <v>50</v>
      </c>
      <c r="X1053">
        <v>.9999999999999999999999999999999999999996</v>
      </c>
      <c r="Y1053">
        <v>0</v>
      </c>
      <c r="Z1053" t="s">
        <v>46</v>
      </c>
      <c r="AA1053">
        <v>61934</v>
      </c>
      <c r="AB1053" t="s">
        <v>480</v>
      </c>
      <c r="AC1053" t="s">
        <v>68</v>
      </c>
      <c r="AD1053" t="s">
        <v>38</v>
      </c>
      <c r="AE1053" t="s">
        <v>49</v>
      </c>
      <c r="AF1053" t="s">
        <v>50</v>
      </c>
      <c r="AG1053">
        <v>.9999999999999999999999999999999999999996</v>
      </c>
      <c r="AH1053">
        <v>0</v>
      </c>
      <c r="AI1053" t="s">
        <v>51</v>
      </c>
      <c r="AJ1053" t="s">
        <v>51</v>
      </c>
      <c r="AK1053" t="s">
        <v>51</v>
      </c>
    </row>
    <row r="1054" spans="1:37" x14ac:dyDescent="0.2">
      <c r="A1054">
        <v>61919</v>
      </c>
      <c r="B1054" t="s">
        <v>37</v>
      </c>
      <c r="C1054" t="s">
        <v>38</v>
      </c>
      <c r="D1054" t="s">
        <v>464</v>
      </c>
      <c r="E1054" t="s">
        <v>40</v>
      </c>
      <c r="G1054" s="4">
        <v>43947.581990740741</v>
      </c>
      <c r="H1054" s="4">
        <v>43947.582152777778</v>
      </c>
      <c r="I1054" t="s">
        <v>315</v>
      </c>
      <c r="J1054" s="5">
        <v>14</v>
      </c>
      <c r="K1054" t="s">
        <v>38</v>
      </c>
      <c r="M1054">
        <v>61929</v>
      </c>
      <c r="N1054" t="s">
        <v>481</v>
      </c>
      <c r="O1054" t="s">
        <v>482</v>
      </c>
      <c r="P1054" t="s">
        <v>38</v>
      </c>
      <c r="Q1054" t="s">
        <v>50</v>
      </c>
      <c r="R1054">
        <v>0</v>
      </c>
      <c r="S1054" t="s">
        <v>45</v>
      </c>
      <c r="T1054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4">
        <v>61930</v>
      </c>
      <c r="V1054" t="s">
        <v>38</v>
      </c>
      <c r="W1054" t="s">
        <v>50</v>
      </c>
      <c r="X1054">
        <v>0</v>
      </c>
      <c r="Y1054">
        <v>0</v>
      </c>
      <c r="Z1054" t="s">
        <v>46</v>
      </c>
      <c r="AA1054">
        <v>61931</v>
      </c>
      <c r="AB1054" t="s">
        <v>483</v>
      </c>
      <c r="AC1054" t="s">
        <v>68</v>
      </c>
      <c r="AD1054" t="s">
        <v>38</v>
      </c>
      <c r="AE1054" t="s">
        <v>49</v>
      </c>
      <c r="AF1054" t="s">
        <v>50</v>
      </c>
      <c r="AG1054">
        <v>0</v>
      </c>
      <c r="AH1054">
        <v>0</v>
      </c>
      <c r="AI1054" t="s">
        <v>51</v>
      </c>
      <c r="AJ1054" t="s">
        <v>51</v>
      </c>
      <c r="AK1054" t="s">
        <v>51</v>
      </c>
    </row>
    <row r="1055" spans="1:37" x14ac:dyDescent="0.2">
      <c r="A1055">
        <v>61919</v>
      </c>
      <c r="B1055" t="s">
        <v>37</v>
      </c>
      <c r="C1055" t="s">
        <v>38</v>
      </c>
      <c r="D1055" t="s">
        <v>464</v>
      </c>
      <c r="E1055" t="s">
        <v>40</v>
      </c>
      <c r="G1055" s="4">
        <v>43947.581990740741</v>
      </c>
      <c r="H1055" s="4">
        <v>43947.582152777778</v>
      </c>
      <c r="I1055" t="s">
        <v>315</v>
      </c>
      <c r="J1055" s="5">
        <v>14</v>
      </c>
      <c r="K1055" t="s">
        <v>38</v>
      </c>
      <c r="M1055">
        <v>61926</v>
      </c>
      <c r="N1055" t="s">
        <v>484</v>
      </c>
      <c r="O1055" t="s">
        <v>485</v>
      </c>
      <c r="P1055" t="s">
        <v>38</v>
      </c>
      <c r="Q1055" t="s">
        <v>50</v>
      </c>
      <c r="R1055">
        <v>0</v>
      </c>
      <c r="S1055" t="s">
        <v>45</v>
      </c>
      <c r="T1055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5">
        <v>61927</v>
      </c>
      <c r="V1055" t="s">
        <v>38</v>
      </c>
      <c r="W1055" t="s">
        <v>50</v>
      </c>
      <c r="X1055">
        <v>0</v>
      </c>
      <c r="Y1055">
        <v>0</v>
      </c>
      <c r="Z1055" t="s">
        <v>46</v>
      </c>
      <c r="AA1055">
        <v>61928</v>
      </c>
      <c r="AB1055" t="s">
        <v>1196</v>
      </c>
      <c r="AC1055" t="s">
        <v>68</v>
      </c>
      <c r="AD1055" t="s">
        <v>38</v>
      </c>
      <c r="AE1055" t="s">
        <v>49</v>
      </c>
      <c r="AF1055" t="s">
        <v>50</v>
      </c>
      <c r="AG1055">
        <v>0</v>
      </c>
      <c r="AH1055">
        <v>0</v>
      </c>
      <c r="AI1055" t="s">
        <v>51</v>
      </c>
      <c r="AJ1055" t="s">
        <v>51</v>
      </c>
      <c r="AK1055" t="s">
        <v>51</v>
      </c>
    </row>
    <row r="1056" spans="1:37" x14ac:dyDescent="0.2">
      <c r="A1056">
        <v>61919</v>
      </c>
      <c r="B1056" t="s">
        <v>37</v>
      </c>
      <c r="C1056" t="s">
        <v>38</v>
      </c>
      <c r="D1056" t="s">
        <v>464</v>
      </c>
      <c r="E1056" t="s">
        <v>40</v>
      </c>
      <c r="G1056" s="4">
        <v>43947.581990740741</v>
      </c>
      <c r="H1056" s="4">
        <v>43947.582152777778</v>
      </c>
      <c r="I1056" t="s">
        <v>315</v>
      </c>
      <c r="J1056" s="5">
        <v>14</v>
      </c>
      <c r="K1056" t="s">
        <v>38</v>
      </c>
      <c r="M1056">
        <v>61923</v>
      </c>
      <c r="N1056" t="s">
        <v>487</v>
      </c>
      <c r="O1056" t="s">
        <v>488</v>
      </c>
      <c r="P1056" t="s">
        <v>38</v>
      </c>
      <c r="Q1056" t="s">
        <v>50</v>
      </c>
      <c r="R1056">
        <v>.9999999999999999999999999999999999999996</v>
      </c>
      <c r="S1056" t="s">
        <v>45</v>
      </c>
      <c r="T1056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6">
        <v>61924</v>
      </c>
      <c r="V1056" t="s">
        <v>38</v>
      </c>
      <c r="W1056" t="s">
        <v>50</v>
      </c>
      <c r="X1056">
        <v>.9999999999999999999999999999999999999996</v>
      </c>
      <c r="Y1056">
        <v>0</v>
      </c>
      <c r="Z1056" t="s">
        <v>46</v>
      </c>
      <c r="AA1056">
        <v>61925</v>
      </c>
      <c r="AB1056" t="s">
        <v>489</v>
      </c>
      <c r="AC1056" t="s">
        <v>68</v>
      </c>
      <c r="AD1056" t="s">
        <v>38</v>
      </c>
      <c r="AE1056" t="s">
        <v>49</v>
      </c>
      <c r="AF1056" t="s">
        <v>50</v>
      </c>
      <c r="AG1056">
        <v>.9999999999999999999999999999999999999996</v>
      </c>
      <c r="AH1056">
        <v>0</v>
      </c>
      <c r="AI1056" t="s">
        <v>51</v>
      </c>
      <c r="AJ1056" t="s">
        <v>51</v>
      </c>
      <c r="AK1056" t="s">
        <v>51</v>
      </c>
    </row>
    <row r="1057" spans="1:37" x14ac:dyDescent="0.2">
      <c r="A1057">
        <v>61919</v>
      </c>
      <c r="B1057" t="s">
        <v>37</v>
      </c>
      <c r="C1057" t="s">
        <v>38</v>
      </c>
      <c r="D1057" t="s">
        <v>464</v>
      </c>
      <c r="E1057" t="s">
        <v>40</v>
      </c>
      <c r="G1057" s="4">
        <v>43947.581990740741</v>
      </c>
      <c r="H1057" s="4">
        <v>43947.582152777778</v>
      </c>
      <c r="I1057" t="s">
        <v>315</v>
      </c>
      <c r="J1057" s="5">
        <v>14</v>
      </c>
      <c r="K1057" t="s">
        <v>38</v>
      </c>
      <c r="M1057">
        <v>61920</v>
      </c>
      <c r="N1057" t="s">
        <v>490</v>
      </c>
      <c r="O1057" t="s">
        <v>491</v>
      </c>
      <c r="P1057" t="s">
        <v>38</v>
      </c>
      <c r="Q1057" t="s">
        <v>50</v>
      </c>
      <c r="R1057">
        <v>0</v>
      </c>
      <c r="S1057" t="s">
        <v>45</v>
      </c>
      <c r="T1057" t="str" s="2">
        <f>=HYPERLINK("http://demo.enginatics.com:80/ecc/user/applications/log/61919.log","http://demo.enginatics.com:80/ecc/user/applications/log/61919.log")</f>
        <v>"http://demo.enginatics.com:80/ecc/user/applications/log/61919.log")</v>
      </c>
      <c r="U1057">
        <v>61921</v>
      </c>
      <c r="V1057" t="s">
        <v>38</v>
      </c>
      <c r="W1057" t="s">
        <v>50</v>
      </c>
      <c r="X1057">
        <v>0</v>
      </c>
      <c r="Y1057">
        <v>0</v>
      </c>
      <c r="Z1057" t="s">
        <v>46</v>
      </c>
      <c r="AA1057">
        <v>61922</v>
      </c>
      <c r="AB1057" t="s">
        <v>1197</v>
      </c>
      <c r="AC1057" t="s">
        <v>68</v>
      </c>
      <c r="AD1057" t="s">
        <v>38</v>
      </c>
      <c r="AE1057" t="s">
        <v>49</v>
      </c>
      <c r="AF1057" t="s">
        <v>50</v>
      </c>
      <c r="AG1057">
        <v>0</v>
      </c>
      <c r="AH1057">
        <v>0</v>
      </c>
      <c r="AI1057" t="s">
        <v>51</v>
      </c>
      <c r="AJ1057" t="s">
        <v>51</v>
      </c>
      <c r="AK1057" t="s">
        <v>51</v>
      </c>
    </row>
    <row r="1058" spans="1:37" x14ac:dyDescent="0.2">
      <c r="A1058">
        <v>61915</v>
      </c>
      <c r="B1058" t="s">
        <v>37</v>
      </c>
      <c r="C1058" t="s">
        <v>38</v>
      </c>
      <c r="D1058" t="s">
        <v>495</v>
      </c>
      <c r="E1058" t="s">
        <v>40</v>
      </c>
      <c r="G1058" s="4">
        <v>43947.579409722222</v>
      </c>
      <c r="H1058" s="4">
        <v>43947.579548611111</v>
      </c>
      <c r="I1058" t="s">
        <v>236</v>
      </c>
      <c r="J1058" s="5">
        <v>12.00000000000000000000000000000000000001</v>
      </c>
      <c r="K1058" t="s">
        <v>38</v>
      </c>
      <c r="M1058">
        <v>61916</v>
      </c>
      <c r="N1058" t="s">
        <v>496</v>
      </c>
      <c r="O1058" t="s">
        <v>497</v>
      </c>
      <c r="P1058" t="s">
        <v>38</v>
      </c>
      <c r="Q1058" t="s">
        <v>236</v>
      </c>
      <c r="R1058">
        <v>12.00000000000000000000000000000000000001</v>
      </c>
      <c r="S1058" t="s">
        <v>45</v>
      </c>
      <c r="T1058" t="str" s="2">
        <f>=HYPERLINK("http://demo.enginatics.com:80/ecc/user/applications/log/61915.log","http://demo.enginatics.com:80/ecc/user/applications/log/61915.log")</f>
        <v>"http://demo.enginatics.com:80/ecc/user/applications/log/61915.log")</v>
      </c>
      <c r="U1058">
        <v>61917</v>
      </c>
      <c r="V1058" t="s">
        <v>38</v>
      </c>
      <c r="W1058" t="s">
        <v>236</v>
      </c>
      <c r="X1058">
        <v>12.00000000000000000000000000000000000001</v>
      </c>
      <c r="Y1058">
        <v>0</v>
      </c>
      <c r="Z1058" t="s">
        <v>46</v>
      </c>
      <c r="AA1058">
        <v>61918</v>
      </c>
      <c r="AB1058" t="s">
        <v>1198</v>
      </c>
      <c r="AC1058" t="s">
        <v>97</v>
      </c>
      <c r="AD1058" t="s">
        <v>38</v>
      </c>
      <c r="AE1058" t="s">
        <v>49</v>
      </c>
      <c r="AF1058" t="s">
        <v>236</v>
      </c>
      <c r="AG1058">
        <v>12.00000000000000000000000000000000000001</v>
      </c>
      <c r="AH1058">
        <v>12</v>
      </c>
      <c r="AI1058" t="s">
        <v>51</v>
      </c>
      <c r="AJ1058" t="s">
        <v>51</v>
      </c>
      <c r="AK1058" t="s">
        <v>51</v>
      </c>
    </row>
    <row r="1059" spans="1:37" x14ac:dyDescent="0.2">
      <c r="A1059">
        <v>61905</v>
      </c>
      <c r="B1059" t="s">
        <v>37</v>
      </c>
      <c r="C1059" t="s">
        <v>38</v>
      </c>
      <c r="D1059" t="s">
        <v>499</v>
      </c>
      <c r="E1059" t="s">
        <v>40</v>
      </c>
      <c r="G1059" s="4">
        <v>43947.568946759259</v>
      </c>
      <c r="H1059" s="4">
        <v>43947.568981481481</v>
      </c>
      <c r="I1059" t="s">
        <v>85</v>
      </c>
      <c r="J1059" s="5">
        <v>3</v>
      </c>
      <c r="K1059" t="s">
        <v>38</v>
      </c>
      <c r="M1059">
        <v>61912</v>
      </c>
      <c r="N1059" t="s">
        <v>500</v>
      </c>
      <c r="O1059" t="s">
        <v>501</v>
      </c>
      <c r="P1059" t="s">
        <v>38</v>
      </c>
      <c r="Q1059" t="s">
        <v>50</v>
      </c>
      <c r="R1059">
        <v>0</v>
      </c>
      <c r="S1059" t="s">
        <v>45</v>
      </c>
      <c r="T1059" t="str" s="2">
        <f>=HYPERLINK("http://demo.enginatics.com:80/ecc/user/applications/log/61905.log","http://demo.enginatics.com:80/ecc/user/applications/log/61905.log")</f>
        <v>"http://demo.enginatics.com:80/ecc/user/applications/log/61905.log")</v>
      </c>
      <c r="U1059">
        <v>61913</v>
      </c>
      <c r="V1059" t="s">
        <v>38</v>
      </c>
      <c r="W1059" t="s">
        <v>50</v>
      </c>
      <c r="X1059">
        <v>0</v>
      </c>
      <c r="Y1059">
        <v>0</v>
      </c>
      <c r="Z1059" t="s">
        <v>46</v>
      </c>
      <c r="AA1059">
        <v>61914</v>
      </c>
      <c r="AB1059" t="s">
        <v>1199</v>
      </c>
      <c r="AC1059" t="s">
        <v>68</v>
      </c>
      <c r="AD1059" t="s">
        <v>38</v>
      </c>
      <c r="AE1059" t="s">
        <v>49</v>
      </c>
      <c r="AF1059" t="s">
        <v>50</v>
      </c>
      <c r="AG1059">
        <v>0</v>
      </c>
      <c r="AH1059">
        <v>0</v>
      </c>
      <c r="AI1059" t="s">
        <v>51</v>
      </c>
      <c r="AJ1059" t="s">
        <v>51</v>
      </c>
      <c r="AK1059" t="s">
        <v>51</v>
      </c>
    </row>
    <row r="1060" spans="1:37" x14ac:dyDescent="0.2">
      <c r="A1060">
        <v>61905</v>
      </c>
      <c r="B1060" t="s">
        <v>37</v>
      </c>
      <c r="C1060" t="s">
        <v>38</v>
      </c>
      <c r="D1060" t="s">
        <v>499</v>
      </c>
      <c r="E1060" t="s">
        <v>40</v>
      </c>
      <c r="G1060" s="4">
        <v>43947.568946759259</v>
      </c>
      <c r="H1060" s="4">
        <v>43947.568981481481</v>
      </c>
      <c r="I1060" t="s">
        <v>85</v>
      </c>
      <c r="J1060" s="5">
        <v>3</v>
      </c>
      <c r="K1060" t="s">
        <v>38</v>
      </c>
      <c r="M1060">
        <v>61909</v>
      </c>
      <c r="N1060" t="s">
        <v>503</v>
      </c>
      <c r="O1060" t="s">
        <v>504</v>
      </c>
      <c r="P1060" t="s">
        <v>38</v>
      </c>
      <c r="Q1060" t="s">
        <v>85</v>
      </c>
      <c r="R1060">
        <v>3</v>
      </c>
      <c r="S1060" t="s">
        <v>45</v>
      </c>
      <c r="T1060" t="str" s="2">
        <f>=HYPERLINK("http://demo.enginatics.com:80/ecc/user/applications/log/61905.log","http://demo.enginatics.com:80/ecc/user/applications/log/61905.log")</f>
        <v>"http://demo.enginatics.com:80/ecc/user/applications/log/61905.log")</v>
      </c>
      <c r="U1060">
        <v>61910</v>
      </c>
      <c r="V1060" t="s">
        <v>38</v>
      </c>
      <c r="W1060" t="s">
        <v>85</v>
      </c>
      <c r="X1060">
        <v>3</v>
      </c>
      <c r="Y1060">
        <v>0</v>
      </c>
      <c r="Z1060" t="s">
        <v>46</v>
      </c>
      <c r="AA1060">
        <v>61911</v>
      </c>
      <c r="AB1060" t="s">
        <v>505</v>
      </c>
      <c r="AC1060" t="s">
        <v>68</v>
      </c>
      <c r="AD1060" t="s">
        <v>38</v>
      </c>
      <c r="AE1060" t="s">
        <v>49</v>
      </c>
      <c r="AF1060" t="s">
        <v>85</v>
      </c>
      <c r="AG1060">
        <v>3</v>
      </c>
      <c r="AH1060">
        <v>1</v>
      </c>
      <c r="AI1060" t="s">
        <v>51</v>
      </c>
      <c r="AJ1060" t="s">
        <v>51</v>
      </c>
      <c r="AK1060" t="s">
        <v>51</v>
      </c>
    </row>
    <row r="1061" spans="1:37" x14ac:dyDescent="0.2">
      <c r="A1061">
        <v>61905</v>
      </c>
      <c r="B1061" t="s">
        <v>37</v>
      </c>
      <c r="C1061" t="s">
        <v>38</v>
      </c>
      <c r="D1061" t="s">
        <v>499</v>
      </c>
      <c r="E1061" t="s">
        <v>40</v>
      </c>
      <c r="G1061" s="4">
        <v>43947.568946759259</v>
      </c>
      <c r="H1061" s="4">
        <v>43947.568981481481</v>
      </c>
      <c r="I1061" t="s">
        <v>85</v>
      </c>
      <c r="J1061" s="5">
        <v>3</v>
      </c>
      <c r="K1061" t="s">
        <v>38</v>
      </c>
      <c r="M1061">
        <v>61906</v>
      </c>
      <c r="N1061" t="s">
        <v>506</v>
      </c>
      <c r="O1061" t="s">
        <v>507</v>
      </c>
      <c r="P1061" t="s">
        <v>38</v>
      </c>
      <c r="Q1061" t="s">
        <v>50</v>
      </c>
      <c r="R1061">
        <v>0</v>
      </c>
      <c r="S1061" t="s">
        <v>45</v>
      </c>
      <c r="T1061" t="str" s="2">
        <f>=HYPERLINK("http://demo.enginatics.com:80/ecc/user/applications/log/61905.log","http://demo.enginatics.com:80/ecc/user/applications/log/61905.log")</f>
        <v>"http://demo.enginatics.com:80/ecc/user/applications/log/61905.log")</v>
      </c>
      <c r="U1061">
        <v>61907</v>
      </c>
      <c r="V1061" t="s">
        <v>38</v>
      </c>
      <c r="W1061" t="s">
        <v>50</v>
      </c>
      <c r="X1061">
        <v>0</v>
      </c>
      <c r="Y1061">
        <v>0</v>
      </c>
      <c r="Z1061" t="s">
        <v>46</v>
      </c>
      <c r="AA1061">
        <v>61908</v>
      </c>
      <c r="AB1061" t="s">
        <v>1200</v>
      </c>
      <c r="AC1061" t="s">
        <v>68</v>
      </c>
      <c r="AD1061" t="s">
        <v>38</v>
      </c>
      <c r="AE1061" t="s">
        <v>49</v>
      </c>
      <c r="AF1061" t="s">
        <v>50</v>
      </c>
      <c r="AG1061">
        <v>0</v>
      </c>
      <c r="AH1061">
        <v>0</v>
      </c>
      <c r="AI1061" t="s">
        <v>51</v>
      </c>
      <c r="AJ1061" t="s">
        <v>51</v>
      </c>
      <c r="AK1061" t="s">
        <v>51</v>
      </c>
    </row>
    <row r="1062" spans="1:37" x14ac:dyDescent="0.2">
      <c r="A1062">
        <v>61877</v>
      </c>
      <c r="B1062" t="s">
        <v>37</v>
      </c>
      <c r="C1062" t="s">
        <v>38</v>
      </c>
      <c r="D1062" t="s">
        <v>509</v>
      </c>
      <c r="E1062" t="s">
        <v>40</v>
      </c>
      <c r="G1062" s="4">
        <v>43947.560023148148</v>
      </c>
      <c r="H1062" s="4">
        <v>43947.560266203704</v>
      </c>
      <c r="I1062" t="s">
        <v>510</v>
      </c>
      <c r="J1062" s="5">
        <v>21.00000000000000000000000000000000000004</v>
      </c>
      <c r="K1062" t="s">
        <v>38</v>
      </c>
      <c r="M1062">
        <v>61900</v>
      </c>
      <c r="N1062" t="s">
        <v>511</v>
      </c>
      <c r="O1062" t="s">
        <v>512</v>
      </c>
      <c r="P1062" t="s">
        <v>38</v>
      </c>
      <c r="Q1062" t="s">
        <v>85</v>
      </c>
      <c r="R1062">
        <v>3</v>
      </c>
      <c r="S1062" t="s">
        <v>45</v>
      </c>
      <c r="T1062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2">
        <v>61901</v>
      </c>
      <c r="V1062" t="s">
        <v>38</v>
      </c>
      <c r="W1062" t="s">
        <v>85</v>
      </c>
      <c r="X1062">
        <v>3</v>
      </c>
      <c r="Y1062">
        <v>2</v>
      </c>
      <c r="Z1062" t="s">
        <v>46</v>
      </c>
      <c r="AA1062">
        <v>61904</v>
      </c>
      <c r="AB1062" t="s">
        <v>1201</v>
      </c>
      <c r="AC1062" t="s">
        <v>97</v>
      </c>
      <c r="AD1062" t="s">
        <v>38</v>
      </c>
      <c r="AE1062" t="s">
        <v>49</v>
      </c>
      <c r="AF1062" t="s">
        <v>50</v>
      </c>
      <c r="AG1062">
        <v>0</v>
      </c>
      <c r="AH1062">
        <v>0</v>
      </c>
      <c r="AI1062" t="s">
        <v>51</v>
      </c>
      <c r="AJ1062" t="s">
        <v>51</v>
      </c>
      <c r="AK1062" t="s">
        <v>51</v>
      </c>
    </row>
    <row r="1063" spans="1:37" x14ac:dyDescent="0.2">
      <c r="A1063">
        <v>61877</v>
      </c>
      <c r="B1063" t="s">
        <v>37</v>
      </c>
      <c r="C1063" t="s">
        <v>38</v>
      </c>
      <c r="D1063" t="s">
        <v>509</v>
      </c>
      <c r="E1063" t="s">
        <v>40</v>
      </c>
      <c r="G1063" s="4">
        <v>43947.560023148148</v>
      </c>
      <c r="H1063" s="4">
        <v>43947.560266203704</v>
      </c>
      <c r="I1063" t="s">
        <v>510</v>
      </c>
      <c r="J1063" s="5">
        <v>21.00000000000000000000000000000000000004</v>
      </c>
      <c r="K1063" t="s">
        <v>38</v>
      </c>
      <c r="M1063">
        <v>61900</v>
      </c>
      <c r="N1063" t="s">
        <v>511</v>
      </c>
      <c r="O1063" t="s">
        <v>512</v>
      </c>
      <c r="P1063" t="s">
        <v>38</v>
      </c>
      <c r="Q1063" t="s">
        <v>85</v>
      </c>
      <c r="R1063">
        <v>3</v>
      </c>
      <c r="S1063" t="s">
        <v>45</v>
      </c>
      <c r="T1063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3">
        <v>61901</v>
      </c>
      <c r="V1063" t="s">
        <v>38</v>
      </c>
      <c r="W1063" t="s">
        <v>85</v>
      </c>
      <c r="X1063">
        <v>3</v>
      </c>
      <c r="Y1063">
        <v>2</v>
      </c>
      <c r="Z1063" t="s">
        <v>46</v>
      </c>
      <c r="AA1063">
        <v>61903</v>
      </c>
      <c r="AB1063" t="s">
        <v>514</v>
      </c>
      <c r="AC1063" t="s">
        <v>97</v>
      </c>
      <c r="AD1063" t="s">
        <v>38</v>
      </c>
      <c r="AE1063" t="s">
        <v>49</v>
      </c>
      <c r="AF1063" t="s">
        <v>50</v>
      </c>
      <c r="AG1063">
        <v>0</v>
      </c>
      <c r="AH1063">
        <v>0</v>
      </c>
      <c r="AI1063" t="s">
        <v>51</v>
      </c>
      <c r="AJ1063" t="s">
        <v>51</v>
      </c>
      <c r="AK1063" t="s">
        <v>51</v>
      </c>
    </row>
    <row r="1064" spans="1:37" x14ac:dyDescent="0.2">
      <c r="A1064">
        <v>61877</v>
      </c>
      <c r="B1064" t="s">
        <v>37</v>
      </c>
      <c r="C1064" t="s">
        <v>38</v>
      </c>
      <c r="D1064" t="s">
        <v>509</v>
      </c>
      <c r="E1064" t="s">
        <v>40</v>
      </c>
      <c r="G1064" s="4">
        <v>43947.560023148148</v>
      </c>
      <c r="H1064" s="4">
        <v>43947.560266203704</v>
      </c>
      <c r="I1064" t="s">
        <v>510</v>
      </c>
      <c r="J1064" s="5">
        <v>21.00000000000000000000000000000000000004</v>
      </c>
      <c r="K1064" t="s">
        <v>38</v>
      </c>
      <c r="M1064">
        <v>61900</v>
      </c>
      <c r="N1064" t="s">
        <v>511</v>
      </c>
      <c r="O1064" t="s">
        <v>512</v>
      </c>
      <c r="P1064" t="s">
        <v>38</v>
      </c>
      <c r="Q1064" t="s">
        <v>85</v>
      </c>
      <c r="R1064">
        <v>3</v>
      </c>
      <c r="S1064" t="s">
        <v>45</v>
      </c>
      <c r="T1064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4">
        <v>61901</v>
      </c>
      <c r="V1064" t="s">
        <v>38</v>
      </c>
      <c r="W1064" t="s">
        <v>85</v>
      </c>
      <c r="X1064">
        <v>3</v>
      </c>
      <c r="Y1064">
        <v>2</v>
      </c>
      <c r="Z1064" t="s">
        <v>46</v>
      </c>
      <c r="AA1064">
        <v>61902</v>
      </c>
      <c r="AB1064" t="s">
        <v>1202</v>
      </c>
      <c r="AC1064" t="s">
        <v>56</v>
      </c>
      <c r="AD1064" t="s">
        <v>38</v>
      </c>
      <c r="AE1064" t="s">
        <v>49</v>
      </c>
      <c r="AF1064" t="s">
        <v>50</v>
      </c>
      <c r="AG1064">
        <v>0</v>
      </c>
      <c r="AH1064">
        <v>0</v>
      </c>
      <c r="AI1064" t="s">
        <v>51</v>
      </c>
      <c r="AJ1064" t="s">
        <v>51</v>
      </c>
      <c r="AK1064" t="s">
        <v>51</v>
      </c>
    </row>
    <row r="1065" spans="1:37" x14ac:dyDescent="0.2">
      <c r="A1065">
        <v>61877</v>
      </c>
      <c r="B1065" t="s">
        <v>37</v>
      </c>
      <c r="C1065" t="s">
        <v>38</v>
      </c>
      <c r="D1065" t="s">
        <v>509</v>
      </c>
      <c r="E1065" t="s">
        <v>40</v>
      </c>
      <c r="G1065" s="4">
        <v>43947.560023148148</v>
      </c>
      <c r="H1065" s="4">
        <v>43947.560266203704</v>
      </c>
      <c r="I1065" t="s">
        <v>510</v>
      </c>
      <c r="J1065" s="5">
        <v>21.00000000000000000000000000000000000004</v>
      </c>
      <c r="K1065" t="s">
        <v>38</v>
      </c>
      <c r="M1065">
        <v>61896</v>
      </c>
      <c r="N1065" t="s">
        <v>516</v>
      </c>
      <c r="O1065" t="s">
        <v>517</v>
      </c>
      <c r="P1065" t="s">
        <v>38</v>
      </c>
      <c r="Q1065" t="s">
        <v>85</v>
      </c>
      <c r="R1065">
        <v>3</v>
      </c>
      <c r="S1065" t="s">
        <v>45</v>
      </c>
      <c r="T1065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5">
        <v>61897</v>
      </c>
      <c r="V1065" t="s">
        <v>38</v>
      </c>
      <c r="W1065" t="s">
        <v>85</v>
      </c>
      <c r="X1065">
        <v>3</v>
      </c>
      <c r="Y1065">
        <v>2</v>
      </c>
      <c r="Z1065" t="s">
        <v>46</v>
      </c>
      <c r="AA1065">
        <v>61899</v>
      </c>
      <c r="AB1065" t="s">
        <v>518</v>
      </c>
      <c r="AC1065" t="s">
        <v>97</v>
      </c>
      <c r="AD1065" t="s">
        <v>38</v>
      </c>
      <c r="AE1065" t="s">
        <v>49</v>
      </c>
      <c r="AF1065" t="s">
        <v>50</v>
      </c>
      <c r="AG1065">
        <v>0</v>
      </c>
      <c r="AH1065">
        <v>0</v>
      </c>
      <c r="AI1065" t="s">
        <v>51</v>
      </c>
      <c r="AJ1065" t="s">
        <v>51</v>
      </c>
      <c r="AK1065" t="s">
        <v>51</v>
      </c>
    </row>
    <row r="1066" spans="1:37" x14ac:dyDescent="0.2">
      <c r="A1066">
        <v>61877</v>
      </c>
      <c r="B1066" t="s">
        <v>37</v>
      </c>
      <c r="C1066" t="s">
        <v>38</v>
      </c>
      <c r="D1066" t="s">
        <v>509</v>
      </c>
      <c r="E1066" t="s">
        <v>40</v>
      </c>
      <c r="G1066" s="4">
        <v>43947.560023148148</v>
      </c>
      <c r="H1066" s="4">
        <v>43947.560266203704</v>
      </c>
      <c r="I1066" t="s">
        <v>510</v>
      </c>
      <c r="J1066" s="5">
        <v>21.00000000000000000000000000000000000004</v>
      </c>
      <c r="K1066" t="s">
        <v>38</v>
      </c>
      <c r="M1066">
        <v>61896</v>
      </c>
      <c r="N1066" t="s">
        <v>516</v>
      </c>
      <c r="O1066" t="s">
        <v>517</v>
      </c>
      <c r="P1066" t="s">
        <v>38</v>
      </c>
      <c r="Q1066" t="s">
        <v>85</v>
      </c>
      <c r="R1066">
        <v>3</v>
      </c>
      <c r="S1066" t="s">
        <v>45</v>
      </c>
      <c r="T1066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6">
        <v>61897</v>
      </c>
      <c r="V1066" t="s">
        <v>38</v>
      </c>
      <c r="W1066" t="s">
        <v>85</v>
      </c>
      <c r="X1066">
        <v>3</v>
      </c>
      <c r="Y1066">
        <v>2</v>
      </c>
      <c r="Z1066" t="s">
        <v>46</v>
      </c>
      <c r="AA1066">
        <v>61898</v>
      </c>
      <c r="AB1066" t="s">
        <v>519</v>
      </c>
      <c r="AC1066" t="s">
        <v>56</v>
      </c>
      <c r="AD1066" t="s">
        <v>38</v>
      </c>
      <c r="AE1066" t="s">
        <v>49</v>
      </c>
      <c r="AF1066" t="s">
        <v>50</v>
      </c>
      <c r="AG1066">
        <v>0</v>
      </c>
      <c r="AH1066">
        <v>0</v>
      </c>
      <c r="AI1066" t="s">
        <v>51</v>
      </c>
      <c r="AJ1066" t="s">
        <v>51</v>
      </c>
      <c r="AK1066" t="s">
        <v>51</v>
      </c>
    </row>
    <row r="1067" spans="1:37" x14ac:dyDescent="0.2">
      <c r="A1067">
        <v>61877</v>
      </c>
      <c r="B1067" t="s">
        <v>37</v>
      </c>
      <c r="C1067" t="s">
        <v>38</v>
      </c>
      <c r="D1067" t="s">
        <v>509</v>
      </c>
      <c r="E1067" t="s">
        <v>40</v>
      </c>
      <c r="G1067" s="4">
        <v>43947.560023148148</v>
      </c>
      <c r="H1067" s="4">
        <v>43947.560266203704</v>
      </c>
      <c r="I1067" t="s">
        <v>510</v>
      </c>
      <c r="J1067" s="5">
        <v>21.00000000000000000000000000000000000004</v>
      </c>
      <c r="K1067" t="s">
        <v>38</v>
      </c>
      <c r="M1067">
        <v>61893</v>
      </c>
      <c r="N1067" t="s">
        <v>520</v>
      </c>
      <c r="O1067" t="s">
        <v>521</v>
      </c>
      <c r="P1067" t="s">
        <v>38</v>
      </c>
      <c r="Q1067" t="s">
        <v>44</v>
      </c>
      <c r="R1067">
        <v>4</v>
      </c>
      <c r="S1067" t="s">
        <v>45</v>
      </c>
      <c r="T1067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7">
        <v>61894</v>
      </c>
      <c r="V1067" t="s">
        <v>38</v>
      </c>
      <c r="W1067" t="s">
        <v>44</v>
      </c>
      <c r="X1067">
        <v>4</v>
      </c>
      <c r="Y1067">
        <v>0</v>
      </c>
      <c r="Z1067" t="s">
        <v>46</v>
      </c>
      <c r="AA1067">
        <v>61895</v>
      </c>
      <c r="AB1067" t="s">
        <v>522</v>
      </c>
      <c r="AC1067" t="s">
        <v>97</v>
      </c>
      <c r="AD1067" t="s">
        <v>38</v>
      </c>
      <c r="AE1067" t="s">
        <v>523</v>
      </c>
      <c r="AF1067" t="s">
        <v>44</v>
      </c>
      <c r="AG1067">
        <v>4</v>
      </c>
      <c r="AH1067">
        <v>0</v>
      </c>
      <c r="AI1067" t="s">
        <v>524</v>
      </c>
      <c r="AJ1067" t="s">
        <v>51</v>
      </c>
      <c r="AK1067" t="s">
        <v>524</v>
      </c>
    </row>
    <row r="1068" spans="1:37" x14ac:dyDescent="0.2">
      <c r="A1068">
        <v>61877</v>
      </c>
      <c r="B1068" t="s">
        <v>37</v>
      </c>
      <c r="C1068" t="s">
        <v>38</v>
      </c>
      <c r="D1068" t="s">
        <v>509</v>
      </c>
      <c r="E1068" t="s">
        <v>40</v>
      </c>
      <c r="G1068" s="4">
        <v>43947.560023148148</v>
      </c>
      <c r="H1068" s="4">
        <v>43947.560266203704</v>
      </c>
      <c r="I1068" t="s">
        <v>510</v>
      </c>
      <c r="J1068" s="5">
        <v>21.00000000000000000000000000000000000004</v>
      </c>
      <c r="K1068" t="s">
        <v>38</v>
      </c>
      <c r="M1068">
        <v>61890</v>
      </c>
      <c r="N1068" t="s">
        <v>525</v>
      </c>
      <c r="O1068" t="s">
        <v>526</v>
      </c>
      <c r="P1068" t="s">
        <v>38</v>
      </c>
      <c r="Q1068" t="s">
        <v>50</v>
      </c>
      <c r="R1068">
        <v>.9999999999999999999999999999999999999996</v>
      </c>
      <c r="S1068" t="s">
        <v>45</v>
      </c>
      <c r="T1068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8">
        <v>61891</v>
      </c>
      <c r="V1068" t="s">
        <v>38</v>
      </c>
      <c r="W1068" t="s">
        <v>50</v>
      </c>
      <c r="X1068">
        <v>.9999999999999999999999999999999999999996</v>
      </c>
      <c r="Y1068">
        <v>0</v>
      </c>
      <c r="Z1068" t="s">
        <v>46</v>
      </c>
      <c r="AA1068">
        <v>61892</v>
      </c>
      <c r="AB1068" t="s">
        <v>527</v>
      </c>
      <c r="AC1068" t="s">
        <v>97</v>
      </c>
      <c r="AD1068" t="s">
        <v>38</v>
      </c>
      <c r="AE1068" t="s">
        <v>49</v>
      </c>
      <c r="AF1068" t="s">
        <v>50</v>
      </c>
      <c r="AG1068">
        <v>0</v>
      </c>
      <c r="AH1068">
        <v>0</v>
      </c>
      <c r="AI1068" t="s">
        <v>51</v>
      </c>
      <c r="AJ1068" t="s">
        <v>51</v>
      </c>
      <c r="AK1068" t="s">
        <v>51</v>
      </c>
    </row>
    <row r="1069" spans="1:37" x14ac:dyDescent="0.2">
      <c r="A1069">
        <v>61877</v>
      </c>
      <c r="B1069" t="s">
        <v>37</v>
      </c>
      <c r="C1069" t="s">
        <v>38</v>
      </c>
      <c r="D1069" t="s">
        <v>509</v>
      </c>
      <c r="E1069" t="s">
        <v>40</v>
      </c>
      <c r="G1069" s="4">
        <v>43947.560023148148</v>
      </c>
      <c r="H1069" s="4">
        <v>43947.560266203704</v>
      </c>
      <c r="I1069" t="s">
        <v>510</v>
      </c>
      <c r="J1069" s="5">
        <v>21.00000000000000000000000000000000000004</v>
      </c>
      <c r="K1069" t="s">
        <v>38</v>
      </c>
      <c r="M1069">
        <v>61883</v>
      </c>
      <c r="N1069" t="s">
        <v>528</v>
      </c>
      <c r="O1069" t="s">
        <v>529</v>
      </c>
      <c r="P1069" t="s">
        <v>38</v>
      </c>
      <c r="Q1069" t="s">
        <v>78</v>
      </c>
      <c r="R1069">
        <v>5</v>
      </c>
      <c r="S1069" t="s">
        <v>45</v>
      </c>
      <c r="T1069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69">
        <v>61884</v>
      </c>
      <c r="V1069" t="s">
        <v>38</v>
      </c>
      <c r="W1069" t="s">
        <v>78</v>
      </c>
      <c r="X1069">
        <v>5</v>
      </c>
      <c r="Y1069">
        <v>1</v>
      </c>
      <c r="Z1069" t="s">
        <v>46</v>
      </c>
      <c r="AA1069">
        <v>61889</v>
      </c>
      <c r="AB1069" t="s">
        <v>530</v>
      </c>
      <c r="AC1069" t="s">
        <v>56</v>
      </c>
      <c r="AD1069" t="s">
        <v>38</v>
      </c>
      <c r="AE1069" t="s">
        <v>49</v>
      </c>
      <c r="AF1069" t="s">
        <v>50</v>
      </c>
      <c r="AG1069">
        <v>0</v>
      </c>
      <c r="AH1069">
        <v>0</v>
      </c>
      <c r="AI1069" t="s">
        <v>51</v>
      </c>
      <c r="AJ1069" t="s">
        <v>51</v>
      </c>
      <c r="AK1069" t="s">
        <v>51</v>
      </c>
    </row>
    <row r="1070" spans="1:37" x14ac:dyDescent="0.2">
      <c r="A1070">
        <v>61877</v>
      </c>
      <c r="B1070" t="s">
        <v>37</v>
      </c>
      <c r="C1070" t="s">
        <v>38</v>
      </c>
      <c r="D1070" t="s">
        <v>509</v>
      </c>
      <c r="E1070" t="s">
        <v>40</v>
      </c>
      <c r="G1070" s="4">
        <v>43947.560023148148</v>
      </c>
      <c r="H1070" s="4">
        <v>43947.560266203704</v>
      </c>
      <c r="I1070" t="s">
        <v>510</v>
      </c>
      <c r="J1070" s="5">
        <v>21.00000000000000000000000000000000000004</v>
      </c>
      <c r="K1070" t="s">
        <v>38</v>
      </c>
      <c r="M1070">
        <v>61883</v>
      </c>
      <c r="N1070" t="s">
        <v>528</v>
      </c>
      <c r="O1070" t="s">
        <v>529</v>
      </c>
      <c r="P1070" t="s">
        <v>38</v>
      </c>
      <c r="Q1070" t="s">
        <v>78</v>
      </c>
      <c r="R1070">
        <v>5</v>
      </c>
      <c r="S1070" t="s">
        <v>45</v>
      </c>
      <c r="T1070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0">
        <v>61884</v>
      </c>
      <c r="V1070" t="s">
        <v>38</v>
      </c>
      <c r="W1070" t="s">
        <v>78</v>
      </c>
      <c r="X1070">
        <v>5</v>
      </c>
      <c r="Y1070">
        <v>1</v>
      </c>
      <c r="Z1070" t="s">
        <v>46</v>
      </c>
      <c r="AA1070">
        <v>61888</v>
      </c>
      <c r="AB1070" t="s">
        <v>1203</v>
      </c>
      <c r="AC1070" t="s">
        <v>68</v>
      </c>
      <c r="AD1070" t="s">
        <v>38</v>
      </c>
      <c r="AE1070" t="s">
        <v>49</v>
      </c>
      <c r="AF1070" t="s">
        <v>50</v>
      </c>
      <c r="AG1070">
        <v>0</v>
      </c>
      <c r="AH1070">
        <v>0</v>
      </c>
      <c r="AI1070" t="s">
        <v>51</v>
      </c>
      <c r="AJ1070" t="s">
        <v>51</v>
      </c>
      <c r="AK1070" t="s">
        <v>51</v>
      </c>
    </row>
    <row r="1071" spans="1:37" x14ac:dyDescent="0.2">
      <c r="A1071">
        <v>61877</v>
      </c>
      <c r="B1071" t="s">
        <v>37</v>
      </c>
      <c r="C1071" t="s">
        <v>38</v>
      </c>
      <c r="D1071" t="s">
        <v>509</v>
      </c>
      <c r="E1071" t="s">
        <v>40</v>
      </c>
      <c r="G1071" s="4">
        <v>43947.560023148148</v>
      </c>
      <c r="H1071" s="4">
        <v>43947.560266203704</v>
      </c>
      <c r="I1071" t="s">
        <v>510</v>
      </c>
      <c r="J1071" s="5">
        <v>21.00000000000000000000000000000000000004</v>
      </c>
      <c r="K1071" t="s">
        <v>38</v>
      </c>
      <c r="M1071">
        <v>61883</v>
      </c>
      <c r="N1071" t="s">
        <v>528</v>
      </c>
      <c r="O1071" t="s">
        <v>529</v>
      </c>
      <c r="P1071" t="s">
        <v>38</v>
      </c>
      <c r="Q1071" t="s">
        <v>78</v>
      </c>
      <c r="R1071">
        <v>5</v>
      </c>
      <c r="S1071" t="s">
        <v>45</v>
      </c>
      <c r="T1071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1">
        <v>61884</v>
      </c>
      <c r="V1071" t="s">
        <v>38</v>
      </c>
      <c r="W1071" t="s">
        <v>78</v>
      </c>
      <c r="X1071">
        <v>5</v>
      </c>
      <c r="Y1071">
        <v>1</v>
      </c>
      <c r="Z1071" t="s">
        <v>46</v>
      </c>
      <c r="AA1071">
        <v>61887</v>
      </c>
      <c r="AB1071" t="s">
        <v>532</v>
      </c>
      <c r="AC1071" t="s">
        <v>56</v>
      </c>
      <c r="AD1071" t="s">
        <v>38</v>
      </c>
      <c r="AE1071" t="s">
        <v>533</v>
      </c>
      <c r="AF1071" t="s">
        <v>44</v>
      </c>
      <c r="AG1071">
        <v>4</v>
      </c>
      <c r="AH1071">
        <v>0</v>
      </c>
      <c r="AI1071" t="s">
        <v>534</v>
      </c>
      <c r="AJ1071" t="s">
        <v>51</v>
      </c>
      <c r="AK1071" t="s">
        <v>534</v>
      </c>
    </row>
    <row r="1072" spans="1:37" x14ac:dyDescent="0.2">
      <c r="A1072">
        <v>61877</v>
      </c>
      <c r="B1072" t="s">
        <v>37</v>
      </c>
      <c r="C1072" t="s">
        <v>38</v>
      </c>
      <c r="D1072" t="s">
        <v>509</v>
      </c>
      <c r="E1072" t="s">
        <v>40</v>
      </c>
      <c r="G1072" s="4">
        <v>43947.560023148148</v>
      </c>
      <c r="H1072" s="4">
        <v>43947.560266203704</v>
      </c>
      <c r="I1072" t="s">
        <v>510</v>
      </c>
      <c r="J1072" s="5">
        <v>21.00000000000000000000000000000000000004</v>
      </c>
      <c r="K1072" t="s">
        <v>38</v>
      </c>
      <c r="M1072">
        <v>61883</v>
      </c>
      <c r="N1072" t="s">
        <v>528</v>
      </c>
      <c r="O1072" t="s">
        <v>529</v>
      </c>
      <c r="P1072" t="s">
        <v>38</v>
      </c>
      <c r="Q1072" t="s">
        <v>78</v>
      </c>
      <c r="R1072">
        <v>5</v>
      </c>
      <c r="S1072" t="s">
        <v>45</v>
      </c>
      <c r="T1072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2">
        <v>61884</v>
      </c>
      <c r="V1072" t="s">
        <v>38</v>
      </c>
      <c r="W1072" t="s">
        <v>78</v>
      </c>
      <c r="X1072">
        <v>5</v>
      </c>
      <c r="Y1072">
        <v>1</v>
      </c>
      <c r="Z1072" t="s">
        <v>46</v>
      </c>
      <c r="AA1072">
        <v>61886</v>
      </c>
      <c r="AB1072" t="s">
        <v>535</v>
      </c>
      <c r="AC1072" t="s">
        <v>97</v>
      </c>
      <c r="AD1072" t="s">
        <v>38</v>
      </c>
      <c r="AE1072" t="s">
        <v>49</v>
      </c>
      <c r="AF1072" t="s">
        <v>50</v>
      </c>
      <c r="AG1072">
        <v>0</v>
      </c>
      <c r="AH1072">
        <v>0</v>
      </c>
      <c r="AI1072" t="s">
        <v>51</v>
      </c>
      <c r="AJ1072" t="s">
        <v>51</v>
      </c>
      <c r="AK1072" t="s">
        <v>51</v>
      </c>
    </row>
    <row r="1073" spans="1:37" x14ac:dyDescent="0.2">
      <c r="A1073">
        <v>61877</v>
      </c>
      <c r="B1073" t="s">
        <v>37</v>
      </c>
      <c r="C1073" t="s">
        <v>38</v>
      </c>
      <c r="D1073" t="s">
        <v>509</v>
      </c>
      <c r="E1073" t="s">
        <v>40</v>
      </c>
      <c r="G1073" s="4">
        <v>43947.560023148148</v>
      </c>
      <c r="H1073" s="4">
        <v>43947.560266203704</v>
      </c>
      <c r="I1073" t="s">
        <v>510</v>
      </c>
      <c r="J1073" s="5">
        <v>21.00000000000000000000000000000000000004</v>
      </c>
      <c r="K1073" t="s">
        <v>38</v>
      </c>
      <c r="M1073">
        <v>61883</v>
      </c>
      <c r="N1073" t="s">
        <v>528</v>
      </c>
      <c r="O1073" t="s">
        <v>529</v>
      </c>
      <c r="P1073" t="s">
        <v>38</v>
      </c>
      <c r="Q1073" t="s">
        <v>78</v>
      </c>
      <c r="R1073">
        <v>5</v>
      </c>
      <c r="S1073" t="s">
        <v>45</v>
      </c>
      <c r="T1073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3">
        <v>61884</v>
      </c>
      <c r="V1073" t="s">
        <v>38</v>
      </c>
      <c r="W1073" t="s">
        <v>78</v>
      </c>
      <c r="X1073">
        <v>5</v>
      </c>
      <c r="Y1073">
        <v>1</v>
      </c>
      <c r="Z1073" t="s">
        <v>46</v>
      </c>
      <c r="AA1073">
        <v>61885</v>
      </c>
      <c r="AB1073" t="s">
        <v>536</v>
      </c>
      <c r="AC1073" t="s">
        <v>56</v>
      </c>
      <c r="AD1073" t="s">
        <v>38</v>
      </c>
      <c r="AE1073" t="s">
        <v>49</v>
      </c>
      <c r="AF1073" t="s">
        <v>50</v>
      </c>
      <c r="AG1073">
        <v>0</v>
      </c>
      <c r="AH1073">
        <v>0</v>
      </c>
      <c r="AI1073" t="s">
        <v>51</v>
      </c>
      <c r="AJ1073" t="s">
        <v>51</v>
      </c>
      <c r="AK1073" t="s">
        <v>51</v>
      </c>
    </row>
    <row r="1074" spans="1:37" x14ac:dyDescent="0.2">
      <c r="A1074">
        <v>61877</v>
      </c>
      <c r="B1074" t="s">
        <v>37</v>
      </c>
      <c r="C1074" t="s">
        <v>38</v>
      </c>
      <c r="D1074" t="s">
        <v>509</v>
      </c>
      <c r="E1074" t="s">
        <v>40</v>
      </c>
      <c r="G1074" s="4">
        <v>43947.560023148148</v>
      </c>
      <c r="H1074" s="4">
        <v>43947.560266203704</v>
      </c>
      <c r="I1074" t="s">
        <v>510</v>
      </c>
      <c r="J1074" s="5">
        <v>21.00000000000000000000000000000000000004</v>
      </c>
      <c r="K1074" t="s">
        <v>38</v>
      </c>
      <c r="M1074">
        <v>61878</v>
      </c>
      <c r="N1074" t="s">
        <v>537</v>
      </c>
      <c r="O1074" t="s">
        <v>538</v>
      </c>
      <c r="P1074" t="s">
        <v>38</v>
      </c>
      <c r="Q1074" t="s">
        <v>78</v>
      </c>
      <c r="R1074">
        <v>5</v>
      </c>
      <c r="S1074" t="s">
        <v>45</v>
      </c>
      <c r="T1074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4">
        <v>61879</v>
      </c>
      <c r="V1074" t="s">
        <v>38</v>
      </c>
      <c r="W1074" t="s">
        <v>78</v>
      </c>
      <c r="X1074">
        <v>5</v>
      </c>
      <c r="Y1074">
        <v>3</v>
      </c>
      <c r="Z1074" t="s">
        <v>46</v>
      </c>
      <c r="AA1074">
        <v>61882</v>
      </c>
      <c r="AB1074" t="s">
        <v>539</v>
      </c>
      <c r="AC1074" t="s">
        <v>56</v>
      </c>
      <c r="AD1074" t="s">
        <v>38</v>
      </c>
      <c r="AE1074" t="s">
        <v>540</v>
      </c>
      <c r="AF1074" t="s">
        <v>50</v>
      </c>
      <c r="AG1074">
        <v>.9999999999999999999999999999999999999996</v>
      </c>
      <c r="AH1074">
        <v>1</v>
      </c>
      <c r="AI1074" t="s">
        <v>541</v>
      </c>
      <c r="AJ1074" t="s">
        <v>51</v>
      </c>
      <c r="AK1074" t="s">
        <v>541</v>
      </c>
    </row>
    <row r="1075" spans="1:37" x14ac:dyDescent="0.2">
      <c r="A1075">
        <v>61877</v>
      </c>
      <c r="B1075" t="s">
        <v>37</v>
      </c>
      <c r="C1075" t="s">
        <v>38</v>
      </c>
      <c r="D1075" t="s">
        <v>509</v>
      </c>
      <c r="E1075" t="s">
        <v>40</v>
      </c>
      <c r="G1075" s="4">
        <v>43947.560023148148</v>
      </c>
      <c r="H1075" s="4">
        <v>43947.560266203704</v>
      </c>
      <c r="I1075" t="s">
        <v>510</v>
      </c>
      <c r="J1075" s="5">
        <v>21.00000000000000000000000000000000000004</v>
      </c>
      <c r="K1075" t="s">
        <v>38</v>
      </c>
      <c r="M1075">
        <v>61878</v>
      </c>
      <c r="N1075" t="s">
        <v>537</v>
      </c>
      <c r="O1075" t="s">
        <v>538</v>
      </c>
      <c r="P1075" t="s">
        <v>38</v>
      </c>
      <c r="Q1075" t="s">
        <v>78</v>
      </c>
      <c r="R1075">
        <v>5</v>
      </c>
      <c r="S1075" t="s">
        <v>45</v>
      </c>
      <c r="T1075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5">
        <v>61879</v>
      </c>
      <c r="V1075" t="s">
        <v>38</v>
      </c>
      <c r="W1075" t="s">
        <v>78</v>
      </c>
      <c r="X1075">
        <v>5</v>
      </c>
      <c r="Y1075">
        <v>3</v>
      </c>
      <c r="Z1075" t="s">
        <v>46</v>
      </c>
      <c r="AA1075">
        <v>61881</v>
      </c>
      <c r="AB1075" t="s">
        <v>542</v>
      </c>
      <c r="AC1075" t="s">
        <v>97</v>
      </c>
      <c r="AD1075" t="s">
        <v>38</v>
      </c>
      <c r="AE1075" t="s">
        <v>49</v>
      </c>
      <c r="AF1075" t="s">
        <v>50</v>
      </c>
      <c r="AG1075">
        <v>0</v>
      </c>
      <c r="AH1075">
        <v>0</v>
      </c>
      <c r="AI1075" t="s">
        <v>51</v>
      </c>
      <c r="AJ1075" t="s">
        <v>51</v>
      </c>
      <c r="AK1075" t="s">
        <v>51</v>
      </c>
    </row>
    <row r="1076" spans="1:37" x14ac:dyDescent="0.2">
      <c r="A1076">
        <v>61877</v>
      </c>
      <c r="B1076" t="s">
        <v>37</v>
      </c>
      <c r="C1076" t="s">
        <v>38</v>
      </c>
      <c r="D1076" t="s">
        <v>509</v>
      </c>
      <c r="E1076" t="s">
        <v>40</v>
      </c>
      <c r="G1076" s="4">
        <v>43947.560023148148</v>
      </c>
      <c r="H1076" s="4">
        <v>43947.560266203704</v>
      </c>
      <c r="I1076" t="s">
        <v>510</v>
      </c>
      <c r="J1076" s="5">
        <v>21.00000000000000000000000000000000000004</v>
      </c>
      <c r="K1076" t="s">
        <v>38</v>
      </c>
      <c r="M1076">
        <v>61878</v>
      </c>
      <c r="N1076" t="s">
        <v>537</v>
      </c>
      <c r="O1076" t="s">
        <v>538</v>
      </c>
      <c r="P1076" t="s">
        <v>38</v>
      </c>
      <c r="Q1076" t="s">
        <v>78</v>
      </c>
      <c r="R1076">
        <v>5</v>
      </c>
      <c r="S1076" t="s">
        <v>45</v>
      </c>
      <c r="T1076" t="str" s="2">
        <f>=HYPERLINK("http://demo.enginatics.com:80/ecc/user/applications/log/61877.log","http://demo.enginatics.com:80/ecc/user/applications/log/61877.log")</f>
        <v>"http://demo.enginatics.com:80/ecc/user/applications/log/61877.log")</v>
      </c>
      <c r="U1076">
        <v>61879</v>
      </c>
      <c r="V1076" t="s">
        <v>38</v>
      </c>
      <c r="W1076" t="s">
        <v>78</v>
      </c>
      <c r="X1076">
        <v>5</v>
      </c>
      <c r="Y1076">
        <v>3</v>
      </c>
      <c r="Z1076" t="s">
        <v>46</v>
      </c>
      <c r="AA1076">
        <v>61880</v>
      </c>
      <c r="AB1076" t="s">
        <v>543</v>
      </c>
      <c r="AC1076" t="s">
        <v>56</v>
      </c>
      <c r="AD1076" t="s">
        <v>38</v>
      </c>
      <c r="AE1076" t="s">
        <v>49</v>
      </c>
      <c r="AF1076" t="s">
        <v>50</v>
      </c>
      <c r="AG1076">
        <v>0</v>
      </c>
      <c r="AH1076">
        <v>0</v>
      </c>
      <c r="AI1076" t="s">
        <v>51</v>
      </c>
      <c r="AJ1076" t="s">
        <v>51</v>
      </c>
      <c r="AK1076" t="s">
        <v>51</v>
      </c>
    </row>
    <row r="1077" spans="1:37" x14ac:dyDescent="0.2">
      <c r="A1077">
        <v>61868</v>
      </c>
      <c r="B1077" t="s">
        <v>37</v>
      </c>
      <c r="C1077" t="s">
        <v>38</v>
      </c>
      <c r="D1077" t="s">
        <v>544</v>
      </c>
      <c r="E1077" t="s">
        <v>40</v>
      </c>
      <c r="G1077" s="4">
        <v>43947.558113425926</v>
      </c>
      <c r="H1077" s="4">
        <v>43947.558136574074</v>
      </c>
      <c r="I1077" t="s">
        <v>88</v>
      </c>
      <c r="J1077" s="5">
        <v>2</v>
      </c>
      <c r="K1077" t="s">
        <v>38</v>
      </c>
      <c r="M1077">
        <v>61873</v>
      </c>
      <c r="N1077" t="s">
        <v>545</v>
      </c>
      <c r="O1077" t="s">
        <v>546</v>
      </c>
      <c r="P1077" t="s">
        <v>38</v>
      </c>
      <c r="Q1077" t="s">
        <v>50</v>
      </c>
      <c r="R1077">
        <v>.9999999999999999999999999999999999999996</v>
      </c>
      <c r="S1077" t="s">
        <v>45</v>
      </c>
      <c r="T1077" t="str" s="2">
        <f>=HYPERLINK("http://demo.enginatics.com:80/ecc/user/applications/log/61868.log","http://demo.enginatics.com:80/ecc/user/applications/log/61868.log")</f>
        <v>"http://demo.enginatics.com:80/ecc/user/applications/log/61868.log")</v>
      </c>
      <c r="U1077">
        <v>61874</v>
      </c>
      <c r="V1077" t="s">
        <v>38</v>
      </c>
      <c r="W1077" t="s">
        <v>50</v>
      </c>
      <c r="X1077">
        <v>.9999999999999999999999999999999999999996</v>
      </c>
      <c r="Y1077">
        <v>0</v>
      </c>
      <c r="Z1077" t="s">
        <v>46</v>
      </c>
      <c r="AA1077">
        <v>61876</v>
      </c>
      <c r="AB1077" t="s">
        <v>547</v>
      </c>
      <c r="AC1077" t="s">
        <v>56</v>
      </c>
      <c r="AD1077" t="s">
        <v>38</v>
      </c>
      <c r="AE1077" t="s">
        <v>49</v>
      </c>
      <c r="AF1077" t="s">
        <v>50</v>
      </c>
      <c r="AG1077">
        <v>0</v>
      </c>
      <c r="AH1077">
        <v>0</v>
      </c>
      <c r="AI1077" t="s">
        <v>51</v>
      </c>
      <c r="AJ1077" t="s">
        <v>51</v>
      </c>
      <c r="AK1077" t="s">
        <v>51</v>
      </c>
    </row>
    <row r="1078" spans="1:37" x14ac:dyDescent="0.2">
      <c r="A1078">
        <v>61868</v>
      </c>
      <c r="B1078" t="s">
        <v>37</v>
      </c>
      <c r="C1078" t="s">
        <v>38</v>
      </c>
      <c r="D1078" t="s">
        <v>544</v>
      </c>
      <c r="E1078" t="s">
        <v>40</v>
      </c>
      <c r="G1078" s="4">
        <v>43947.558113425926</v>
      </c>
      <c r="H1078" s="4">
        <v>43947.558136574074</v>
      </c>
      <c r="I1078" t="s">
        <v>88</v>
      </c>
      <c r="J1078" s="5">
        <v>2</v>
      </c>
      <c r="K1078" t="s">
        <v>38</v>
      </c>
      <c r="M1078">
        <v>61873</v>
      </c>
      <c r="N1078" t="s">
        <v>545</v>
      </c>
      <c r="O1078" t="s">
        <v>546</v>
      </c>
      <c r="P1078" t="s">
        <v>38</v>
      </c>
      <c r="Q1078" t="s">
        <v>50</v>
      </c>
      <c r="R1078">
        <v>.9999999999999999999999999999999999999996</v>
      </c>
      <c r="S1078" t="s">
        <v>45</v>
      </c>
      <c r="T1078" t="str" s="2">
        <f>=HYPERLINK("http://demo.enginatics.com:80/ecc/user/applications/log/61868.log","http://demo.enginatics.com:80/ecc/user/applications/log/61868.log")</f>
        <v>"http://demo.enginatics.com:80/ecc/user/applications/log/61868.log")</v>
      </c>
      <c r="U1078">
        <v>61874</v>
      </c>
      <c r="V1078" t="s">
        <v>38</v>
      </c>
      <c r="W1078" t="s">
        <v>50</v>
      </c>
      <c r="X1078">
        <v>.9999999999999999999999999999999999999996</v>
      </c>
      <c r="Y1078">
        <v>0</v>
      </c>
      <c r="Z1078" t="s">
        <v>46</v>
      </c>
      <c r="AA1078">
        <v>61875</v>
      </c>
      <c r="AB1078" t="s">
        <v>548</v>
      </c>
      <c r="AC1078" t="s">
        <v>68</v>
      </c>
      <c r="AD1078" t="s">
        <v>38</v>
      </c>
      <c r="AE1078" t="s">
        <v>49</v>
      </c>
      <c r="AF1078" t="s">
        <v>50</v>
      </c>
      <c r="AG1078">
        <v>.9999999999999999999999999999999999999996</v>
      </c>
      <c r="AH1078">
        <v>0</v>
      </c>
      <c r="AI1078" t="s">
        <v>51</v>
      </c>
      <c r="AJ1078" t="s">
        <v>51</v>
      </c>
      <c r="AK1078" t="s">
        <v>51</v>
      </c>
    </row>
    <row r="1079" spans="1:37" x14ac:dyDescent="0.2">
      <c r="A1079">
        <v>61868</v>
      </c>
      <c r="B1079" t="s">
        <v>37</v>
      </c>
      <c r="C1079" t="s">
        <v>38</v>
      </c>
      <c r="D1079" t="s">
        <v>544</v>
      </c>
      <c r="E1079" t="s">
        <v>40</v>
      </c>
      <c r="G1079" s="4">
        <v>43947.558113425926</v>
      </c>
      <c r="H1079" s="4">
        <v>43947.558136574074</v>
      </c>
      <c r="I1079" t="s">
        <v>88</v>
      </c>
      <c r="J1079" s="5">
        <v>2</v>
      </c>
      <c r="K1079" t="s">
        <v>38</v>
      </c>
      <c r="M1079">
        <v>61869</v>
      </c>
      <c r="N1079" t="s">
        <v>549</v>
      </c>
      <c r="O1079" t="s">
        <v>550</v>
      </c>
      <c r="P1079" t="s">
        <v>38</v>
      </c>
      <c r="Q1079" t="s">
        <v>50</v>
      </c>
      <c r="R1079">
        <v>.9999999999999999999999999999999999999996</v>
      </c>
      <c r="S1079" t="s">
        <v>45</v>
      </c>
      <c r="T1079" t="str" s="2">
        <f>=HYPERLINK("http://demo.enginatics.com:80/ecc/user/applications/log/61868.log","http://demo.enginatics.com:80/ecc/user/applications/log/61868.log")</f>
        <v>"http://demo.enginatics.com:80/ecc/user/applications/log/61868.log")</v>
      </c>
      <c r="U1079">
        <v>61870</v>
      </c>
      <c r="V1079" t="s">
        <v>38</v>
      </c>
      <c r="W1079" t="s">
        <v>50</v>
      </c>
      <c r="X1079">
        <v>.9999999999999999999999999999999999999996</v>
      </c>
      <c r="Y1079">
        <v>0</v>
      </c>
      <c r="Z1079" t="s">
        <v>46</v>
      </c>
      <c r="AA1079">
        <v>61872</v>
      </c>
      <c r="AB1079" t="s">
        <v>551</v>
      </c>
      <c r="AC1079" t="s">
        <v>56</v>
      </c>
      <c r="AD1079" t="s">
        <v>38</v>
      </c>
      <c r="AE1079" t="s">
        <v>49</v>
      </c>
      <c r="AF1079" t="s">
        <v>50</v>
      </c>
      <c r="AG1079">
        <v>0</v>
      </c>
      <c r="AH1079">
        <v>0</v>
      </c>
      <c r="AI1079" t="s">
        <v>51</v>
      </c>
      <c r="AJ1079" t="s">
        <v>51</v>
      </c>
      <c r="AK1079" t="s">
        <v>51</v>
      </c>
    </row>
    <row r="1080" spans="1:37" x14ac:dyDescent="0.2">
      <c r="A1080">
        <v>61868</v>
      </c>
      <c r="B1080" t="s">
        <v>37</v>
      </c>
      <c r="C1080" t="s">
        <v>38</v>
      </c>
      <c r="D1080" t="s">
        <v>544</v>
      </c>
      <c r="E1080" t="s">
        <v>40</v>
      </c>
      <c r="G1080" s="4">
        <v>43947.558113425926</v>
      </c>
      <c r="H1080" s="4">
        <v>43947.558136574074</v>
      </c>
      <c r="I1080" t="s">
        <v>88</v>
      </c>
      <c r="J1080" s="5">
        <v>2</v>
      </c>
      <c r="K1080" t="s">
        <v>38</v>
      </c>
      <c r="M1080">
        <v>61869</v>
      </c>
      <c r="N1080" t="s">
        <v>549</v>
      </c>
      <c r="O1080" t="s">
        <v>550</v>
      </c>
      <c r="P1080" t="s">
        <v>38</v>
      </c>
      <c r="Q1080" t="s">
        <v>50</v>
      </c>
      <c r="R1080">
        <v>.9999999999999999999999999999999999999996</v>
      </c>
      <c r="S1080" t="s">
        <v>45</v>
      </c>
      <c r="T1080" t="str" s="2">
        <f>=HYPERLINK("http://demo.enginatics.com:80/ecc/user/applications/log/61868.log","http://demo.enginatics.com:80/ecc/user/applications/log/61868.log")</f>
        <v>"http://demo.enginatics.com:80/ecc/user/applications/log/61868.log")</v>
      </c>
      <c r="U1080">
        <v>61870</v>
      </c>
      <c r="V1080" t="s">
        <v>38</v>
      </c>
      <c r="W1080" t="s">
        <v>50</v>
      </c>
      <c r="X1080">
        <v>.9999999999999999999999999999999999999996</v>
      </c>
      <c r="Y1080">
        <v>0</v>
      </c>
      <c r="Z1080" t="s">
        <v>46</v>
      </c>
      <c r="AA1080">
        <v>61871</v>
      </c>
      <c r="AB1080" t="s">
        <v>552</v>
      </c>
      <c r="AC1080" t="s">
        <v>68</v>
      </c>
      <c r="AD1080" t="s">
        <v>38</v>
      </c>
      <c r="AE1080" t="s">
        <v>49</v>
      </c>
      <c r="AF1080" t="s">
        <v>50</v>
      </c>
      <c r="AG1080">
        <v>.9999999999999999999999999999999999999996</v>
      </c>
      <c r="AH1080">
        <v>0</v>
      </c>
      <c r="AI1080" t="s">
        <v>51</v>
      </c>
      <c r="AJ1080" t="s">
        <v>51</v>
      </c>
      <c r="AK1080" t="s">
        <v>51</v>
      </c>
    </row>
    <row r="1081" spans="1:37" x14ac:dyDescent="0.2">
      <c r="A1081">
        <v>61855</v>
      </c>
      <c r="B1081" t="s">
        <v>37</v>
      </c>
      <c r="C1081" t="s">
        <v>38</v>
      </c>
      <c r="D1081" t="s">
        <v>553</v>
      </c>
      <c r="E1081" t="s">
        <v>581</v>
      </c>
      <c r="G1081" s="4">
        <v>43947.544085648148</v>
      </c>
      <c r="H1081" s="4">
        <v>43947.544108796296</v>
      </c>
      <c r="I1081" t="s">
        <v>88</v>
      </c>
      <c r="J1081" s="5">
        <v>2</v>
      </c>
      <c r="K1081" t="s">
        <v>38</v>
      </c>
      <c r="M1081">
        <v>61865</v>
      </c>
      <c r="N1081" t="s">
        <v>581</v>
      </c>
      <c r="O1081" t="s">
        <v>582</v>
      </c>
      <c r="P1081" t="s">
        <v>38</v>
      </c>
      <c r="Q1081" t="s">
        <v>50</v>
      </c>
      <c r="R1081">
        <v>.9999999999999999999999999999999999999996</v>
      </c>
      <c r="S1081" t="s">
        <v>45</v>
      </c>
      <c r="T1081" t="str" s="2">
        <f>=HYPERLINK("http://demo.enginatics.com:80/ecc/user/applications/log/61855.log","http://demo.enginatics.com:80/ecc/user/applications/log/61855.log")</f>
        <v>"http://demo.enginatics.com:80/ecc/user/applications/log/61855.log")</v>
      </c>
      <c r="U1081">
        <v>61866</v>
      </c>
      <c r="V1081" t="s">
        <v>38</v>
      </c>
      <c r="W1081" t="s">
        <v>50</v>
      </c>
      <c r="X1081">
        <v>.9999999999999999999999999999999999999996</v>
      </c>
      <c r="Y1081">
        <v>0</v>
      </c>
      <c r="Z1081" t="s">
        <v>46</v>
      </c>
      <c r="AA1081">
        <v>61867</v>
      </c>
      <c r="AB1081" t="s">
        <v>583</v>
      </c>
      <c r="AC1081" t="s">
        <v>48</v>
      </c>
      <c r="AD1081" t="s">
        <v>38</v>
      </c>
      <c r="AE1081" t="s">
        <v>49</v>
      </c>
      <c r="AF1081" t="s">
        <v>50</v>
      </c>
      <c r="AG1081">
        <v>.9999999999999999999999999999999999999996</v>
      </c>
      <c r="AH1081">
        <v>0</v>
      </c>
      <c r="AI1081" t="s">
        <v>51</v>
      </c>
      <c r="AJ1081" t="s">
        <v>51</v>
      </c>
      <c r="AK1081" t="s">
        <v>51</v>
      </c>
    </row>
    <row r="1082" spans="1:37" x14ac:dyDescent="0.2">
      <c r="A1082">
        <v>61853</v>
      </c>
      <c r="B1082" t="s">
        <v>37</v>
      </c>
      <c r="C1082" t="s">
        <v>38</v>
      </c>
      <c r="D1082" t="s">
        <v>553</v>
      </c>
      <c r="E1082" t="s">
        <v>569</v>
      </c>
      <c r="G1082" s="4">
        <v>43947.544085648148</v>
      </c>
      <c r="H1082" s="4">
        <v>43947.544097222222</v>
      </c>
      <c r="I1082" t="s">
        <v>50</v>
      </c>
      <c r="J1082" s="5">
        <v>.9999999999999999999999999999999999999996</v>
      </c>
      <c r="K1082" t="s">
        <v>38</v>
      </c>
      <c r="M1082">
        <v>61862</v>
      </c>
      <c r="N1082" t="s">
        <v>569</v>
      </c>
      <c r="O1082" t="s">
        <v>570</v>
      </c>
      <c r="P1082" t="s">
        <v>38</v>
      </c>
      <c r="Q1082" t="s">
        <v>50</v>
      </c>
      <c r="R1082">
        <v>.9999999999999999999999999999999999999996</v>
      </c>
      <c r="S1082" t="s">
        <v>45</v>
      </c>
      <c r="T1082" t="str" s="2">
        <f>=HYPERLINK("http://demo.enginatics.com:80/ecc/user/applications/log/61853.log","http://demo.enginatics.com:80/ecc/user/applications/log/61853.log")</f>
        <v>"http://demo.enginatics.com:80/ecc/user/applications/log/61853.log")</v>
      </c>
      <c r="U1082">
        <v>61863</v>
      </c>
      <c r="V1082" t="s">
        <v>38</v>
      </c>
      <c r="W1082" t="s">
        <v>50</v>
      </c>
      <c r="X1082">
        <v>.9999999999999999999999999999999999999996</v>
      </c>
      <c r="Y1082">
        <v>0</v>
      </c>
      <c r="Z1082" t="s">
        <v>46</v>
      </c>
      <c r="AA1082">
        <v>61864</v>
      </c>
      <c r="AB1082" t="s">
        <v>571</v>
      </c>
      <c r="AC1082" t="s">
        <v>48</v>
      </c>
      <c r="AD1082" t="s">
        <v>38</v>
      </c>
      <c r="AE1082" t="s">
        <v>49</v>
      </c>
      <c r="AF1082" t="s">
        <v>50</v>
      </c>
      <c r="AG1082">
        <v>.9999999999999999999999999999999999999996</v>
      </c>
      <c r="AH1082">
        <v>0</v>
      </c>
      <c r="AI1082" t="s">
        <v>51</v>
      </c>
      <c r="AJ1082" t="s">
        <v>51</v>
      </c>
      <c r="AK1082" t="s">
        <v>51</v>
      </c>
    </row>
    <row r="1083" spans="1:37" x14ac:dyDescent="0.2">
      <c r="A1083">
        <v>61849</v>
      </c>
      <c r="B1083" t="s">
        <v>37</v>
      </c>
      <c r="C1083" t="s">
        <v>38</v>
      </c>
      <c r="D1083" t="s">
        <v>553</v>
      </c>
      <c r="E1083" t="s">
        <v>554</v>
      </c>
      <c r="G1083" s="4">
        <v>43947.544085648148</v>
      </c>
      <c r="H1083" s="4">
        <v>43947.544097222222</v>
      </c>
      <c r="I1083" t="s">
        <v>50</v>
      </c>
      <c r="J1083" s="5">
        <v>.9999999999999999999999999999999999999996</v>
      </c>
      <c r="K1083" t="s">
        <v>38</v>
      </c>
      <c r="M1083">
        <v>61859</v>
      </c>
      <c r="N1083" t="s">
        <v>554</v>
      </c>
      <c r="O1083" t="s">
        <v>555</v>
      </c>
      <c r="P1083" t="s">
        <v>38</v>
      </c>
      <c r="Q1083" t="s">
        <v>50</v>
      </c>
      <c r="R1083">
        <v>.9999999999999999999999999999999999999996</v>
      </c>
      <c r="S1083" t="s">
        <v>45</v>
      </c>
      <c r="T1083" t="str" s="2">
        <f>=HYPERLINK("http://demo.enginatics.com:80/ecc/user/applications/log/61849.log","http://demo.enginatics.com:80/ecc/user/applications/log/61849.log")</f>
        <v>"http://demo.enginatics.com:80/ecc/user/applications/log/61849.log")</v>
      </c>
      <c r="U1083">
        <v>61860</v>
      </c>
      <c r="V1083" t="s">
        <v>38</v>
      </c>
      <c r="W1083" t="s">
        <v>50</v>
      </c>
      <c r="X1083">
        <v>.9999999999999999999999999999999999999996</v>
      </c>
      <c r="Y1083">
        <v>0</v>
      </c>
      <c r="Z1083" t="s">
        <v>46</v>
      </c>
      <c r="AA1083">
        <v>61861</v>
      </c>
      <c r="AB1083" t="s">
        <v>556</v>
      </c>
      <c r="AC1083" t="s">
        <v>48</v>
      </c>
      <c r="AD1083" t="s">
        <v>38</v>
      </c>
      <c r="AE1083" t="s">
        <v>49</v>
      </c>
      <c r="AF1083" t="s">
        <v>50</v>
      </c>
      <c r="AG1083">
        <v>.9999999999999999999999999999999999999996</v>
      </c>
      <c r="AH1083">
        <v>0</v>
      </c>
      <c r="AI1083" t="s">
        <v>51</v>
      </c>
      <c r="AJ1083" t="s">
        <v>51</v>
      </c>
      <c r="AK1083" t="s">
        <v>51</v>
      </c>
    </row>
    <row r="1084" spans="1:37" x14ac:dyDescent="0.2">
      <c r="A1084">
        <v>61848</v>
      </c>
      <c r="B1084" t="s">
        <v>37</v>
      </c>
      <c r="C1084" t="s">
        <v>38</v>
      </c>
      <c r="D1084" t="s">
        <v>553</v>
      </c>
      <c r="E1084" t="s">
        <v>572</v>
      </c>
      <c r="G1084" s="4">
        <v>43947.544085648148</v>
      </c>
      <c r="H1084" s="4">
        <v>43947.544085648148</v>
      </c>
      <c r="I1084" t="s">
        <v>50</v>
      </c>
      <c r="J1084" s="5">
        <v>0</v>
      </c>
      <c r="K1084" t="s">
        <v>38</v>
      </c>
      <c r="M1084">
        <v>61856</v>
      </c>
      <c r="N1084" t="s">
        <v>572</v>
      </c>
      <c r="O1084" t="s">
        <v>573</v>
      </c>
      <c r="P1084" t="s">
        <v>38</v>
      </c>
      <c r="Q1084" t="s">
        <v>50</v>
      </c>
      <c r="R1084">
        <v>0</v>
      </c>
      <c r="S1084" t="s">
        <v>45</v>
      </c>
      <c r="T1084" t="str" s="2">
        <f>=HYPERLINK("http://demo.enginatics.com:80/ecc/user/applications/log/61848.log","http://demo.enginatics.com:80/ecc/user/applications/log/61848.log")</f>
        <v>"http://demo.enginatics.com:80/ecc/user/applications/log/61848.log")</v>
      </c>
      <c r="U1084">
        <v>61857</v>
      </c>
      <c r="V1084" t="s">
        <v>38</v>
      </c>
      <c r="W1084" t="s">
        <v>50</v>
      </c>
      <c r="X1084">
        <v>0</v>
      </c>
      <c r="Y1084">
        <v>0</v>
      </c>
      <c r="Z1084" t="s">
        <v>46</v>
      </c>
      <c r="AA1084">
        <v>61858</v>
      </c>
      <c r="AB1084" t="s">
        <v>574</v>
      </c>
      <c r="AC1084" t="s">
        <v>48</v>
      </c>
      <c r="AD1084" t="s">
        <v>38</v>
      </c>
      <c r="AE1084" t="s">
        <v>49</v>
      </c>
      <c r="AF1084" t="s">
        <v>50</v>
      </c>
      <c r="AG1084">
        <v>0</v>
      </c>
      <c r="AH1084">
        <v>0</v>
      </c>
      <c r="AI1084" t="s">
        <v>51</v>
      </c>
      <c r="AJ1084" t="s">
        <v>51</v>
      </c>
      <c r="AK1084" t="s">
        <v>51</v>
      </c>
    </row>
    <row r="1085" spans="1:37" x14ac:dyDescent="0.2">
      <c r="A1085">
        <v>61844</v>
      </c>
      <c r="B1085" t="s">
        <v>37</v>
      </c>
      <c r="C1085" t="s">
        <v>38</v>
      </c>
      <c r="D1085" t="s">
        <v>553</v>
      </c>
      <c r="E1085" t="s">
        <v>578</v>
      </c>
      <c r="G1085" s="4">
        <v>43947.544074074074</v>
      </c>
      <c r="H1085" s="4">
        <v>43947.544085648148</v>
      </c>
      <c r="I1085" t="s">
        <v>50</v>
      </c>
      <c r="J1085" s="5">
        <v>.9999999999999999999999999999999999999996</v>
      </c>
      <c r="K1085" t="s">
        <v>38</v>
      </c>
      <c r="M1085">
        <v>61851</v>
      </c>
      <c r="N1085" t="s">
        <v>578</v>
      </c>
      <c r="O1085" t="s">
        <v>579</v>
      </c>
      <c r="P1085" t="s">
        <v>38</v>
      </c>
      <c r="Q1085" t="s">
        <v>50</v>
      </c>
      <c r="R1085">
        <v>0</v>
      </c>
      <c r="S1085" t="s">
        <v>45</v>
      </c>
      <c r="T1085" t="str" s="2">
        <f>=HYPERLINK("http://demo.enginatics.com:80/ecc/user/applications/log/61844.log","http://demo.enginatics.com:80/ecc/user/applications/log/61844.log")</f>
        <v>"http://demo.enginatics.com:80/ecc/user/applications/log/61844.log")</v>
      </c>
      <c r="U1085">
        <v>61852</v>
      </c>
      <c r="V1085" t="s">
        <v>38</v>
      </c>
      <c r="W1085" t="s">
        <v>50</v>
      </c>
      <c r="X1085">
        <v>0</v>
      </c>
      <c r="Y1085">
        <v>0</v>
      </c>
      <c r="Z1085" t="s">
        <v>46</v>
      </c>
      <c r="AA1085">
        <v>61854</v>
      </c>
      <c r="AB1085" t="s">
        <v>580</v>
      </c>
      <c r="AC1085" t="s">
        <v>48</v>
      </c>
      <c r="AD1085" t="s">
        <v>38</v>
      </c>
      <c r="AE1085" t="s">
        <v>49</v>
      </c>
      <c r="AF1085" t="s">
        <v>50</v>
      </c>
      <c r="AG1085">
        <v>0</v>
      </c>
      <c r="AH1085">
        <v>0</v>
      </c>
      <c r="AI1085" t="s">
        <v>51</v>
      </c>
      <c r="AJ1085" t="s">
        <v>51</v>
      </c>
      <c r="AK1085" t="s">
        <v>51</v>
      </c>
    </row>
    <row r="1086" spans="1:37" x14ac:dyDescent="0.2">
      <c r="A1086">
        <v>61842</v>
      </c>
      <c r="B1086" t="s">
        <v>37</v>
      </c>
      <c r="C1086" t="s">
        <v>38</v>
      </c>
      <c r="D1086" t="s">
        <v>553</v>
      </c>
      <c r="E1086" t="s">
        <v>566</v>
      </c>
      <c r="G1086" s="4">
        <v>43947.544074074074</v>
      </c>
      <c r="H1086" s="4">
        <v>43947.544085648148</v>
      </c>
      <c r="I1086" t="s">
        <v>50</v>
      </c>
      <c r="J1086" s="5">
        <v>.9999999999999999999999999999999999999996</v>
      </c>
      <c r="K1086" t="s">
        <v>38</v>
      </c>
      <c r="M1086">
        <v>61846</v>
      </c>
      <c r="N1086" t="s">
        <v>566</v>
      </c>
      <c r="O1086" t="s">
        <v>567</v>
      </c>
      <c r="P1086" t="s">
        <v>38</v>
      </c>
      <c r="Q1086" t="s">
        <v>50</v>
      </c>
      <c r="R1086">
        <v>.9999999999999999999999999999999999999996</v>
      </c>
      <c r="S1086" t="s">
        <v>45</v>
      </c>
      <c r="T1086" t="str" s="2">
        <f>=HYPERLINK("http://demo.enginatics.com:80/ecc/user/applications/log/61842.log","http://demo.enginatics.com:80/ecc/user/applications/log/61842.log")</f>
        <v>"http://demo.enginatics.com:80/ecc/user/applications/log/61842.log")</v>
      </c>
      <c r="U1086">
        <v>61847</v>
      </c>
      <c r="V1086" t="s">
        <v>38</v>
      </c>
      <c r="W1086" t="s">
        <v>50</v>
      </c>
      <c r="X1086">
        <v>0</v>
      </c>
      <c r="Y1086">
        <v>0</v>
      </c>
      <c r="Z1086" t="s">
        <v>46</v>
      </c>
      <c r="AA1086">
        <v>61850</v>
      </c>
      <c r="AB1086" t="s">
        <v>568</v>
      </c>
      <c r="AC1086" t="s">
        <v>48</v>
      </c>
      <c r="AD1086" t="s">
        <v>38</v>
      </c>
      <c r="AE1086" t="s">
        <v>49</v>
      </c>
      <c r="AF1086" t="s">
        <v>50</v>
      </c>
      <c r="AG1086">
        <v>0</v>
      </c>
      <c r="AH1086">
        <v>0</v>
      </c>
      <c r="AI1086" t="s">
        <v>51</v>
      </c>
      <c r="AJ1086" t="s">
        <v>51</v>
      </c>
      <c r="AK1086" t="s">
        <v>51</v>
      </c>
    </row>
    <row r="1087" spans="1:37" x14ac:dyDescent="0.2">
      <c r="A1087">
        <v>61840</v>
      </c>
      <c r="B1087" t="s">
        <v>37</v>
      </c>
      <c r="C1087" t="s">
        <v>38</v>
      </c>
      <c r="D1087" t="s">
        <v>553</v>
      </c>
      <c r="E1087" t="s">
        <v>557</v>
      </c>
      <c r="G1087" s="4">
        <v>43947.544074074074</v>
      </c>
      <c r="H1087" s="4">
        <v>43947.544085648148</v>
      </c>
      <c r="I1087" t="s">
        <v>50</v>
      </c>
      <c r="J1087" s="5">
        <v>.9999999999999999999999999999999999999996</v>
      </c>
      <c r="K1087" t="s">
        <v>38</v>
      </c>
      <c r="M1087">
        <v>61841</v>
      </c>
      <c r="N1087" t="s">
        <v>557</v>
      </c>
      <c r="O1087" t="s">
        <v>558</v>
      </c>
      <c r="P1087" t="s">
        <v>38</v>
      </c>
      <c r="Q1087" t="s">
        <v>50</v>
      </c>
      <c r="R1087">
        <v>.9999999999999999999999999999999999999996</v>
      </c>
      <c r="S1087" t="s">
        <v>45</v>
      </c>
      <c r="T1087" t="str" s="2">
        <f>=HYPERLINK("http://demo.enginatics.com:80/ecc/user/applications/log/61840.log","http://demo.enginatics.com:80/ecc/user/applications/log/61840.log")</f>
        <v>"http://demo.enginatics.com:80/ecc/user/applications/log/61840.log")</v>
      </c>
      <c r="U1087">
        <v>61843</v>
      </c>
      <c r="V1087" t="s">
        <v>38</v>
      </c>
      <c r="W1087" t="s">
        <v>50</v>
      </c>
      <c r="X1087">
        <v>.9999999999999999999999999999999999999996</v>
      </c>
      <c r="Y1087">
        <v>0</v>
      </c>
      <c r="Z1087" t="s">
        <v>46</v>
      </c>
      <c r="AA1087">
        <v>61845</v>
      </c>
      <c r="AB1087" t="s">
        <v>559</v>
      </c>
      <c r="AC1087" t="s">
        <v>48</v>
      </c>
      <c r="AD1087" t="s">
        <v>38</v>
      </c>
      <c r="AE1087" t="s">
        <v>49</v>
      </c>
      <c r="AF1087" t="s">
        <v>50</v>
      </c>
      <c r="AG1087">
        <v>.9999999999999999999999999999999999999996</v>
      </c>
      <c r="AH1087">
        <v>0</v>
      </c>
      <c r="AI1087" t="s">
        <v>51</v>
      </c>
      <c r="AJ1087" t="s">
        <v>51</v>
      </c>
      <c r="AK1087" t="s">
        <v>51</v>
      </c>
    </row>
    <row r="1088" spans="1:37" x14ac:dyDescent="0.2">
      <c r="A1088">
        <v>61833</v>
      </c>
      <c r="B1088" t="s">
        <v>37</v>
      </c>
      <c r="C1088" t="s">
        <v>38</v>
      </c>
      <c r="D1088" t="s">
        <v>553</v>
      </c>
      <c r="E1088" t="s">
        <v>563</v>
      </c>
      <c r="G1088" s="4">
        <v>43947.5440625</v>
      </c>
      <c r="H1088" s="4">
        <v>43947.544074074074</v>
      </c>
      <c r="I1088" t="s">
        <v>50</v>
      </c>
      <c r="J1088" s="5">
        <v>.9999999999999999999999999999999999999996</v>
      </c>
      <c r="K1088" t="s">
        <v>38</v>
      </c>
      <c r="M1088">
        <v>61837</v>
      </c>
      <c r="N1088" t="s">
        <v>563</v>
      </c>
      <c r="O1088" t="s">
        <v>564</v>
      </c>
      <c r="P1088" t="s">
        <v>38</v>
      </c>
      <c r="Q1088" t="s">
        <v>50</v>
      </c>
      <c r="R1088">
        <v>.9999999999999999999999999999999999999996</v>
      </c>
      <c r="S1088" t="s">
        <v>45</v>
      </c>
      <c r="T1088" t="str" s="2">
        <f>=HYPERLINK("http://demo.enginatics.com:80/ecc/user/applications/log/61833.log","http://demo.enginatics.com:80/ecc/user/applications/log/61833.log")</f>
        <v>"http://demo.enginatics.com:80/ecc/user/applications/log/61833.log")</v>
      </c>
      <c r="U1088">
        <v>61838</v>
      </c>
      <c r="V1088" t="s">
        <v>38</v>
      </c>
      <c r="W1088" t="s">
        <v>50</v>
      </c>
      <c r="X1088">
        <v>.9999999999999999999999999999999999999996</v>
      </c>
      <c r="Y1088">
        <v>0</v>
      </c>
      <c r="Z1088" t="s">
        <v>46</v>
      </c>
      <c r="AA1088">
        <v>61839</v>
      </c>
      <c r="AB1088" t="s">
        <v>565</v>
      </c>
      <c r="AC1088" t="s">
        <v>48</v>
      </c>
      <c r="AD1088" t="s">
        <v>38</v>
      </c>
      <c r="AE1088" t="s">
        <v>49</v>
      </c>
      <c r="AF1088" t="s">
        <v>50</v>
      </c>
      <c r="AG1088">
        <v>.9999999999999999999999999999999999999996</v>
      </c>
      <c r="AH1088">
        <v>0</v>
      </c>
      <c r="AI1088" t="s">
        <v>51</v>
      </c>
      <c r="AJ1088" t="s">
        <v>51</v>
      </c>
      <c r="AK1088" t="s">
        <v>51</v>
      </c>
    </row>
    <row r="1089" spans="1:37" x14ac:dyDescent="0.2">
      <c r="A1089">
        <v>61831</v>
      </c>
      <c r="B1089" t="s">
        <v>37</v>
      </c>
      <c r="C1089" t="s">
        <v>38</v>
      </c>
      <c r="D1089" t="s">
        <v>553</v>
      </c>
      <c r="E1089" t="s">
        <v>590</v>
      </c>
      <c r="G1089" s="4">
        <v>43947.544039351852</v>
      </c>
      <c r="H1089" s="4">
        <v>43947.5440625</v>
      </c>
      <c r="I1089" t="s">
        <v>88</v>
      </c>
      <c r="J1089" s="5">
        <v>2</v>
      </c>
      <c r="K1089" t="s">
        <v>38</v>
      </c>
      <c r="M1089">
        <v>61834</v>
      </c>
      <c r="N1089" t="s">
        <v>590</v>
      </c>
      <c r="O1089" t="s">
        <v>591</v>
      </c>
      <c r="P1089" t="s">
        <v>38</v>
      </c>
      <c r="Q1089" t="s">
        <v>50</v>
      </c>
      <c r="R1089">
        <v>0</v>
      </c>
      <c r="S1089" t="s">
        <v>45</v>
      </c>
      <c r="T1089" t="str" s="2">
        <f>=HYPERLINK("http://demo.enginatics.com:80/ecc/user/applications/log/61831.log","http://demo.enginatics.com:80/ecc/user/applications/log/61831.log")</f>
        <v>"http://demo.enginatics.com:80/ecc/user/applications/log/61831.log")</v>
      </c>
      <c r="U1089">
        <v>61835</v>
      </c>
      <c r="V1089" t="s">
        <v>38</v>
      </c>
      <c r="W1089" t="s">
        <v>50</v>
      </c>
      <c r="X1089">
        <v>0</v>
      </c>
      <c r="Y1089">
        <v>0</v>
      </c>
      <c r="Z1089" t="s">
        <v>46</v>
      </c>
      <c r="AA1089">
        <v>61836</v>
      </c>
      <c r="AB1089" t="s">
        <v>592</v>
      </c>
      <c r="AC1089" t="s">
        <v>48</v>
      </c>
      <c r="AD1089" t="s">
        <v>38</v>
      </c>
      <c r="AE1089" t="s">
        <v>49</v>
      </c>
      <c r="AF1089" t="s">
        <v>50</v>
      </c>
      <c r="AG1089">
        <v>0</v>
      </c>
      <c r="AH1089">
        <v>0</v>
      </c>
      <c r="AI1089" t="s">
        <v>51</v>
      </c>
      <c r="AJ1089" t="s">
        <v>51</v>
      </c>
      <c r="AK1089" t="s">
        <v>51</v>
      </c>
    </row>
    <row r="1090" spans="1:37" x14ac:dyDescent="0.2">
      <c r="A1090">
        <v>61825</v>
      </c>
      <c r="B1090" t="s">
        <v>37</v>
      </c>
      <c r="C1090" t="s">
        <v>38</v>
      </c>
      <c r="D1090" t="s">
        <v>553</v>
      </c>
      <c r="E1090" t="s">
        <v>560</v>
      </c>
      <c r="G1090" s="4">
        <v>43947.544039351852</v>
      </c>
      <c r="H1090" s="4">
        <v>43947.544074074074</v>
      </c>
      <c r="I1090" t="s">
        <v>85</v>
      </c>
      <c r="J1090" s="5">
        <v>3</v>
      </c>
      <c r="K1090" t="s">
        <v>38</v>
      </c>
      <c r="M1090">
        <v>61828</v>
      </c>
      <c r="N1090" t="s">
        <v>560</v>
      </c>
      <c r="O1090" t="s">
        <v>561</v>
      </c>
      <c r="P1090" t="s">
        <v>38</v>
      </c>
      <c r="Q1090" t="s">
        <v>88</v>
      </c>
      <c r="R1090">
        <v>2</v>
      </c>
      <c r="S1090" t="s">
        <v>45</v>
      </c>
      <c r="T1090" t="str" s="2">
        <f>=HYPERLINK("http://demo.enginatics.com:80/ecc/user/applications/log/61825.log","http://demo.enginatics.com:80/ecc/user/applications/log/61825.log")</f>
        <v>"http://demo.enginatics.com:80/ecc/user/applications/log/61825.log")</v>
      </c>
      <c r="U1090">
        <v>61830</v>
      </c>
      <c r="V1090" t="s">
        <v>38</v>
      </c>
      <c r="W1090" t="s">
        <v>88</v>
      </c>
      <c r="X1090">
        <v>2</v>
      </c>
      <c r="Y1090">
        <v>1</v>
      </c>
      <c r="Z1090" t="s">
        <v>46</v>
      </c>
      <c r="AA1090">
        <v>61832</v>
      </c>
      <c r="AB1090" t="s">
        <v>562</v>
      </c>
      <c r="AC1090" t="s">
        <v>48</v>
      </c>
      <c r="AD1090" t="s">
        <v>38</v>
      </c>
      <c r="AE1090" t="s">
        <v>49</v>
      </c>
      <c r="AF1090" t="s">
        <v>50</v>
      </c>
      <c r="AG1090">
        <v>0</v>
      </c>
      <c r="AH1090">
        <v>0</v>
      </c>
      <c r="AI1090" t="s">
        <v>51</v>
      </c>
      <c r="AJ1090" t="s">
        <v>51</v>
      </c>
      <c r="AK1090" t="s">
        <v>51</v>
      </c>
    </row>
    <row r="1091" spans="1:37" x14ac:dyDescent="0.2">
      <c r="A1091">
        <v>61821</v>
      </c>
      <c r="B1091" t="s">
        <v>37</v>
      </c>
      <c r="C1091" t="s">
        <v>38</v>
      </c>
      <c r="D1091" t="s">
        <v>553</v>
      </c>
      <c r="E1091" t="s">
        <v>575</v>
      </c>
      <c r="G1091" s="4">
        <v>43947.544027777778</v>
      </c>
      <c r="H1091" s="4">
        <v>43947.5440625</v>
      </c>
      <c r="I1091" t="s">
        <v>85</v>
      </c>
      <c r="J1091" s="5">
        <v>3</v>
      </c>
      <c r="K1091" t="s">
        <v>38</v>
      </c>
      <c r="M1091">
        <v>61826</v>
      </c>
      <c r="N1091" t="s">
        <v>575</v>
      </c>
      <c r="O1091" t="s">
        <v>576</v>
      </c>
      <c r="P1091" t="s">
        <v>38</v>
      </c>
      <c r="Q1091" t="s">
        <v>88</v>
      </c>
      <c r="R1091">
        <v>2</v>
      </c>
      <c r="S1091" t="s">
        <v>45</v>
      </c>
      <c r="T1091" t="str" s="2">
        <f>=HYPERLINK("http://demo.enginatics.com:80/ecc/user/applications/log/61821.log","http://demo.enginatics.com:80/ecc/user/applications/log/61821.log")</f>
        <v>"http://demo.enginatics.com:80/ecc/user/applications/log/61821.log")</v>
      </c>
      <c r="U1091">
        <v>61827</v>
      </c>
      <c r="V1091" t="s">
        <v>38</v>
      </c>
      <c r="W1091" t="s">
        <v>88</v>
      </c>
      <c r="X1091">
        <v>2</v>
      </c>
      <c r="Y1091">
        <v>0</v>
      </c>
      <c r="Z1091" t="s">
        <v>46</v>
      </c>
      <c r="AA1091">
        <v>61829</v>
      </c>
      <c r="AB1091" t="s">
        <v>577</v>
      </c>
      <c r="AC1091" t="s">
        <v>48</v>
      </c>
      <c r="AD1091" t="s">
        <v>38</v>
      </c>
      <c r="AE1091" t="s">
        <v>49</v>
      </c>
      <c r="AF1091" t="s">
        <v>88</v>
      </c>
      <c r="AG1091">
        <v>2</v>
      </c>
      <c r="AH1091">
        <v>1</v>
      </c>
      <c r="AI1091" t="s">
        <v>51</v>
      </c>
      <c r="AJ1091" t="s">
        <v>51</v>
      </c>
      <c r="AK1091" t="s">
        <v>51</v>
      </c>
    </row>
    <row r="1092" spans="1:37" x14ac:dyDescent="0.2">
      <c r="A1092">
        <v>61820</v>
      </c>
      <c r="B1092" t="s">
        <v>37</v>
      </c>
      <c r="C1092" t="s">
        <v>38</v>
      </c>
      <c r="D1092" t="s">
        <v>553</v>
      </c>
      <c r="E1092" t="s">
        <v>587</v>
      </c>
      <c r="G1092" s="4">
        <v>43947.544027777778</v>
      </c>
      <c r="H1092" s="4">
        <v>43947.544039351852</v>
      </c>
      <c r="I1092" t="s">
        <v>50</v>
      </c>
      <c r="J1092" s="5">
        <v>.9999999999999999999999999999999999999996</v>
      </c>
      <c r="K1092" t="s">
        <v>38</v>
      </c>
      <c r="M1092">
        <v>61822</v>
      </c>
      <c r="N1092" t="s">
        <v>587</v>
      </c>
      <c r="O1092" t="s">
        <v>588</v>
      </c>
      <c r="P1092" t="s">
        <v>38</v>
      </c>
      <c r="Q1092" t="s">
        <v>50</v>
      </c>
      <c r="R1092">
        <v>.9999999999999999999999999999999999999996</v>
      </c>
      <c r="S1092" t="s">
        <v>45</v>
      </c>
      <c r="T1092" t="str" s="2">
        <f>=HYPERLINK("http://demo.enginatics.com:80/ecc/user/applications/log/61820.log","http://demo.enginatics.com:80/ecc/user/applications/log/61820.log")</f>
        <v>"http://demo.enginatics.com:80/ecc/user/applications/log/61820.log")</v>
      </c>
      <c r="U1092">
        <v>61823</v>
      </c>
      <c r="V1092" t="s">
        <v>38</v>
      </c>
      <c r="W1092" t="s">
        <v>50</v>
      </c>
      <c r="X1092">
        <v>.9999999999999999999999999999999999999996</v>
      </c>
      <c r="Y1092">
        <v>0</v>
      </c>
      <c r="Z1092" t="s">
        <v>46</v>
      </c>
      <c r="AA1092">
        <v>61824</v>
      </c>
      <c r="AB1092" t="s">
        <v>589</v>
      </c>
      <c r="AC1092" t="s">
        <v>48</v>
      </c>
      <c r="AD1092" t="s">
        <v>38</v>
      </c>
      <c r="AE1092" t="s">
        <v>49</v>
      </c>
      <c r="AF1092" t="s">
        <v>50</v>
      </c>
      <c r="AG1092">
        <v>.9999999999999999999999999999999999999996</v>
      </c>
      <c r="AH1092">
        <v>0</v>
      </c>
      <c r="AI1092" t="s">
        <v>51</v>
      </c>
      <c r="AJ1092" t="s">
        <v>51</v>
      </c>
      <c r="AK1092" t="s">
        <v>51</v>
      </c>
    </row>
    <row r="1093" spans="1:37" x14ac:dyDescent="0.2">
      <c r="A1093">
        <v>61813</v>
      </c>
      <c r="B1093" t="s">
        <v>37</v>
      </c>
      <c r="C1093" t="s">
        <v>38</v>
      </c>
      <c r="D1093" t="s">
        <v>553</v>
      </c>
      <c r="E1093" t="s">
        <v>584</v>
      </c>
      <c r="G1093" s="4">
        <v>43947.544016203704</v>
      </c>
      <c r="H1093" s="4">
        <v>43947.544027777778</v>
      </c>
      <c r="I1093" t="s">
        <v>50</v>
      </c>
      <c r="J1093" s="5">
        <v>.9999999999999999999999999999999999999996</v>
      </c>
      <c r="K1093" t="s">
        <v>38</v>
      </c>
      <c r="M1093">
        <v>61817</v>
      </c>
      <c r="N1093" t="s">
        <v>584</v>
      </c>
      <c r="O1093" t="s">
        <v>585</v>
      </c>
      <c r="P1093" t="s">
        <v>38</v>
      </c>
      <c r="Q1093" t="s">
        <v>50</v>
      </c>
      <c r="R1093">
        <v>0</v>
      </c>
      <c r="S1093" t="s">
        <v>45</v>
      </c>
      <c r="T1093" t="str" s="2">
        <f>=HYPERLINK("http://demo.enginatics.com:80/ecc/user/applications/log/61813.log","http://demo.enginatics.com:80/ecc/user/applications/log/61813.log")</f>
        <v>"http://demo.enginatics.com:80/ecc/user/applications/log/61813.log")</v>
      </c>
      <c r="U1093">
        <v>61818</v>
      </c>
      <c r="V1093" t="s">
        <v>38</v>
      </c>
      <c r="W1093" t="s">
        <v>50</v>
      </c>
      <c r="X1093">
        <v>0</v>
      </c>
      <c r="Y1093">
        <v>0</v>
      </c>
      <c r="Z1093" t="s">
        <v>46</v>
      </c>
      <c r="AA1093">
        <v>61819</v>
      </c>
      <c r="AB1093" t="s">
        <v>586</v>
      </c>
      <c r="AC1093" t="s">
        <v>48</v>
      </c>
      <c r="AD1093" t="s">
        <v>38</v>
      </c>
      <c r="AE1093" t="s">
        <v>49</v>
      </c>
      <c r="AF1093" t="s">
        <v>50</v>
      </c>
      <c r="AG1093">
        <v>0</v>
      </c>
      <c r="AH1093">
        <v>0</v>
      </c>
      <c r="AI1093" t="s">
        <v>51</v>
      </c>
      <c r="AJ1093" t="s">
        <v>51</v>
      </c>
      <c r="AK1093" t="s">
        <v>51</v>
      </c>
    </row>
    <row r="1094" spans="1:37" x14ac:dyDescent="0.2">
      <c r="A1094">
        <v>61812</v>
      </c>
      <c r="B1094" t="s">
        <v>37</v>
      </c>
      <c r="C1094" t="s">
        <v>38</v>
      </c>
      <c r="D1094" t="s">
        <v>553</v>
      </c>
      <c r="E1094" t="s">
        <v>593</v>
      </c>
      <c r="G1094" s="4">
        <v>43947.544016203704</v>
      </c>
      <c r="H1094" s="4">
        <v>43947.544039351852</v>
      </c>
      <c r="I1094" t="s">
        <v>88</v>
      </c>
      <c r="J1094" s="5">
        <v>2</v>
      </c>
      <c r="K1094" t="s">
        <v>38</v>
      </c>
      <c r="M1094">
        <v>61814</v>
      </c>
      <c r="N1094" t="s">
        <v>593</v>
      </c>
      <c r="O1094" t="s">
        <v>594</v>
      </c>
      <c r="P1094" t="s">
        <v>38</v>
      </c>
      <c r="Q1094" t="s">
        <v>88</v>
      </c>
      <c r="R1094">
        <v>2</v>
      </c>
      <c r="S1094" t="s">
        <v>45</v>
      </c>
      <c r="T1094" t="str" s="2">
        <f>=HYPERLINK("http://demo.enginatics.com:80/ecc/user/applications/log/61812.log","http://demo.enginatics.com:80/ecc/user/applications/log/61812.log")</f>
        <v>"http://demo.enginatics.com:80/ecc/user/applications/log/61812.log")</v>
      </c>
      <c r="U1094">
        <v>61815</v>
      </c>
      <c r="V1094" t="s">
        <v>38</v>
      </c>
      <c r="W1094" t="s">
        <v>88</v>
      </c>
      <c r="X1094">
        <v>2</v>
      </c>
      <c r="Y1094">
        <v>0</v>
      </c>
      <c r="Z1094" t="s">
        <v>46</v>
      </c>
      <c r="AA1094">
        <v>61816</v>
      </c>
      <c r="AB1094" t="s">
        <v>973</v>
      </c>
      <c r="AC1094" t="s">
        <v>48</v>
      </c>
      <c r="AD1094" t="s">
        <v>38</v>
      </c>
      <c r="AE1094" t="s">
        <v>49</v>
      </c>
      <c r="AF1094" t="s">
        <v>88</v>
      </c>
      <c r="AG1094">
        <v>2</v>
      </c>
      <c r="AH1094">
        <v>1</v>
      </c>
      <c r="AI1094" t="s">
        <v>51</v>
      </c>
      <c r="AJ1094" t="s">
        <v>51</v>
      </c>
      <c r="AK1094" t="s">
        <v>51</v>
      </c>
    </row>
    <row r="1095" spans="1:37" x14ac:dyDescent="0.2">
      <c r="A1095">
        <v>61808</v>
      </c>
      <c r="B1095" t="s">
        <v>37</v>
      </c>
      <c r="C1095" t="s">
        <v>38</v>
      </c>
      <c r="D1095" t="s">
        <v>553</v>
      </c>
      <c r="E1095" t="s">
        <v>596</v>
      </c>
      <c r="G1095" s="4">
        <v>43947.543969907407</v>
      </c>
      <c r="H1095" s="4">
        <v>43947.544027777778</v>
      </c>
      <c r="I1095" t="s">
        <v>78</v>
      </c>
      <c r="J1095" s="5">
        <v>5</v>
      </c>
      <c r="K1095" t="s">
        <v>38</v>
      </c>
      <c r="M1095">
        <v>61809</v>
      </c>
      <c r="N1095" t="s">
        <v>596</v>
      </c>
      <c r="O1095" t="s">
        <v>597</v>
      </c>
      <c r="P1095" t="s">
        <v>38</v>
      </c>
      <c r="Q1095" t="s">
        <v>78</v>
      </c>
      <c r="R1095">
        <v>5</v>
      </c>
      <c r="S1095" t="s">
        <v>45</v>
      </c>
      <c r="T1095" t="str" s="2">
        <f>=HYPERLINK("http://demo.enginatics.com:80/ecc/user/applications/log/61808.log","http://demo.enginatics.com:80/ecc/user/applications/log/61808.log")</f>
        <v>"http://demo.enginatics.com:80/ecc/user/applications/log/61808.log")</v>
      </c>
      <c r="U1095">
        <v>61810</v>
      </c>
      <c r="V1095" t="s">
        <v>38</v>
      </c>
      <c r="W1095" t="s">
        <v>78</v>
      </c>
      <c r="X1095">
        <v>5</v>
      </c>
      <c r="Y1095">
        <v>0</v>
      </c>
      <c r="Z1095" t="s">
        <v>46</v>
      </c>
      <c r="AA1095">
        <v>61811</v>
      </c>
      <c r="AB1095" t="s">
        <v>974</v>
      </c>
      <c r="AC1095" t="s">
        <v>48</v>
      </c>
      <c r="AD1095" t="s">
        <v>38</v>
      </c>
      <c r="AE1095" t="s">
        <v>49</v>
      </c>
      <c r="AF1095" t="s">
        <v>78</v>
      </c>
      <c r="AG1095">
        <v>5</v>
      </c>
      <c r="AH1095">
        <v>4</v>
      </c>
      <c r="AI1095" t="s">
        <v>51</v>
      </c>
      <c r="AJ1095" t="s">
        <v>51</v>
      </c>
      <c r="AK1095" t="s">
        <v>51</v>
      </c>
    </row>
    <row r="1096" spans="1:37" x14ac:dyDescent="0.2">
      <c r="A1096">
        <v>61804</v>
      </c>
      <c r="B1096" t="s">
        <v>37</v>
      </c>
      <c r="C1096" t="s">
        <v>38</v>
      </c>
      <c r="D1096" t="s">
        <v>83</v>
      </c>
      <c r="E1096" t="s">
        <v>599</v>
      </c>
      <c r="G1096" s="4">
        <v>43947.54306712963</v>
      </c>
      <c r="H1096" s="4">
        <v>43947.543136574074</v>
      </c>
      <c r="I1096" t="s">
        <v>75</v>
      </c>
      <c r="J1096" s="5">
        <v>6</v>
      </c>
      <c r="K1096" t="s">
        <v>38</v>
      </c>
      <c r="M1096">
        <v>61805</v>
      </c>
      <c r="N1096" t="s">
        <v>599</v>
      </c>
      <c r="O1096" t="s">
        <v>600</v>
      </c>
      <c r="P1096" t="s">
        <v>38</v>
      </c>
      <c r="Q1096" t="s">
        <v>78</v>
      </c>
      <c r="R1096">
        <v>5</v>
      </c>
      <c r="S1096" t="s">
        <v>45</v>
      </c>
      <c r="T1096" t="str" s="2">
        <f>=HYPERLINK("http://demo.enginatics.com:80/ecc/user/applications/log/61804.log","http://demo.enginatics.com:80/ecc/user/applications/log/61804.log")</f>
        <v>"http://demo.enginatics.com:80/ecc/user/applications/log/61804.log")</v>
      </c>
      <c r="U1096">
        <v>61806</v>
      </c>
      <c r="V1096" t="s">
        <v>38</v>
      </c>
      <c r="W1096" t="s">
        <v>78</v>
      </c>
      <c r="X1096">
        <v>5</v>
      </c>
      <c r="Y1096">
        <v>0</v>
      </c>
      <c r="Z1096" t="s">
        <v>46</v>
      </c>
      <c r="AA1096">
        <v>61807</v>
      </c>
      <c r="AB1096" t="s">
        <v>1204</v>
      </c>
      <c r="AC1096" t="s">
        <v>68</v>
      </c>
      <c r="AD1096" t="s">
        <v>38</v>
      </c>
      <c r="AE1096" t="s">
        <v>49</v>
      </c>
      <c r="AF1096" t="s">
        <v>78</v>
      </c>
      <c r="AG1096">
        <v>5</v>
      </c>
      <c r="AH1096">
        <v>2</v>
      </c>
      <c r="AI1096" t="s">
        <v>51</v>
      </c>
      <c r="AJ1096" t="s">
        <v>51</v>
      </c>
      <c r="AK1096" t="s">
        <v>51</v>
      </c>
    </row>
    <row r="1097" spans="1:37" x14ac:dyDescent="0.2">
      <c r="A1097">
        <v>61800</v>
      </c>
      <c r="B1097" t="s">
        <v>37</v>
      </c>
      <c r="C1097" t="s">
        <v>38</v>
      </c>
      <c r="D1097" t="s">
        <v>602</v>
      </c>
      <c r="E1097" t="s">
        <v>603</v>
      </c>
      <c r="G1097" s="4">
        <v>43947.532268518519</v>
      </c>
      <c r="H1097" s="4">
        <v>43947.532349537037</v>
      </c>
      <c r="I1097" t="s">
        <v>247</v>
      </c>
      <c r="J1097" s="5">
        <v>7</v>
      </c>
      <c r="K1097" t="s">
        <v>38</v>
      </c>
      <c r="M1097">
        <v>61801</v>
      </c>
      <c r="N1097" t="s">
        <v>603</v>
      </c>
      <c r="O1097" t="s">
        <v>604</v>
      </c>
      <c r="P1097" t="s">
        <v>38</v>
      </c>
      <c r="Q1097" t="s">
        <v>247</v>
      </c>
      <c r="R1097">
        <v>7</v>
      </c>
      <c r="S1097" t="s">
        <v>45</v>
      </c>
      <c r="T1097" t="str" s="2">
        <f>=HYPERLINK("http://demo.enginatics.com:80/ecc/user/applications/log/61800.log","http://demo.enginatics.com:80/ecc/user/applications/log/61800.log")</f>
        <v>"http://demo.enginatics.com:80/ecc/user/applications/log/61800.log")</v>
      </c>
      <c r="U1097">
        <v>61802</v>
      </c>
      <c r="V1097" t="s">
        <v>38</v>
      </c>
      <c r="W1097" t="s">
        <v>247</v>
      </c>
      <c r="X1097">
        <v>7</v>
      </c>
      <c r="Y1097">
        <v>3</v>
      </c>
      <c r="Z1097" t="s">
        <v>46</v>
      </c>
      <c r="AA1097">
        <v>61803</v>
      </c>
      <c r="AB1097" t="s">
        <v>605</v>
      </c>
      <c r="AC1097" t="s">
        <v>68</v>
      </c>
      <c r="AD1097" t="s">
        <v>38</v>
      </c>
      <c r="AE1097" t="s">
        <v>49</v>
      </c>
      <c r="AF1097" t="s">
        <v>44</v>
      </c>
      <c r="AG1097">
        <v>4</v>
      </c>
      <c r="AH1097">
        <v>3</v>
      </c>
      <c r="AI1097" t="s">
        <v>51</v>
      </c>
      <c r="AJ1097" t="s">
        <v>51</v>
      </c>
      <c r="AK1097" t="s">
        <v>51</v>
      </c>
    </row>
    <row r="1098" spans="1:37" x14ac:dyDescent="0.2">
      <c r="A1098">
        <v>61795</v>
      </c>
      <c r="B1098" t="s">
        <v>37</v>
      </c>
      <c r="C1098" t="s">
        <v>38</v>
      </c>
      <c r="D1098" t="s">
        <v>606</v>
      </c>
      <c r="E1098" t="s">
        <v>607</v>
      </c>
      <c r="G1098" s="4">
        <v>43947.530613425926</v>
      </c>
      <c r="H1098" s="4">
        <v>43947.530625</v>
      </c>
      <c r="I1098" t="s">
        <v>50</v>
      </c>
      <c r="J1098" s="5">
        <v>.9999999999999999999999999999999999999996</v>
      </c>
      <c r="K1098" t="s">
        <v>38</v>
      </c>
      <c r="M1098">
        <v>61796</v>
      </c>
      <c r="N1098" t="s">
        <v>607</v>
      </c>
      <c r="O1098" t="s">
        <v>608</v>
      </c>
      <c r="P1098" t="s">
        <v>38</v>
      </c>
      <c r="Q1098" t="s">
        <v>50</v>
      </c>
      <c r="R1098">
        <v>.9999999999999999999999999999999999999996</v>
      </c>
      <c r="S1098" t="s">
        <v>45</v>
      </c>
      <c r="T1098" t="str" s="2">
        <f>=HYPERLINK("http://demo.enginatics.com:80/ecc/user/applications/log/61795.log","http://demo.enginatics.com:80/ecc/user/applications/log/61795.log")</f>
        <v>"http://demo.enginatics.com:80/ecc/user/applications/log/61795.log")</v>
      </c>
      <c r="U1098">
        <v>61797</v>
      </c>
      <c r="V1098" t="s">
        <v>38</v>
      </c>
      <c r="W1098" t="s">
        <v>50</v>
      </c>
      <c r="X1098">
        <v>.9999999999999999999999999999999999999996</v>
      </c>
      <c r="Y1098">
        <v>0</v>
      </c>
      <c r="Z1098" t="s">
        <v>46</v>
      </c>
      <c r="AA1098">
        <v>61799</v>
      </c>
      <c r="AB1098" t="s">
        <v>609</v>
      </c>
      <c r="AC1098" t="s">
        <v>48</v>
      </c>
      <c r="AD1098" t="s">
        <v>38</v>
      </c>
      <c r="AE1098" t="s">
        <v>49</v>
      </c>
      <c r="AF1098" t="s">
        <v>50</v>
      </c>
      <c r="AG1098">
        <v>0</v>
      </c>
      <c r="AH1098">
        <v>0</v>
      </c>
      <c r="AI1098" t="s">
        <v>51</v>
      </c>
      <c r="AJ1098" t="s">
        <v>51</v>
      </c>
      <c r="AK1098" t="s">
        <v>51</v>
      </c>
    </row>
    <row r="1099" spans="1:37" x14ac:dyDescent="0.2">
      <c r="A1099">
        <v>61795</v>
      </c>
      <c r="B1099" t="s">
        <v>37</v>
      </c>
      <c r="C1099" t="s">
        <v>38</v>
      </c>
      <c r="D1099" t="s">
        <v>606</v>
      </c>
      <c r="E1099" t="s">
        <v>607</v>
      </c>
      <c r="G1099" s="4">
        <v>43947.530613425926</v>
      </c>
      <c r="H1099" s="4">
        <v>43947.530625</v>
      </c>
      <c r="I1099" t="s">
        <v>50</v>
      </c>
      <c r="J1099" s="5">
        <v>.9999999999999999999999999999999999999996</v>
      </c>
      <c r="K1099" t="s">
        <v>38</v>
      </c>
      <c r="M1099">
        <v>61796</v>
      </c>
      <c r="N1099" t="s">
        <v>607</v>
      </c>
      <c r="O1099" t="s">
        <v>608</v>
      </c>
      <c r="P1099" t="s">
        <v>38</v>
      </c>
      <c r="Q1099" t="s">
        <v>50</v>
      </c>
      <c r="R1099">
        <v>.9999999999999999999999999999999999999996</v>
      </c>
      <c r="S1099" t="s">
        <v>45</v>
      </c>
      <c r="T1099" t="str" s="2">
        <f>=HYPERLINK("http://demo.enginatics.com:80/ecc/user/applications/log/61795.log","http://demo.enginatics.com:80/ecc/user/applications/log/61795.log")</f>
        <v>"http://demo.enginatics.com:80/ecc/user/applications/log/61795.log")</v>
      </c>
      <c r="U1099">
        <v>61797</v>
      </c>
      <c r="V1099" t="s">
        <v>38</v>
      </c>
      <c r="W1099" t="s">
        <v>50</v>
      </c>
      <c r="X1099">
        <v>.9999999999999999999999999999999999999996</v>
      </c>
      <c r="Y1099">
        <v>0</v>
      </c>
      <c r="Z1099" t="s">
        <v>46</v>
      </c>
      <c r="AA1099">
        <v>61798</v>
      </c>
      <c r="AB1099" t="s">
        <v>610</v>
      </c>
      <c r="AC1099" t="s">
        <v>56</v>
      </c>
      <c r="AD1099" t="s">
        <v>38</v>
      </c>
      <c r="AE1099" t="s">
        <v>49</v>
      </c>
      <c r="AF1099" t="s">
        <v>50</v>
      </c>
      <c r="AG1099">
        <v>0</v>
      </c>
      <c r="AH1099">
        <v>0</v>
      </c>
      <c r="AI1099" t="s">
        <v>51</v>
      </c>
      <c r="AJ1099" t="s">
        <v>51</v>
      </c>
      <c r="AK1099" t="s">
        <v>51</v>
      </c>
    </row>
    <row r="1100" spans="1:37" x14ac:dyDescent="0.2">
      <c r="A1100">
        <v>61790</v>
      </c>
      <c r="B1100" t="s">
        <v>37</v>
      </c>
      <c r="C1100" t="s">
        <v>38</v>
      </c>
      <c r="D1100" t="s">
        <v>606</v>
      </c>
      <c r="E1100" t="s">
        <v>611</v>
      </c>
      <c r="G1100" s="4">
        <v>43947.530497685185</v>
      </c>
      <c r="H1100" s="4">
        <v>43947.530497685185</v>
      </c>
      <c r="I1100" t="s">
        <v>50</v>
      </c>
      <c r="J1100" s="5">
        <v>0</v>
      </c>
      <c r="K1100" t="s">
        <v>38</v>
      </c>
      <c r="M1100">
        <v>61791</v>
      </c>
      <c r="N1100" t="s">
        <v>611</v>
      </c>
      <c r="O1100" t="s">
        <v>612</v>
      </c>
      <c r="P1100" t="s">
        <v>38</v>
      </c>
      <c r="Q1100" t="s">
        <v>50</v>
      </c>
      <c r="R1100">
        <v>0</v>
      </c>
      <c r="S1100" t="s">
        <v>45</v>
      </c>
      <c r="T1100" t="str" s="2">
        <f>=HYPERLINK("http://demo.enginatics.com:80/ecc/user/applications/log/61790.log","http://demo.enginatics.com:80/ecc/user/applications/log/61790.log")</f>
        <v>"http://demo.enginatics.com:80/ecc/user/applications/log/61790.log")</v>
      </c>
      <c r="U1100">
        <v>61792</v>
      </c>
      <c r="V1100" t="s">
        <v>38</v>
      </c>
      <c r="W1100" t="s">
        <v>50</v>
      </c>
      <c r="X1100">
        <v>0</v>
      </c>
      <c r="Y1100">
        <v>0</v>
      </c>
      <c r="Z1100" t="s">
        <v>46</v>
      </c>
      <c r="AA1100">
        <v>61794</v>
      </c>
      <c r="AB1100" t="s">
        <v>613</v>
      </c>
      <c r="AC1100" t="s">
        <v>48</v>
      </c>
      <c r="AD1100" t="s">
        <v>38</v>
      </c>
      <c r="AE1100" t="s">
        <v>49</v>
      </c>
      <c r="AF1100" t="s">
        <v>50</v>
      </c>
      <c r="AG1100">
        <v>0</v>
      </c>
      <c r="AH1100">
        <v>0</v>
      </c>
      <c r="AI1100" t="s">
        <v>51</v>
      </c>
      <c r="AJ1100" t="s">
        <v>51</v>
      </c>
      <c r="AK1100" t="s">
        <v>51</v>
      </c>
    </row>
    <row r="1101" spans="1:37" x14ac:dyDescent="0.2">
      <c r="A1101">
        <v>61790</v>
      </c>
      <c r="B1101" t="s">
        <v>37</v>
      </c>
      <c r="C1101" t="s">
        <v>38</v>
      </c>
      <c r="D1101" t="s">
        <v>606</v>
      </c>
      <c r="E1101" t="s">
        <v>611</v>
      </c>
      <c r="G1101" s="4">
        <v>43947.530497685185</v>
      </c>
      <c r="H1101" s="4">
        <v>43947.530497685185</v>
      </c>
      <c r="I1101" t="s">
        <v>50</v>
      </c>
      <c r="J1101" s="5">
        <v>0</v>
      </c>
      <c r="K1101" t="s">
        <v>38</v>
      </c>
      <c r="M1101">
        <v>61791</v>
      </c>
      <c r="N1101" t="s">
        <v>611</v>
      </c>
      <c r="O1101" t="s">
        <v>612</v>
      </c>
      <c r="P1101" t="s">
        <v>38</v>
      </c>
      <c r="Q1101" t="s">
        <v>50</v>
      </c>
      <c r="R1101">
        <v>0</v>
      </c>
      <c r="S1101" t="s">
        <v>45</v>
      </c>
      <c r="T1101" t="str" s="2">
        <f>=HYPERLINK("http://demo.enginatics.com:80/ecc/user/applications/log/61790.log","http://demo.enginatics.com:80/ecc/user/applications/log/61790.log")</f>
        <v>"http://demo.enginatics.com:80/ecc/user/applications/log/61790.log")</v>
      </c>
      <c r="U1101">
        <v>61792</v>
      </c>
      <c r="V1101" t="s">
        <v>38</v>
      </c>
      <c r="W1101" t="s">
        <v>50</v>
      </c>
      <c r="X1101">
        <v>0</v>
      </c>
      <c r="Y1101">
        <v>0</v>
      </c>
      <c r="Z1101" t="s">
        <v>46</v>
      </c>
      <c r="AA1101">
        <v>61793</v>
      </c>
      <c r="AB1101" t="s">
        <v>614</v>
      </c>
      <c r="AC1101" t="s">
        <v>56</v>
      </c>
      <c r="AD1101" t="s">
        <v>38</v>
      </c>
      <c r="AE1101" t="s">
        <v>49</v>
      </c>
      <c r="AF1101" t="s">
        <v>50</v>
      </c>
      <c r="AG1101">
        <v>0</v>
      </c>
      <c r="AH1101">
        <v>0</v>
      </c>
      <c r="AI1101" t="s">
        <v>51</v>
      </c>
      <c r="AJ1101" t="s">
        <v>51</v>
      </c>
      <c r="AK1101" t="s">
        <v>51</v>
      </c>
    </row>
    <row r="1102" spans="1:37" x14ac:dyDescent="0.2">
      <c r="A1102">
        <v>61785</v>
      </c>
      <c r="B1102" t="s">
        <v>37</v>
      </c>
      <c r="C1102" t="s">
        <v>38</v>
      </c>
      <c r="D1102" t="s">
        <v>606</v>
      </c>
      <c r="E1102" t="s">
        <v>615</v>
      </c>
      <c r="G1102" s="4">
        <v>43947.530405092593</v>
      </c>
      <c r="H1102" s="4">
        <v>43947.530405092593</v>
      </c>
      <c r="I1102" t="s">
        <v>50</v>
      </c>
      <c r="J1102" s="5">
        <v>0</v>
      </c>
      <c r="K1102" t="s">
        <v>38</v>
      </c>
      <c r="M1102">
        <v>61786</v>
      </c>
      <c r="N1102" t="s">
        <v>615</v>
      </c>
      <c r="O1102" t="s">
        <v>616</v>
      </c>
      <c r="P1102" t="s">
        <v>38</v>
      </c>
      <c r="Q1102" t="s">
        <v>50</v>
      </c>
      <c r="R1102">
        <v>0</v>
      </c>
      <c r="S1102" t="s">
        <v>45</v>
      </c>
      <c r="T1102" t="str" s="2">
        <f>=HYPERLINK("http://demo.enginatics.com:80/ecc/user/applications/log/61785.log","http://demo.enginatics.com:80/ecc/user/applications/log/61785.log")</f>
        <v>"http://demo.enginatics.com:80/ecc/user/applications/log/61785.log")</v>
      </c>
      <c r="U1102">
        <v>61787</v>
      </c>
      <c r="V1102" t="s">
        <v>38</v>
      </c>
      <c r="W1102" t="s">
        <v>50</v>
      </c>
      <c r="X1102">
        <v>0</v>
      </c>
      <c r="Y1102">
        <v>0</v>
      </c>
      <c r="Z1102" t="s">
        <v>46</v>
      </c>
      <c r="AA1102">
        <v>61789</v>
      </c>
      <c r="AB1102" t="s">
        <v>617</v>
      </c>
      <c r="AC1102" t="s">
        <v>48</v>
      </c>
      <c r="AD1102" t="s">
        <v>38</v>
      </c>
      <c r="AE1102" t="s">
        <v>49</v>
      </c>
      <c r="AF1102" t="s">
        <v>50</v>
      </c>
      <c r="AG1102">
        <v>0</v>
      </c>
      <c r="AH1102">
        <v>0</v>
      </c>
      <c r="AI1102" t="s">
        <v>51</v>
      </c>
      <c r="AJ1102" t="s">
        <v>51</v>
      </c>
      <c r="AK1102" t="s">
        <v>51</v>
      </c>
    </row>
    <row r="1103" spans="1:37" x14ac:dyDescent="0.2">
      <c r="A1103">
        <v>61785</v>
      </c>
      <c r="B1103" t="s">
        <v>37</v>
      </c>
      <c r="C1103" t="s">
        <v>38</v>
      </c>
      <c r="D1103" t="s">
        <v>606</v>
      </c>
      <c r="E1103" t="s">
        <v>615</v>
      </c>
      <c r="G1103" s="4">
        <v>43947.530405092593</v>
      </c>
      <c r="H1103" s="4">
        <v>43947.530405092593</v>
      </c>
      <c r="I1103" t="s">
        <v>50</v>
      </c>
      <c r="J1103" s="5">
        <v>0</v>
      </c>
      <c r="K1103" t="s">
        <v>38</v>
      </c>
      <c r="M1103">
        <v>61786</v>
      </c>
      <c r="N1103" t="s">
        <v>615</v>
      </c>
      <c r="O1103" t="s">
        <v>616</v>
      </c>
      <c r="P1103" t="s">
        <v>38</v>
      </c>
      <c r="Q1103" t="s">
        <v>50</v>
      </c>
      <c r="R1103">
        <v>0</v>
      </c>
      <c r="S1103" t="s">
        <v>45</v>
      </c>
      <c r="T1103" t="str" s="2">
        <f>=HYPERLINK("http://demo.enginatics.com:80/ecc/user/applications/log/61785.log","http://demo.enginatics.com:80/ecc/user/applications/log/61785.log")</f>
        <v>"http://demo.enginatics.com:80/ecc/user/applications/log/61785.log")</v>
      </c>
      <c r="U1103">
        <v>61787</v>
      </c>
      <c r="V1103" t="s">
        <v>38</v>
      </c>
      <c r="W1103" t="s">
        <v>50</v>
      </c>
      <c r="X1103">
        <v>0</v>
      </c>
      <c r="Y1103">
        <v>0</v>
      </c>
      <c r="Z1103" t="s">
        <v>46</v>
      </c>
      <c r="AA1103">
        <v>61788</v>
      </c>
      <c r="AB1103" t="s">
        <v>618</v>
      </c>
      <c r="AC1103" t="s">
        <v>56</v>
      </c>
      <c r="AD1103" t="s">
        <v>38</v>
      </c>
      <c r="AE1103" t="s">
        <v>49</v>
      </c>
      <c r="AF1103" t="s">
        <v>50</v>
      </c>
      <c r="AG1103">
        <v>0</v>
      </c>
      <c r="AH1103">
        <v>0</v>
      </c>
      <c r="AI1103" t="s">
        <v>51</v>
      </c>
      <c r="AJ1103" t="s">
        <v>51</v>
      </c>
      <c r="AK1103" t="s">
        <v>51</v>
      </c>
    </row>
    <row r="1104" spans="1:37" x14ac:dyDescent="0.2">
      <c r="A1104">
        <v>61780</v>
      </c>
      <c r="B1104" t="s">
        <v>37</v>
      </c>
      <c r="C1104" t="s">
        <v>38</v>
      </c>
      <c r="D1104" t="s">
        <v>606</v>
      </c>
      <c r="E1104" t="s">
        <v>619</v>
      </c>
      <c r="G1104" s="4">
        <v>43947.530300925926</v>
      </c>
      <c r="H1104" s="4">
        <v>43947.530300925926</v>
      </c>
      <c r="I1104" t="s">
        <v>50</v>
      </c>
      <c r="J1104" s="5">
        <v>0</v>
      </c>
      <c r="K1104" t="s">
        <v>38</v>
      </c>
      <c r="M1104">
        <v>61781</v>
      </c>
      <c r="N1104" t="s">
        <v>619</v>
      </c>
      <c r="O1104" t="s">
        <v>620</v>
      </c>
      <c r="P1104" t="s">
        <v>38</v>
      </c>
      <c r="Q1104" t="s">
        <v>50</v>
      </c>
      <c r="R1104">
        <v>0</v>
      </c>
      <c r="S1104" t="s">
        <v>45</v>
      </c>
      <c r="T1104" t="str" s="2">
        <f>=HYPERLINK("http://demo.enginatics.com:80/ecc/user/applications/log/61780.log","http://demo.enginatics.com:80/ecc/user/applications/log/61780.log")</f>
        <v>"http://demo.enginatics.com:80/ecc/user/applications/log/61780.log")</v>
      </c>
      <c r="U1104">
        <v>61782</v>
      </c>
      <c r="V1104" t="s">
        <v>38</v>
      </c>
      <c r="W1104" t="s">
        <v>50</v>
      </c>
      <c r="X1104">
        <v>0</v>
      </c>
      <c r="Y1104">
        <v>0</v>
      </c>
      <c r="Z1104" t="s">
        <v>46</v>
      </c>
      <c r="AA1104">
        <v>61784</v>
      </c>
      <c r="AB1104" t="s">
        <v>621</v>
      </c>
      <c r="AC1104" t="s">
        <v>48</v>
      </c>
      <c r="AD1104" t="s">
        <v>38</v>
      </c>
      <c r="AE1104" t="s">
        <v>49</v>
      </c>
      <c r="AF1104" t="s">
        <v>50</v>
      </c>
      <c r="AG1104">
        <v>0</v>
      </c>
      <c r="AH1104">
        <v>0</v>
      </c>
      <c r="AI1104" t="s">
        <v>51</v>
      </c>
      <c r="AJ1104" t="s">
        <v>51</v>
      </c>
      <c r="AK1104" t="s">
        <v>51</v>
      </c>
    </row>
    <row r="1105" spans="1:37" x14ac:dyDescent="0.2">
      <c r="A1105">
        <v>61780</v>
      </c>
      <c r="B1105" t="s">
        <v>37</v>
      </c>
      <c r="C1105" t="s">
        <v>38</v>
      </c>
      <c r="D1105" t="s">
        <v>606</v>
      </c>
      <c r="E1105" t="s">
        <v>619</v>
      </c>
      <c r="G1105" s="4">
        <v>43947.530300925926</v>
      </c>
      <c r="H1105" s="4">
        <v>43947.530300925926</v>
      </c>
      <c r="I1105" t="s">
        <v>50</v>
      </c>
      <c r="J1105" s="5">
        <v>0</v>
      </c>
      <c r="K1105" t="s">
        <v>38</v>
      </c>
      <c r="M1105">
        <v>61781</v>
      </c>
      <c r="N1105" t="s">
        <v>619</v>
      </c>
      <c r="O1105" t="s">
        <v>620</v>
      </c>
      <c r="P1105" t="s">
        <v>38</v>
      </c>
      <c r="Q1105" t="s">
        <v>50</v>
      </c>
      <c r="R1105">
        <v>0</v>
      </c>
      <c r="S1105" t="s">
        <v>45</v>
      </c>
      <c r="T1105" t="str" s="2">
        <f>=HYPERLINK("http://demo.enginatics.com:80/ecc/user/applications/log/61780.log","http://demo.enginatics.com:80/ecc/user/applications/log/61780.log")</f>
        <v>"http://demo.enginatics.com:80/ecc/user/applications/log/61780.log")</v>
      </c>
      <c r="U1105">
        <v>61782</v>
      </c>
      <c r="V1105" t="s">
        <v>38</v>
      </c>
      <c r="W1105" t="s">
        <v>50</v>
      </c>
      <c r="X1105">
        <v>0</v>
      </c>
      <c r="Y1105">
        <v>0</v>
      </c>
      <c r="Z1105" t="s">
        <v>46</v>
      </c>
      <c r="AA1105">
        <v>61783</v>
      </c>
      <c r="AB1105" t="s">
        <v>622</v>
      </c>
      <c r="AC1105" t="s">
        <v>56</v>
      </c>
      <c r="AD1105" t="s">
        <v>38</v>
      </c>
      <c r="AE1105" t="s">
        <v>49</v>
      </c>
      <c r="AF1105" t="s">
        <v>50</v>
      </c>
      <c r="AG1105">
        <v>0</v>
      </c>
      <c r="AH1105">
        <v>0</v>
      </c>
      <c r="AI1105" t="s">
        <v>51</v>
      </c>
      <c r="AJ1105" t="s">
        <v>51</v>
      </c>
      <c r="AK1105" t="s">
        <v>51</v>
      </c>
    </row>
    <row r="1106" spans="1:37" x14ac:dyDescent="0.2">
      <c r="A1106">
        <v>61761</v>
      </c>
      <c r="B1106" t="s">
        <v>37</v>
      </c>
      <c r="C1106" t="s">
        <v>38</v>
      </c>
      <c r="D1106" t="s">
        <v>623</v>
      </c>
      <c r="E1106" t="s">
        <v>624</v>
      </c>
      <c r="G1106" s="4">
        <v>43947.525150462963</v>
      </c>
      <c r="H1106" s="4">
        <v>43947.525150462963</v>
      </c>
      <c r="I1106" t="s">
        <v>50</v>
      </c>
      <c r="J1106" s="5">
        <v>0</v>
      </c>
      <c r="K1106" t="s">
        <v>38</v>
      </c>
      <c r="M1106">
        <v>61762</v>
      </c>
      <c r="N1106" t="s">
        <v>624</v>
      </c>
      <c r="O1106" t="s">
        <v>623</v>
      </c>
      <c r="P1106" t="s">
        <v>38</v>
      </c>
      <c r="Q1106" t="s">
        <v>50</v>
      </c>
      <c r="R1106">
        <v>0</v>
      </c>
      <c r="S1106" t="s">
        <v>45</v>
      </c>
      <c r="T1106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06">
        <v>61763</v>
      </c>
      <c r="V1106" t="s">
        <v>38</v>
      </c>
      <c r="W1106" t="s">
        <v>50</v>
      </c>
      <c r="X1106">
        <v>0</v>
      </c>
      <c r="Y1106">
        <v>0</v>
      </c>
      <c r="Z1106" t="s">
        <v>46</v>
      </c>
      <c r="AA1106">
        <v>61779</v>
      </c>
      <c r="AB1106" t="s">
        <v>625</v>
      </c>
      <c r="AC1106" t="s">
        <v>56</v>
      </c>
      <c r="AD1106" t="s">
        <v>38</v>
      </c>
      <c r="AE1106" t="s">
        <v>49</v>
      </c>
      <c r="AF1106" t="s">
        <v>50</v>
      </c>
      <c r="AG1106">
        <v>0</v>
      </c>
      <c r="AH1106">
        <v>0</v>
      </c>
      <c r="AI1106" t="s">
        <v>51</v>
      </c>
      <c r="AJ1106" t="s">
        <v>51</v>
      </c>
      <c r="AK1106" t="s">
        <v>51</v>
      </c>
    </row>
    <row r="1107" spans="1:37" x14ac:dyDescent="0.2">
      <c r="A1107">
        <v>61761</v>
      </c>
      <c r="B1107" t="s">
        <v>37</v>
      </c>
      <c r="C1107" t="s">
        <v>38</v>
      </c>
      <c r="D1107" t="s">
        <v>623</v>
      </c>
      <c r="E1107" t="s">
        <v>624</v>
      </c>
      <c r="G1107" s="4">
        <v>43947.525150462963</v>
      </c>
      <c r="H1107" s="4">
        <v>43947.525150462963</v>
      </c>
      <c r="I1107" t="s">
        <v>50</v>
      </c>
      <c r="J1107" s="5">
        <v>0</v>
      </c>
      <c r="K1107" t="s">
        <v>38</v>
      </c>
      <c r="M1107">
        <v>61762</v>
      </c>
      <c r="N1107" t="s">
        <v>624</v>
      </c>
      <c r="O1107" t="s">
        <v>623</v>
      </c>
      <c r="P1107" t="s">
        <v>38</v>
      </c>
      <c r="Q1107" t="s">
        <v>50</v>
      </c>
      <c r="R1107">
        <v>0</v>
      </c>
      <c r="S1107" t="s">
        <v>45</v>
      </c>
      <c r="T1107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07">
        <v>61763</v>
      </c>
      <c r="V1107" t="s">
        <v>38</v>
      </c>
      <c r="W1107" t="s">
        <v>50</v>
      </c>
      <c r="X1107">
        <v>0</v>
      </c>
      <c r="Y1107">
        <v>0</v>
      </c>
      <c r="Z1107" t="s">
        <v>46</v>
      </c>
      <c r="AA1107">
        <v>61778</v>
      </c>
      <c r="AB1107" t="s">
        <v>626</v>
      </c>
      <c r="AC1107" t="s">
        <v>56</v>
      </c>
      <c r="AD1107" t="s">
        <v>38</v>
      </c>
      <c r="AE1107" t="s">
        <v>49</v>
      </c>
      <c r="AF1107" t="s">
        <v>50</v>
      </c>
      <c r="AG1107">
        <v>0</v>
      </c>
      <c r="AH1107">
        <v>0</v>
      </c>
      <c r="AI1107" t="s">
        <v>51</v>
      </c>
      <c r="AJ1107" t="s">
        <v>51</v>
      </c>
      <c r="AK1107" t="s">
        <v>51</v>
      </c>
    </row>
    <row r="1108" spans="1:37" x14ac:dyDescent="0.2">
      <c r="A1108">
        <v>61761</v>
      </c>
      <c r="B1108" t="s">
        <v>37</v>
      </c>
      <c r="C1108" t="s">
        <v>38</v>
      </c>
      <c r="D1108" t="s">
        <v>623</v>
      </c>
      <c r="E1108" t="s">
        <v>624</v>
      </c>
      <c r="G1108" s="4">
        <v>43947.525150462963</v>
      </c>
      <c r="H1108" s="4">
        <v>43947.525150462963</v>
      </c>
      <c r="I1108" t="s">
        <v>50</v>
      </c>
      <c r="J1108" s="5">
        <v>0</v>
      </c>
      <c r="K1108" t="s">
        <v>38</v>
      </c>
      <c r="M1108">
        <v>61762</v>
      </c>
      <c r="N1108" t="s">
        <v>624</v>
      </c>
      <c r="O1108" t="s">
        <v>623</v>
      </c>
      <c r="P1108" t="s">
        <v>38</v>
      </c>
      <c r="Q1108" t="s">
        <v>50</v>
      </c>
      <c r="R1108">
        <v>0</v>
      </c>
      <c r="S1108" t="s">
        <v>45</v>
      </c>
      <c r="T1108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08">
        <v>61763</v>
      </c>
      <c r="V1108" t="s">
        <v>38</v>
      </c>
      <c r="W1108" t="s">
        <v>50</v>
      </c>
      <c r="X1108">
        <v>0</v>
      </c>
      <c r="Y1108">
        <v>0</v>
      </c>
      <c r="Z1108" t="s">
        <v>46</v>
      </c>
      <c r="AA1108">
        <v>61777</v>
      </c>
      <c r="AB1108" t="s">
        <v>627</v>
      </c>
      <c r="AC1108" t="s">
        <v>56</v>
      </c>
      <c r="AD1108" t="s">
        <v>38</v>
      </c>
      <c r="AE1108" t="s">
        <v>49</v>
      </c>
      <c r="AF1108" t="s">
        <v>50</v>
      </c>
      <c r="AG1108">
        <v>0</v>
      </c>
      <c r="AH1108">
        <v>0</v>
      </c>
      <c r="AI1108" t="s">
        <v>51</v>
      </c>
      <c r="AJ1108" t="s">
        <v>51</v>
      </c>
      <c r="AK1108" t="s">
        <v>51</v>
      </c>
    </row>
    <row r="1109" spans="1:37" x14ac:dyDescent="0.2">
      <c r="A1109">
        <v>61761</v>
      </c>
      <c r="B1109" t="s">
        <v>37</v>
      </c>
      <c r="C1109" t="s">
        <v>38</v>
      </c>
      <c r="D1109" t="s">
        <v>623</v>
      </c>
      <c r="E1109" t="s">
        <v>624</v>
      </c>
      <c r="G1109" s="4">
        <v>43947.525150462963</v>
      </c>
      <c r="H1109" s="4">
        <v>43947.525150462963</v>
      </c>
      <c r="I1109" t="s">
        <v>50</v>
      </c>
      <c r="J1109" s="5">
        <v>0</v>
      </c>
      <c r="K1109" t="s">
        <v>38</v>
      </c>
      <c r="M1109">
        <v>61762</v>
      </c>
      <c r="N1109" t="s">
        <v>624</v>
      </c>
      <c r="O1109" t="s">
        <v>623</v>
      </c>
      <c r="P1109" t="s">
        <v>38</v>
      </c>
      <c r="Q1109" t="s">
        <v>50</v>
      </c>
      <c r="R1109">
        <v>0</v>
      </c>
      <c r="S1109" t="s">
        <v>45</v>
      </c>
      <c r="T1109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09">
        <v>61763</v>
      </c>
      <c r="V1109" t="s">
        <v>38</v>
      </c>
      <c r="W1109" t="s">
        <v>50</v>
      </c>
      <c r="X1109">
        <v>0</v>
      </c>
      <c r="Y1109">
        <v>0</v>
      </c>
      <c r="Z1109" t="s">
        <v>46</v>
      </c>
      <c r="AA1109">
        <v>61776</v>
      </c>
      <c r="AB1109" t="s">
        <v>628</v>
      </c>
      <c r="AC1109" t="s">
        <v>56</v>
      </c>
      <c r="AD1109" t="s">
        <v>38</v>
      </c>
      <c r="AE1109" t="s">
        <v>49</v>
      </c>
      <c r="AF1109" t="s">
        <v>50</v>
      </c>
      <c r="AG1109">
        <v>0</v>
      </c>
      <c r="AH1109">
        <v>0</v>
      </c>
      <c r="AI1109" t="s">
        <v>51</v>
      </c>
      <c r="AJ1109" t="s">
        <v>51</v>
      </c>
      <c r="AK1109" t="s">
        <v>51</v>
      </c>
    </row>
    <row r="1110" spans="1:37" x14ac:dyDescent="0.2">
      <c r="A1110">
        <v>61761</v>
      </c>
      <c r="B1110" t="s">
        <v>37</v>
      </c>
      <c r="C1110" t="s">
        <v>38</v>
      </c>
      <c r="D1110" t="s">
        <v>623</v>
      </c>
      <c r="E1110" t="s">
        <v>624</v>
      </c>
      <c r="G1110" s="4">
        <v>43947.525150462963</v>
      </c>
      <c r="H1110" s="4">
        <v>43947.525150462963</v>
      </c>
      <c r="I1110" t="s">
        <v>50</v>
      </c>
      <c r="J1110" s="5">
        <v>0</v>
      </c>
      <c r="K1110" t="s">
        <v>38</v>
      </c>
      <c r="M1110">
        <v>61762</v>
      </c>
      <c r="N1110" t="s">
        <v>624</v>
      </c>
      <c r="O1110" t="s">
        <v>623</v>
      </c>
      <c r="P1110" t="s">
        <v>38</v>
      </c>
      <c r="Q1110" t="s">
        <v>50</v>
      </c>
      <c r="R1110">
        <v>0</v>
      </c>
      <c r="S1110" t="s">
        <v>45</v>
      </c>
      <c r="T1110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0">
        <v>61763</v>
      </c>
      <c r="V1110" t="s">
        <v>38</v>
      </c>
      <c r="W1110" t="s">
        <v>50</v>
      </c>
      <c r="X1110">
        <v>0</v>
      </c>
      <c r="Y1110">
        <v>0</v>
      </c>
      <c r="Z1110" t="s">
        <v>46</v>
      </c>
      <c r="AA1110">
        <v>61775</v>
      </c>
      <c r="AB1110" t="s">
        <v>629</v>
      </c>
      <c r="AC1110" t="s">
        <v>56</v>
      </c>
      <c r="AD1110" t="s">
        <v>38</v>
      </c>
      <c r="AE1110" t="s">
        <v>49</v>
      </c>
      <c r="AF1110" t="s">
        <v>50</v>
      </c>
      <c r="AG1110">
        <v>0</v>
      </c>
      <c r="AH1110">
        <v>0</v>
      </c>
      <c r="AI1110" t="s">
        <v>51</v>
      </c>
      <c r="AJ1110" t="s">
        <v>51</v>
      </c>
      <c r="AK1110" t="s">
        <v>51</v>
      </c>
    </row>
    <row r="1111" spans="1:37" x14ac:dyDescent="0.2">
      <c r="A1111">
        <v>61761</v>
      </c>
      <c r="B1111" t="s">
        <v>37</v>
      </c>
      <c r="C1111" t="s">
        <v>38</v>
      </c>
      <c r="D1111" t="s">
        <v>623</v>
      </c>
      <c r="E1111" t="s">
        <v>624</v>
      </c>
      <c r="G1111" s="4">
        <v>43947.525150462963</v>
      </c>
      <c r="H1111" s="4">
        <v>43947.525150462963</v>
      </c>
      <c r="I1111" t="s">
        <v>50</v>
      </c>
      <c r="J1111" s="5">
        <v>0</v>
      </c>
      <c r="K1111" t="s">
        <v>38</v>
      </c>
      <c r="M1111">
        <v>61762</v>
      </c>
      <c r="N1111" t="s">
        <v>624</v>
      </c>
      <c r="O1111" t="s">
        <v>623</v>
      </c>
      <c r="P1111" t="s">
        <v>38</v>
      </c>
      <c r="Q1111" t="s">
        <v>50</v>
      </c>
      <c r="R1111">
        <v>0</v>
      </c>
      <c r="S1111" t="s">
        <v>45</v>
      </c>
      <c r="T1111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1">
        <v>61763</v>
      </c>
      <c r="V1111" t="s">
        <v>38</v>
      </c>
      <c r="W1111" t="s">
        <v>50</v>
      </c>
      <c r="X1111">
        <v>0</v>
      </c>
      <c r="Y1111">
        <v>0</v>
      </c>
      <c r="Z1111" t="s">
        <v>46</v>
      </c>
      <c r="AA1111">
        <v>61774</v>
      </c>
      <c r="AB1111" t="s">
        <v>630</v>
      </c>
      <c r="AC1111" t="s">
        <v>56</v>
      </c>
      <c r="AD1111" t="s">
        <v>38</v>
      </c>
      <c r="AE1111" t="s">
        <v>49</v>
      </c>
      <c r="AF1111" t="s">
        <v>50</v>
      </c>
      <c r="AG1111">
        <v>0</v>
      </c>
      <c r="AH1111">
        <v>0</v>
      </c>
      <c r="AI1111" t="s">
        <v>51</v>
      </c>
      <c r="AJ1111" t="s">
        <v>51</v>
      </c>
      <c r="AK1111" t="s">
        <v>51</v>
      </c>
    </row>
    <row r="1112" spans="1:37" x14ac:dyDescent="0.2">
      <c r="A1112">
        <v>61761</v>
      </c>
      <c r="B1112" t="s">
        <v>37</v>
      </c>
      <c r="C1112" t="s">
        <v>38</v>
      </c>
      <c r="D1112" t="s">
        <v>623</v>
      </c>
      <c r="E1112" t="s">
        <v>624</v>
      </c>
      <c r="G1112" s="4">
        <v>43947.525150462963</v>
      </c>
      <c r="H1112" s="4">
        <v>43947.525150462963</v>
      </c>
      <c r="I1112" t="s">
        <v>50</v>
      </c>
      <c r="J1112" s="5">
        <v>0</v>
      </c>
      <c r="K1112" t="s">
        <v>38</v>
      </c>
      <c r="M1112">
        <v>61762</v>
      </c>
      <c r="N1112" t="s">
        <v>624</v>
      </c>
      <c r="O1112" t="s">
        <v>623</v>
      </c>
      <c r="P1112" t="s">
        <v>38</v>
      </c>
      <c r="Q1112" t="s">
        <v>50</v>
      </c>
      <c r="R1112">
        <v>0</v>
      </c>
      <c r="S1112" t="s">
        <v>45</v>
      </c>
      <c r="T1112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2">
        <v>61763</v>
      </c>
      <c r="V1112" t="s">
        <v>38</v>
      </c>
      <c r="W1112" t="s">
        <v>50</v>
      </c>
      <c r="X1112">
        <v>0</v>
      </c>
      <c r="Y1112">
        <v>0</v>
      </c>
      <c r="Z1112" t="s">
        <v>46</v>
      </c>
      <c r="AA1112">
        <v>61773</v>
      </c>
      <c r="AB1112" t="s">
        <v>631</v>
      </c>
      <c r="AC1112" t="s">
        <v>56</v>
      </c>
      <c r="AD1112" t="s">
        <v>38</v>
      </c>
      <c r="AE1112" t="s">
        <v>49</v>
      </c>
      <c r="AF1112" t="s">
        <v>50</v>
      </c>
      <c r="AG1112">
        <v>0</v>
      </c>
      <c r="AH1112">
        <v>0</v>
      </c>
      <c r="AI1112" t="s">
        <v>51</v>
      </c>
      <c r="AJ1112" t="s">
        <v>51</v>
      </c>
      <c r="AK1112" t="s">
        <v>51</v>
      </c>
    </row>
    <row r="1113" spans="1:37" x14ac:dyDescent="0.2">
      <c r="A1113">
        <v>61761</v>
      </c>
      <c r="B1113" t="s">
        <v>37</v>
      </c>
      <c r="C1113" t="s">
        <v>38</v>
      </c>
      <c r="D1113" t="s">
        <v>623</v>
      </c>
      <c r="E1113" t="s">
        <v>624</v>
      </c>
      <c r="G1113" s="4">
        <v>43947.525150462963</v>
      </c>
      <c r="H1113" s="4">
        <v>43947.525150462963</v>
      </c>
      <c r="I1113" t="s">
        <v>50</v>
      </c>
      <c r="J1113" s="5">
        <v>0</v>
      </c>
      <c r="K1113" t="s">
        <v>38</v>
      </c>
      <c r="M1113">
        <v>61762</v>
      </c>
      <c r="N1113" t="s">
        <v>624</v>
      </c>
      <c r="O1113" t="s">
        <v>623</v>
      </c>
      <c r="P1113" t="s">
        <v>38</v>
      </c>
      <c r="Q1113" t="s">
        <v>50</v>
      </c>
      <c r="R1113">
        <v>0</v>
      </c>
      <c r="S1113" t="s">
        <v>45</v>
      </c>
      <c r="T1113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3">
        <v>61763</v>
      </c>
      <c r="V1113" t="s">
        <v>38</v>
      </c>
      <c r="W1113" t="s">
        <v>50</v>
      </c>
      <c r="X1113">
        <v>0</v>
      </c>
      <c r="Y1113">
        <v>0</v>
      </c>
      <c r="Z1113" t="s">
        <v>46</v>
      </c>
      <c r="AA1113">
        <v>61772</v>
      </c>
      <c r="AB1113" t="s">
        <v>632</v>
      </c>
      <c r="AC1113" t="s">
        <v>56</v>
      </c>
      <c r="AD1113" t="s">
        <v>38</v>
      </c>
      <c r="AE1113" t="s">
        <v>49</v>
      </c>
      <c r="AF1113" t="s">
        <v>50</v>
      </c>
      <c r="AG1113">
        <v>0</v>
      </c>
      <c r="AH1113">
        <v>0</v>
      </c>
      <c r="AI1113" t="s">
        <v>51</v>
      </c>
      <c r="AJ1113" t="s">
        <v>51</v>
      </c>
      <c r="AK1113" t="s">
        <v>51</v>
      </c>
    </row>
    <row r="1114" spans="1:37" x14ac:dyDescent="0.2">
      <c r="A1114">
        <v>61761</v>
      </c>
      <c r="B1114" t="s">
        <v>37</v>
      </c>
      <c r="C1114" t="s">
        <v>38</v>
      </c>
      <c r="D1114" t="s">
        <v>623</v>
      </c>
      <c r="E1114" t="s">
        <v>624</v>
      </c>
      <c r="G1114" s="4">
        <v>43947.525150462963</v>
      </c>
      <c r="H1114" s="4">
        <v>43947.525150462963</v>
      </c>
      <c r="I1114" t="s">
        <v>50</v>
      </c>
      <c r="J1114" s="5">
        <v>0</v>
      </c>
      <c r="K1114" t="s">
        <v>38</v>
      </c>
      <c r="M1114">
        <v>61762</v>
      </c>
      <c r="N1114" t="s">
        <v>624</v>
      </c>
      <c r="O1114" t="s">
        <v>623</v>
      </c>
      <c r="P1114" t="s">
        <v>38</v>
      </c>
      <c r="Q1114" t="s">
        <v>50</v>
      </c>
      <c r="R1114">
        <v>0</v>
      </c>
      <c r="S1114" t="s">
        <v>45</v>
      </c>
      <c r="T1114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4">
        <v>61763</v>
      </c>
      <c r="V1114" t="s">
        <v>38</v>
      </c>
      <c r="W1114" t="s">
        <v>50</v>
      </c>
      <c r="X1114">
        <v>0</v>
      </c>
      <c r="Y1114">
        <v>0</v>
      </c>
      <c r="Z1114" t="s">
        <v>46</v>
      </c>
      <c r="AA1114">
        <v>61771</v>
      </c>
      <c r="AB1114" t="s">
        <v>976</v>
      </c>
      <c r="AC1114" t="s">
        <v>103</v>
      </c>
      <c r="AD1114" t="s">
        <v>38</v>
      </c>
      <c r="AE1114" t="s">
        <v>49</v>
      </c>
      <c r="AF1114" t="s">
        <v>50</v>
      </c>
      <c r="AG1114">
        <v>0</v>
      </c>
      <c r="AH1114">
        <v>0</v>
      </c>
      <c r="AI1114" t="s">
        <v>51</v>
      </c>
      <c r="AJ1114" t="s">
        <v>51</v>
      </c>
      <c r="AK1114" t="s">
        <v>51</v>
      </c>
    </row>
    <row r="1115" spans="1:37" x14ac:dyDescent="0.2">
      <c r="A1115">
        <v>61761</v>
      </c>
      <c r="B1115" t="s">
        <v>37</v>
      </c>
      <c r="C1115" t="s">
        <v>38</v>
      </c>
      <c r="D1115" t="s">
        <v>623</v>
      </c>
      <c r="E1115" t="s">
        <v>624</v>
      </c>
      <c r="G1115" s="4">
        <v>43947.525150462963</v>
      </c>
      <c r="H1115" s="4">
        <v>43947.525150462963</v>
      </c>
      <c r="I1115" t="s">
        <v>50</v>
      </c>
      <c r="J1115" s="5">
        <v>0</v>
      </c>
      <c r="K1115" t="s">
        <v>38</v>
      </c>
      <c r="M1115">
        <v>61762</v>
      </c>
      <c r="N1115" t="s">
        <v>624</v>
      </c>
      <c r="O1115" t="s">
        <v>623</v>
      </c>
      <c r="P1115" t="s">
        <v>38</v>
      </c>
      <c r="Q1115" t="s">
        <v>50</v>
      </c>
      <c r="R1115">
        <v>0</v>
      </c>
      <c r="S1115" t="s">
        <v>45</v>
      </c>
      <c r="T1115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5">
        <v>61763</v>
      </c>
      <c r="V1115" t="s">
        <v>38</v>
      </c>
      <c r="W1115" t="s">
        <v>50</v>
      </c>
      <c r="X1115">
        <v>0</v>
      </c>
      <c r="Y1115">
        <v>0</v>
      </c>
      <c r="Z1115" t="s">
        <v>46</v>
      </c>
      <c r="AA1115">
        <v>61770</v>
      </c>
      <c r="AB1115" t="s">
        <v>977</v>
      </c>
      <c r="AC1115" t="s">
        <v>103</v>
      </c>
      <c r="AD1115" t="s">
        <v>38</v>
      </c>
      <c r="AE1115" t="s">
        <v>49</v>
      </c>
      <c r="AF1115" t="s">
        <v>50</v>
      </c>
      <c r="AG1115">
        <v>0</v>
      </c>
      <c r="AH1115">
        <v>0</v>
      </c>
      <c r="AI1115" t="s">
        <v>51</v>
      </c>
      <c r="AJ1115" t="s">
        <v>51</v>
      </c>
      <c r="AK1115" t="s">
        <v>51</v>
      </c>
    </row>
    <row r="1116" spans="1:37" x14ac:dyDescent="0.2">
      <c r="A1116">
        <v>61761</v>
      </c>
      <c r="B1116" t="s">
        <v>37</v>
      </c>
      <c r="C1116" t="s">
        <v>38</v>
      </c>
      <c r="D1116" t="s">
        <v>623</v>
      </c>
      <c r="E1116" t="s">
        <v>624</v>
      </c>
      <c r="G1116" s="4">
        <v>43947.525150462963</v>
      </c>
      <c r="H1116" s="4">
        <v>43947.525150462963</v>
      </c>
      <c r="I1116" t="s">
        <v>50</v>
      </c>
      <c r="J1116" s="5">
        <v>0</v>
      </c>
      <c r="K1116" t="s">
        <v>38</v>
      </c>
      <c r="M1116">
        <v>61762</v>
      </c>
      <c r="N1116" t="s">
        <v>624</v>
      </c>
      <c r="O1116" t="s">
        <v>623</v>
      </c>
      <c r="P1116" t="s">
        <v>38</v>
      </c>
      <c r="Q1116" t="s">
        <v>50</v>
      </c>
      <c r="R1116">
        <v>0</v>
      </c>
      <c r="S1116" t="s">
        <v>45</v>
      </c>
      <c r="T1116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6">
        <v>61763</v>
      </c>
      <c r="V1116" t="s">
        <v>38</v>
      </c>
      <c r="W1116" t="s">
        <v>50</v>
      </c>
      <c r="X1116">
        <v>0</v>
      </c>
      <c r="Y1116">
        <v>0</v>
      </c>
      <c r="Z1116" t="s">
        <v>46</v>
      </c>
      <c r="AA1116">
        <v>61769</v>
      </c>
      <c r="AB1116" t="s">
        <v>978</v>
      </c>
      <c r="AC1116" t="s">
        <v>103</v>
      </c>
      <c r="AD1116" t="s">
        <v>38</v>
      </c>
      <c r="AE1116" t="s">
        <v>49</v>
      </c>
      <c r="AF1116" t="s">
        <v>50</v>
      </c>
      <c r="AG1116">
        <v>0</v>
      </c>
      <c r="AH1116">
        <v>0</v>
      </c>
      <c r="AI1116" t="s">
        <v>51</v>
      </c>
      <c r="AJ1116" t="s">
        <v>51</v>
      </c>
      <c r="AK1116" t="s">
        <v>51</v>
      </c>
    </row>
    <row r="1117" spans="1:37" x14ac:dyDescent="0.2">
      <c r="A1117">
        <v>61761</v>
      </c>
      <c r="B1117" t="s">
        <v>37</v>
      </c>
      <c r="C1117" t="s">
        <v>38</v>
      </c>
      <c r="D1117" t="s">
        <v>623</v>
      </c>
      <c r="E1117" t="s">
        <v>624</v>
      </c>
      <c r="G1117" s="4">
        <v>43947.525150462963</v>
      </c>
      <c r="H1117" s="4">
        <v>43947.525150462963</v>
      </c>
      <c r="I1117" t="s">
        <v>50</v>
      </c>
      <c r="J1117" s="5">
        <v>0</v>
      </c>
      <c r="K1117" t="s">
        <v>38</v>
      </c>
      <c r="M1117">
        <v>61762</v>
      </c>
      <c r="N1117" t="s">
        <v>624</v>
      </c>
      <c r="O1117" t="s">
        <v>623</v>
      </c>
      <c r="P1117" t="s">
        <v>38</v>
      </c>
      <c r="Q1117" t="s">
        <v>50</v>
      </c>
      <c r="R1117">
        <v>0</v>
      </c>
      <c r="S1117" t="s">
        <v>45</v>
      </c>
      <c r="T1117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7">
        <v>61763</v>
      </c>
      <c r="V1117" t="s">
        <v>38</v>
      </c>
      <c r="W1117" t="s">
        <v>50</v>
      </c>
      <c r="X1117">
        <v>0</v>
      </c>
      <c r="Y1117">
        <v>0</v>
      </c>
      <c r="Z1117" t="s">
        <v>46</v>
      </c>
      <c r="AA1117">
        <v>61768</v>
      </c>
      <c r="AB1117" t="s">
        <v>979</v>
      </c>
      <c r="AC1117" t="s">
        <v>103</v>
      </c>
      <c r="AD1117" t="s">
        <v>38</v>
      </c>
      <c r="AE1117" t="s">
        <v>49</v>
      </c>
      <c r="AF1117" t="s">
        <v>50</v>
      </c>
      <c r="AG1117">
        <v>0</v>
      </c>
      <c r="AH1117">
        <v>0</v>
      </c>
      <c r="AI1117" t="s">
        <v>51</v>
      </c>
      <c r="AJ1117" t="s">
        <v>51</v>
      </c>
      <c r="AK1117" t="s">
        <v>51</v>
      </c>
    </row>
    <row r="1118" spans="1:37" x14ac:dyDescent="0.2">
      <c r="A1118">
        <v>61761</v>
      </c>
      <c r="B1118" t="s">
        <v>37</v>
      </c>
      <c r="C1118" t="s">
        <v>38</v>
      </c>
      <c r="D1118" t="s">
        <v>623</v>
      </c>
      <c r="E1118" t="s">
        <v>624</v>
      </c>
      <c r="G1118" s="4">
        <v>43947.525150462963</v>
      </c>
      <c r="H1118" s="4">
        <v>43947.525150462963</v>
      </c>
      <c r="I1118" t="s">
        <v>50</v>
      </c>
      <c r="J1118" s="5">
        <v>0</v>
      </c>
      <c r="K1118" t="s">
        <v>38</v>
      </c>
      <c r="M1118">
        <v>61762</v>
      </c>
      <c r="N1118" t="s">
        <v>624</v>
      </c>
      <c r="O1118" t="s">
        <v>623</v>
      </c>
      <c r="P1118" t="s">
        <v>38</v>
      </c>
      <c r="Q1118" t="s">
        <v>50</v>
      </c>
      <c r="R1118">
        <v>0</v>
      </c>
      <c r="S1118" t="s">
        <v>45</v>
      </c>
      <c r="T1118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8">
        <v>61763</v>
      </c>
      <c r="V1118" t="s">
        <v>38</v>
      </c>
      <c r="W1118" t="s">
        <v>50</v>
      </c>
      <c r="X1118">
        <v>0</v>
      </c>
      <c r="Y1118">
        <v>0</v>
      </c>
      <c r="Z1118" t="s">
        <v>46</v>
      </c>
      <c r="AA1118">
        <v>61767</v>
      </c>
      <c r="AB1118" t="s">
        <v>980</v>
      </c>
      <c r="AC1118" t="s">
        <v>103</v>
      </c>
      <c r="AD1118" t="s">
        <v>38</v>
      </c>
      <c r="AE1118" t="s">
        <v>49</v>
      </c>
      <c r="AF1118" t="s">
        <v>50</v>
      </c>
      <c r="AG1118">
        <v>0</v>
      </c>
      <c r="AH1118">
        <v>0</v>
      </c>
      <c r="AI1118" t="s">
        <v>51</v>
      </c>
      <c r="AJ1118" t="s">
        <v>51</v>
      </c>
      <c r="AK1118" t="s">
        <v>51</v>
      </c>
    </row>
    <row r="1119" spans="1:37" x14ac:dyDescent="0.2">
      <c r="A1119">
        <v>61761</v>
      </c>
      <c r="B1119" t="s">
        <v>37</v>
      </c>
      <c r="C1119" t="s">
        <v>38</v>
      </c>
      <c r="D1119" t="s">
        <v>623</v>
      </c>
      <c r="E1119" t="s">
        <v>624</v>
      </c>
      <c r="G1119" s="4">
        <v>43947.525150462963</v>
      </c>
      <c r="H1119" s="4">
        <v>43947.525150462963</v>
      </c>
      <c r="I1119" t="s">
        <v>50</v>
      </c>
      <c r="J1119" s="5">
        <v>0</v>
      </c>
      <c r="K1119" t="s">
        <v>38</v>
      </c>
      <c r="M1119">
        <v>61762</v>
      </c>
      <c r="N1119" t="s">
        <v>624</v>
      </c>
      <c r="O1119" t="s">
        <v>623</v>
      </c>
      <c r="P1119" t="s">
        <v>38</v>
      </c>
      <c r="Q1119" t="s">
        <v>50</v>
      </c>
      <c r="R1119">
        <v>0</v>
      </c>
      <c r="S1119" t="s">
        <v>45</v>
      </c>
      <c r="T1119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19">
        <v>61763</v>
      </c>
      <c r="V1119" t="s">
        <v>38</v>
      </c>
      <c r="W1119" t="s">
        <v>50</v>
      </c>
      <c r="X1119">
        <v>0</v>
      </c>
      <c r="Y1119">
        <v>0</v>
      </c>
      <c r="Z1119" t="s">
        <v>46</v>
      </c>
      <c r="AA1119">
        <v>61766</v>
      </c>
      <c r="AB1119" t="s">
        <v>981</v>
      </c>
      <c r="AC1119" t="s">
        <v>103</v>
      </c>
      <c r="AD1119" t="s">
        <v>38</v>
      </c>
      <c r="AE1119" t="s">
        <v>49</v>
      </c>
      <c r="AF1119" t="s">
        <v>50</v>
      </c>
      <c r="AG1119">
        <v>0</v>
      </c>
      <c r="AH1119">
        <v>0</v>
      </c>
      <c r="AI1119" t="s">
        <v>51</v>
      </c>
      <c r="AJ1119" t="s">
        <v>51</v>
      </c>
      <c r="AK1119" t="s">
        <v>51</v>
      </c>
    </row>
    <row r="1120" spans="1:37" x14ac:dyDescent="0.2">
      <c r="A1120">
        <v>61761</v>
      </c>
      <c r="B1120" t="s">
        <v>37</v>
      </c>
      <c r="C1120" t="s">
        <v>38</v>
      </c>
      <c r="D1120" t="s">
        <v>623</v>
      </c>
      <c r="E1120" t="s">
        <v>624</v>
      </c>
      <c r="G1120" s="4">
        <v>43947.525150462963</v>
      </c>
      <c r="H1120" s="4">
        <v>43947.525150462963</v>
      </c>
      <c r="I1120" t="s">
        <v>50</v>
      </c>
      <c r="J1120" s="5">
        <v>0</v>
      </c>
      <c r="K1120" t="s">
        <v>38</v>
      </c>
      <c r="M1120">
        <v>61762</v>
      </c>
      <c r="N1120" t="s">
        <v>624</v>
      </c>
      <c r="O1120" t="s">
        <v>623</v>
      </c>
      <c r="P1120" t="s">
        <v>38</v>
      </c>
      <c r="Q1120" t="s">
        <v>50</v>
      </c>
      <c r="R1120">
        <v>0</v>
      </c>
      <c r="S1120" t="s">
        <v>45</v>
      </c>
      <c r="T1120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20">
        <v>61763</v>
      </c>
      <c r="V1120" t="s">
        <v>38</v>
      </c>
      <c r="W1120" t="s">
        <v>50</v>
      </c>
      <c r="X1120">
        <v>0</v>
      </c>
      <c r="Y1120">
        <v>0</v>
      </c>
      <c r="Z1120" t="s">
        <v>46</v>
      </c>
      <c r="AA1120">
        <v>61765</v>
      </c>
      <c r="AB1120" t="s">
        <v>982</v>
      </c>
      <c r="AC1120" t="s">
        <v>103</v>
      </c>
      <c r="AD1120" t="s">
        <v>38</v>
      </c>
      <c r="AE1120" t="s">
        <v>49</v>
      </c>
      <c r="AF1120" t="s">
        <v>50</v>
      </c>
      <c r="AG1120">
        <v>0</v>
      </c>
      <c r="AH1120">
        <v>0</v>
      </c>
      <c r="AI1120" t="s">
        <v>51</v>
      </c>
      <c r="AJ1120" t="s">
        <v>51</v>
      </c>
      <c r="AK1120" t="s">
        <v>51</v>
      </c>
    </row>
    <row r="1121" spans="1:37" x14ac:dyDescent="0.2">
      <c r="A1121">
        <v>61761</v>
      </c>
      <c r="B1121" t="s">
        <v>37</v>
      </c>
      <c r="C1121" t="s">
        <v>38</v>
      </c>
      <c r="D1121" t="s">
        <v>623</v>
      </c>
      <c r="E1121" t="s">
        <v>624</v>
      </c>
      <c r="G1121" s="4">
        <v>43947.525150462963</v>
      </c>
      <c r="H1121" s="4">
        <v>43947.525150462963</v>
      </c>
      <c r="I1121" t="s">
        <v>50</v>
      </c>
      <c r="J1121" s="5">
        <v>0</v>
      </c>
      <c r="K1121" t="s">
        <v>38</v>
      </c>
      <c r="M1121">
        <v>61762</v>
      </c>
      <c r="N1121" t="s">
        <v>624</v>
      </c>
      <c r="O1121" t="s">
        <v>623</v>
      </c>
      <c r="P1121" t="s">
        <v>38</v>
      </c>
      <c r="Q1121" t="s">
        <v>50</v>
      </c>
      <c r="R1121">
        <v>0</v>
      </c>
      <c r="S1121" t="s">
        <v>45</v>
      </c>
      <c r="T1121" t="str" s="2">
        <f>=HYPERLINK("http://demo.enginatics.com:80/ecc/user/applications/log/61761.log","http://demo.enginatics.com:80/ecc/user/applications/log/61761.log")</f>
        <v>"http://demo.enginatics.com:80/ecc/user/applications/log/61761.log")</v>
      </c>
      <c r="U1121">
        <v>61763</v>
      </c>
      <c r="V1121" t="s">
        <v>38</v>
      </c>
      <c r="W1121" t="s">
        <v>50</v>
      </c>
      <c r="X1121">
        <v>0</v>
      </c>
      <c r="Y1121">
        <v>0</v>
      </c>
      <c r="Z1121" t="s">
        <v>46</v>
      </c>
      <c r="AA1121">
        <v>61764</v>
      </c>
      <c r="AB1121" t="s">
        <v>983</v>
      </c>
      <c r="AC1121" t="s">
        <v>103</v>
      </c>
      <c r="AD1121" t="s">
        <v>38</v>
      </c>
      <c r="AE1121" t="s">
        <v>49</v>
      </c>
      <c r="AF1121" t="s">
        <v>50</v>
      </c>
      <c r="AG1121">
        <v>0</v>
      </c>
      <c r="AH1121">
        <v>0</v>
      </c>
      <c r="AI1121" t="s">
        <v>51</v>
      </c>
      <c r="AJ1121" t="s">
        <v>51</v>
      </c>
      <c r="AK1121" t="s">
        <v>51</v>
      </c>
    </row>
    <row r="1122" spans="1:37" x14ac:dyDescent="0.2">
      <c r="A1122">
        <v>61751</v>
      </c>
      <c r="B1122" t="s">
        <v>37</v>
      </c>
      <c r="C1122" t="s">
        <v>38</v>
      </c>
      <c r="D1122" t="s">
        <v>641</v>
      </c>
      <c r="E1122" t="s">
        <v>40</v>
      </c>
      <c r="G1122" s="4">
        <v>43947.522164351852</v>
      </c>
      <c r="H1122" s="4">
        <v>43947.522175925926</v>
      </c>
      <c r="I1122" t="s">
        <v>50</v>
      </c>
      <c r="J1122" s="5">
        <v>.9999999999999999999999999999999999999996</v>
      </c>
      <c r="K1122" t="s">
        <v>38</v>
      </c>
      <c r="M1122">
        <v>61758</v>
      </c>
      <c r="N1122" t="s">
        <v>642</v>
      </c>
      <c r="O1122" t="s">
        <v>643</v>
      </c>
      <c r="P1122" t="s">
        <v>38</v>
      </c>
      <c r="Q1122" t="s">
        <v>50</v>
      </c>
      <c r="R1122">
        <v>.9999999999999999999999999999999999999996</v>
      </c>
      <c r="S1122" t="s">
        <v>45</v>
      </c>
      <c r="T1122" t="str" s="2">
        <f>=HYPERLINK("http://demo.enginatics.com:80/ecc/user/applications/log/61751.log","http://demo.enginatics.com:80/ecc/user/applications/log/61751.log")</f>
        <v>"http://demo.enginatics.com:80/ecc/user/applications/log/61751.log")</v>
      </c>
      <c r="U1122">
        <v>61759</v>
      </c>
      <c r="V1122" t="s">
        <v>38</v>
      </c>
      <c r="W1122" t="s">
        <v>50</v>
      </c>
      <c r="X1122">
        <v>0</v>
      </c>
      <c r="Y1122">
        <v>0</v>
      </c>
      <c r="Z1122" t="s">
        <v>46</v>
      </c>
      <c r="AA1122">
        <v>61760</v>
      </c>
      <c r="AB1122" t="s">
        <v>984</v>
      </c>
      <c r="AC1122" t="s">
        <v>68</v>
      </c>
      <c r="AD1122" t="s">
        <v>38</v>
      </c>
      <c r="AE1122" t="s">
        <v>49</v>
      </c>
      <c r="AF1122" t="s">
        <v>50</v>
      </c>
      <c r="AG1122">
        <v>0</v>
      </c>
      <c r="AH1122">
        <v>0</v>
      </c>
      <c r="AI1122" t="s">
        <v>51</v>
      </c>
      <c r="AJ1122" t="s">
        <v>51</v>
      </c>
      <c r="AK1122" t="s">
        <v>51</v>
      </c>
    </row>
    <row r="1123" spans="1:37" x14ac:dyDescent="0.2">
      <c r="A1123">
        <v>61751</v>
      </c>
      <c r="B1123" t="s">
        <v>37</v>
      </c>
      <c r="C1123" t="s">
        <v>38</v>
      </c>
      <c r="D1123" t="s">
        <v>641</v>
      </c>
      <c r="E1123" t="s">
        <v>40</v>
      </c>
      <c r="G1123" s="4">
        <v>43947.522164351852</v>
      </c>
      <c r="H1123" s="4">
        <v>43947.522175925926</v>
      </c>
      <c r="I1123" t="s">
        <v>50</v>
      </c>
      <c r="J1123" s="5">
        <v>.9999999999999999999999999999999999999996</v>
      </c>
      <c r="K1123" t="s">
        <v>38</v>
      </c>
      <c r="M1123">
        <v>61755</v>
      </c>
      <c r="N1123" t="s">
        <v>645</v>
      </c>
      <c r="O1123" t="s">
        <v>646</v>
      </c>
      <c r="P1123" t="s">
        <v>38</v>
      </c>
      <c r="Q1123" t="s">
        <v>50</v>
      </c>
      <c r="R1123">
        <v>0</v>
      </c>
      <c r="S1123" t="s">
        <v>45</v>
      </c>
      <c r="T1123" t="str" s="2">
        <f>=HYPERLINK("http://demo.enginatics.com:80/ecc/user/applications/log/61751.log","http://demo.enginatics.com:80/ecc/user/applications/log/61751.log")</f>
        <v>"http://demo.enginatics.com:80/ecc/user/applications/log/61751.log")</v>
      </c>
      <c r="U1123">
        <v>61756</v>
      </c>
      <c r="V1123" t="s">
        <v>38</v>
      </c>
      <c r="W1123" t="s">
        <v>50</v>
      </c>
      <c r="X1123">
        <v>0</v>
      </c>
      <c r="Y1123">
        <v>0</v>
      </c>
      <c r="Z1123" t="s">
        <v>46</v>
      </c>
      <c r="AA1123">
        <v>61757</v>
      </c>
      <c r="AB1123" t="s">
        <v>985</v>
      </c>
      <c r="AC1123" t="s">
        <v>68</v>
      </c>
      <c r="AD1123" t="s">
        <v>38</v>
      </c>
      <c r="AE1123" t="s">
        <v>49</v>
      </c>
      <c r="AF1123" t="s">
        <v>50</v>
      </c>
      <c r="AG1123">
        <v>0</v>
      </c>
      <c r="AH1123">
        <v>0</v>
      </c>
      <c r="AI1123" t="s">
        <v>51</v>
      </c>
      <c r="AJ1123" t="s">
        <v>51</v>
      </c>
      <c r="AK1123" t="s">
        <v>51</v>
      </c>
    </row>
    <row r="1124" spans="1:37" x14ac:dyDescent="0.2">
      <c r="A1124">
        <v>61751</v>
      </c>
      <c r="B1124" t="s">
        <v>37</v>
      </c>
      <c r="C1124" t="s">
        <v>38</v>
      </c>
      <c r="D1124" t="s">
        <v>641</v>
      </c>
      <c r="E1124" t="s">
        <v>40</v>
      </c>
      <c r="G1124" s="4">
        <v>43947.522164351852</v>
      </c>
      <c r="H1124" s="4">
        <v>43947.522175925926</v>
      </c>
      <c r="I1124" t="s">
        <v>50</v>
      </c>
      <c r="J1124" s="5">
        <v>.9999999999999999999999999999999999999996</v>
      </c>
      <c r="K1124" t="s">
        <v>38</v>
      </c>
      <c r="M1124">
        <v>61752</v>
      </c>
      <c r="N1124" t="s">
        <v>648</v>
      </c>
      <c r="O1124" t="s">
        <v>649</v>
      </c>
      <c r="P1124" t="s">
        <v>38</v>
      </c>
      <c r="Q1124" t="s">
        <v>50</v>
      </c>
      <c r="R1124">
        <v>0</v>
      </c>
      <c r="S1124" t="s">
        <v>45</v>
      </c>
      <c r="T1124" t="str" s="2">
        <f>=HYPERLINK("http://demo.enginatics.com:80/ecc/user/applications/log/61751.log","http://demo.enginatics.com:80/ecc/user/applications/log/61751.log")</f>
        <v>"http://demo.enginatics.com:80/ecc/user/applications/log/61751.log")</v>
      </c>
      <c r="U1124">
        <v>61753</v>
      </c>
      <c r="V1124" t="s">
        <v>38</v>
      </c>
      <c r="W1124" t="s">
        <v>50</v>
      </c>
      <c r="X1124">
        <v>0</v>
      </c>
      <c r="Y1124">
        <v>0</v>
      </c>
      <c r="Z1124" t="s">
        <v>46</v>
      </c>
      <c r="AA1124">
        <v>61754</v>
      </c>
      <c r="AB1124" t="s">
        <v>986</v>
      </c>
      <c r="AC1124" t="s">
        <v>68</v>
      </c>
      <c r="AD1124" t="s">
        <v>38</v>
      </c>
      <c r="AE1124" t="s">
        <v>49</v>
      </c>
      <c r="AF1124" t="s">
        <v>50</v>
      </c>
      <c r="AG1124">
        <v>0</v>
      </c>
      <c r="AH1124">
        <v>0</v>
      </c>
      <c r="AI1124" t="s">
        <v>51</v>
      </c>
      <c r="AJ1124" t="s">
        <v>51</v>
      </c>
      <c r="AK1124" t="s">
        <v>51</v>
      </c>
    </row>
    <row r="1125" spans="1:37" x14ac:dyDescent="0.2">
      <c r="A1125">
        <v>61729</v>
      </c>
      <c r="B1125" t="s">
        <v>37</v>
      </c>
      <c r="C1125" t="s">
        <v>38</v>
      </c>
      <c r="D1125" t="s">
        <v>651</v>
      </c>
      <c r="E1125" t="s">
        <v>40</v>
      </c>
      <c r="G1125" s="4">
        <v>43947.51505787037</v>
      </c>
      <c r="H1125" s="4">
        <v>43947.515138888889</v>
      </c>
      <c r="I1125" t="s">
        <v>247</v>
      </c>
      <c r="J1125" s="5">
        <v>7</v>
      </c>
      <c r="K1125" t="s">
        <v>38</v>
      </c>
      <c r="M1125">
        <v>61748</v>
      </c>
      <c r="N1125" t="s">
        <v>653</v>
      </c>
      <c r="O1125" t="s">
        <v>654</v>
      </c>
      <c r="P1125" t="s">
        <v>38</v>
      </c>
      <c r="Q1125" t="s">
        <v>44</v>
      </c>
      <c r="R1125">
        <v>4</v>
      </c>
      <c r="S1125" t="s">
        <v>45</v>
      </c>
      <c r="T1125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25">
        <v>61749</v>
      </c>
      <c r="V1125" t="s">
        <v>38</v>
      </c>
      <c r="W1125" t="s">
        <v>44</v>
      </c>
      <c r="X1125">
        <v>4</v>
      </c>
      <c r="Y1125">
        <v>0</v>
      </c>
      <c r="Z1125" t="s">
        <v>46</v>
      </c>
      <c r="AA1125">
        <v>61750</v>
      </c>
      <c r="AB1125" t="s">
        <v>655</v>
      </c>
      <c r="AC1125" t="s">
        <v>48</v>
      </c>
      <c r="AD1125" t="s">
        <v>38</v>
      </c>
      <c r="AE1125" t="s">
        <v>49</v>
      </c>
      <c r="AF1125" t="s">
        <v>85</v>
      </c>
      <c r="AG1125">
        <v>3</v>
      </c>
      <c r="AH1125">
        <v>3</v>
      </c>
      <c r="AI1125" t="s">
        <v>51</v>
      </c>
      <c r="AJ1125" t="s">
        <v>51</v>
      </c>
      <c r="AK1125" t="s">
        <v>51</v>
      </c>
    </row>
    <row r="1126" spans="1:37" x14ac:dyDescent="0.2">
      <c r="A1126">
        <v>61729</v>
      </c>
      <c r="B1126" t="s">
        <v>37</v>
      </c>
      <c r="C1126" t="s">
        <v>38</v>
      </c>
      <c r="D1126" t="s">
        <v>651</v>
      </c>
      <c r="E1126" t="s">
        <v>40</v>
      </c>
      <c r="G1126" s="4">
        <v>43947.51505787037</v>
      </c>
      <c r="H1126" s="4">
        <v>43947.515138888889</v>
      </c>
      <c r="I1126" t="s">
        <v>247</v>
      </c>
      <c r="J1126" s="5">
        <v>7</v>
      </c>
      <c r="K1126" t="s">
        <v>38</v>
      </c>
      <c r="M1126">
        <v>61745</v>
      </c>
      <c r="N1126" t="s">
        <v>656</v>
      </c>
      <c r="O1126" t="s">
        <v>657</v>
      </c>
      <c r="P1126" t="s">
        <v>38</v>
      </c>
      <c r="Q1126" t="s">
        <v>50</v>
      </c>
      <c r="R1126">
        <v>.9999999999999999999999999999999999999996</v>
      </c>
      <c r="S1126" t="s">
        <v>45</v>
      </c>
      <c r="T1126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26">
        <v>61746</v>
      </c>
      <c r="V1126" t="s">
        <v>38</v>
      </c>
      <c r="W1126" t="s">
        <v>50</v>
      </c>
      <c r="X1126">
        <v>.9999999999999999999999999999999999999996</v>
      </c>
      <c r="Y1126">
        <v>0</v>
      </c>
      <c r="Z1126" t="s">
        <v>46</v>
      </c>
      <c r="AA1126">
        <v>61747</v>
      </c>
      <c r="AB1126" t="s">
        <v>658</v>
      </c>
      <c r="AC1126" t="s">
        <v>48</v>
      </c>
      <c r="AD1126" t="s">
        <v>38</v>
      </c>
      <c r="AE1126" t="s">
        <v>49</v>
      </c>
      <c r="AF1126" t="s">
        <v>50</v>
      </c>
      <c r="AG1126">
        <v>.9999999999999999999999999999999999999996</v>
      </c>
      <c r="AH1126">
        <v>0</v>
      </c>
      <c r="AI1126" t="s">
        <v>51</v>
      </c>
      <c r="AJ1126" t="s">
        <v>51</v>
      </c>
      <c r="AK1126" t="s">
        <v>51</v>
      </c>
    </row>
    <row r="1127" spans="1:37" x14ac:dyDescent="0.2">
      <c r="A1127">
        <v>61729</v>
      </c>
      <c r="B1127" t="s">
        <v>37</v>
      </c>
      <c r="C1127" t="s">
        <v>38</v>
      </c>
      <c r="D1127" t="s">
        <v>651</v>
      </c>
      <c r="E1127" t="s">
        <v>40</v>
      </c>
      <c r="G1127" s="4">
        <v>43947.51505787037</v>
      </c>
      <c r="H1127" s="4">
        <v>43947.515138888889</v>
      </c>
      <c r="I1127" t="s">
        <v>247</v>
      </c>
      <c r="J1127" s="5">
        <v>7</v>
      </c>
      <c r="K1127" t="s">
        <v>38</v>
      </c>
      <c r="M1127">
        <v>61742</v>
      </c>
      <c r="N1127" t="s">
        <v>659</v>
      </c>
      <c r="O1127" t="s">
        <v>660</v>
      </c>
      <c r="P1127" t="s">
        <v>38</v>
      </c>
      <c r="Q1127" t="s">
        <v>50</v>
      </c>
      <c r="R1127">
        <v>0</v>
      </c>
      <c r="S1127" t="s">
        <v>45</v>
      </c>
      <c r="T1127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27">
        <v>61743</v>
      </c>
      <c r="V1127" t="s">
        <v>38</v>
      </c>
      <c r="W1127" t="s">
        <v>50</v>
      </c>
      <c r="X1127">
        <v>0</v>
      </c>
      <c r="Y1127">
        <v>0</v>
      </c>
      <c r="Z1127" t="s">
        <v>46</v>
      </c>
      <c r="AA1127">
        <v>61744</v>
      </c>
      <c r="AB1127" t="s">
        <v>661</v>
      </c>
      <c r="AC1127" t="s">
        <v>48</v>
      </c>
      <c r="AD1127" t="s">
        <v>38</v>
      </c>
      <c r="AE1127" t="s">
        <v>49</v>
      </c>
      <c r="AF1127" t="s">
        <v>50</v>
      </c>
      <c r="AG1127">
        <v>0</v>
      </c>
      <c r="AH1127">
        <v>0</v>
      </c>
      <c r="AI1127" t="s">
        <v>51</v>
      </c>
      <c r="AJ1127" t="s">
        <v>51</v>
      </c>
      <c r="AK1127" t="s">
        <v>51</v>
      </c>
    </row>
    <row r="1128" spans="1:37" x14ac:dyDescent="0.2">
      <c r="A1128">
        <v>61729</v>
      </c>
      <c r="B1128" t="s">
        <v>37</v>
      </c>
      <c r="C1128" t="s">
        <v>38</v>
      </c>
      <c r="D1128" t="s">
        <v>651</v>
      </c>
      <c r="E1128" t="s">
        <v>40</v>
      </c>
      <c r="G1128" s="4">
        <v>43947.51505787037</v>
      </c>
      <c r="H1128" s="4">
        <v>43947.515138888889</v>
      </c>
      <c r="I1128" t="s">
        <v>247</v>
      </c>
      <c r="J1128" s="5">
        <v>7</v>
      </c>
      <c r="K1128" t="s">
        <v>38</v>
      </c>
      <c r="M1128">
        <v>61739</v>
      </c>
      <c r="N1128" t="s">
        <v>662</v>
      </c>
      <c r="O1128" t="s">
        <v>663</v>
      </c>
      <c r="P1128" t="s">
        <v>38</v>
      </c>
      <c r="Q1128" t="s">
        <v>50</v>
      </c>
      <c r="R1128">
        <v>.9999999999999999999999999999999999999996</v>
      </c>
      <c r="S1128" t="s">
        <v>45</v>
      </c>
      <c r="T1128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28">
        <v>61740</v>
      </c>
      <c r="V1128" t="s">
        <v>38</v>
      </c>
      <c r="W1128" t="s">
        <v>50</v>
      </c>
      <c r="X1128">
        <v>.9999999999999999999999999999999999999996</v>
      </c>
      <c r="Y1128">
        <v>0</v>
      </c>
      <c r="Z1128" t="s">
        <v>46</v>
      </c>
      <c r="AA1128">
        <v>61741</v>
      </c>
      <c r="AB1128" t="s">
        <v>664</v>
      </c>
      <c r="AC1128" t="s">
        <v>48</v>
      </c>
      <c r="AD1128" t="s">
        <v>38</v>
      </c>
      <c r="AE1128" t="s">
        <v>49</v>
      </c>
      <c r="AF1128" t="s">
        <v>50</v>
      </c>
      <c r="AG1128">
        <v>.9999999999999999999999999999999999999996</v>
      </c>
      <c r="AH1128">
        <v>0</v>
      </c>
      <c r="AI1128" t="s">
        <v>51</v>
      </c>
      <c r="AJ1128" t="s">
        <v>51</v>
      </c>
      <c r="AK1128" t="s">
        <v>51</v>
      </c>
    </row>
    <row r="1129" spans="1:37" x14ac:dyDescent="0.2">
      <c r="A1129">
        <v>61729</v>
      </c>
      <c r="B1129" t="s">
        <v>37</v>
      </c>
      <c r="C1129" t="s">
        <v>38</v>
      </c>
      <c r="D1129" t="s">
        <v>651</v>
      </c>
      <c r="E1129" t="s">
        <v>40</v>
      </c>
      <c r="G1129" s="4">
        <v>43947.51505787037</v>
      </c>
      <c r="H1129" s="4">
        <v>43947.515138888889</v>
      </c>
      <c r="I1129" t="s">
        <v>247</v>
      </c>
      <c r="J1129" s="5">
        <v>7</v>
      </c>
      <c r="K1129" t="s">
        <v>38</v>
      </c>
      <c r="M1129">
        <v>61736</v>
      </c>
      <c r="N1129" t="s">
        <v>665</v>
      </c>
      <c r="O1129" t="s">
        <v>666</v>
      </c>
      <c r="P1129" t="s">
        <v>38</v>
      </c>
      <c r="Q1129" t="s">
        <v>50</v>
      </c>
      <c r="R1129">
        <v>0</v>
      </c>
      <c r="S1129" t="s">
        <v>45</v>
      </c>
      <c r="T1129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29">
        <v>61737</v>
      </c>
      <c r="V1129" t="s">
        <v>38</v>
      </c>
      <c r="W1129" t="s">
        <v>50</v>
      </c>
      <c r="X1129">
        <v>0</v>
      </c>
      <c r="Y1129">
        <v>0</v>
      </c>
      <c r="Z1129" t="s">
        <v>46</v>
      </c>
      <c r="AA1129">
        <v>61738</v>
      </c>
      <c r="AB1129" t="s">
        <v>667</v>
      </c>
      <c r="AC1129" t="s">
        <v>48</v>
      </c>
      <c r="AD1129" t="s">
        <v>38</v>
      </c>
      <c r="AE1129" t="s">
        <v>49</v>
      </c>
      <c r="AF1129" t="s">
        <v>50</v>
      </c>
      <c r="AG1129">
        <v>0</v>
      </c>
      <c r="AH1129">
        <v>0</v>
      </c>
      <c r="AI1129" t="s">
        <v>51</v>
      </c>
      <c r="AJ1129" t="s">
        <v>51</v>
      </c>
      <c r="AK1129" t="s">
        <v>51</v>
      </c>
    </row>
    <row r="1130" spans="1:37" x14ac:dyDescent="0.2">
      <c r="A1130">
        <v>61729</v>
      </c>
      <c r="B1130" t="s">
        <v>37</v>
      </c>
      <c r="C1130" t="s">
        <v>38</v>
      </c>
      <c r="D1130" t="s">
        <v>651</v>
      </c>
      <c r="E1130" t="s">
        <v>40</v>
      </c>
      <c r="G1130" s="4">
        <v>43947.51505787037</v>
      </c>
      <c r="H1130" s="4">
        <v>43947.515138888889</v>
      </c>
      <c r="I1130" t="s">
        <v>247</v>
      </c>
      <c r="J1130" s="5">
        <v>7</v>
      </c>
      <c r="K1130" t="s">
        <v>38</v>
      </c>
      <c r="M1130">
        <v>61733</v>
      </c>
      <c r="N1130" t="s">
        <v>668</v>
      </c>
      <c r="O1130" t="s">
        <v>669</v>
      </c>
      <c r="P1130" t="s">
        <v>38</v>
      </c>
      <c r="Q1130" t="s">
        <v>50</v>
      </c>
      <c r="R1130">
        <v>0</v>
      </c>
      <c r="S1130" t="s">
        <v>45</v>
      </c>
      <c r="T1130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30">
        <v>61734</v>
      </c>
      <c r="V1130" t="s">
        <v>38</v>
      </c>
      <c r="W1130" t="s">
        <v>50</v>
      </c>
      <c r="X1130">
        <v>0</v>
      </c>
      <c r="Y1130">
        <v>0</v>
      </c>
      <c r="Z1130" t="s">
        <v>46</v>
      </c>
      <c r="AA1130">
        <v>61735</v>
      </c>
      <c r="AB1130" t="s">
        <v>670</v>
      </c>
      <c r="AC1130" t="s">
        <v>48</v>
      </c>
      <c r="AD1130" t="s">
        <v>38</v>
      </c>
      <c r="AE1130" t="s">
        <v>49</v>
      </c>
      <c r="AF1130" t="s">
        <v>50</v>
      </c>
      <c r="AG1130">
        <v>0</v>
      </c>
      <c r="AH1130">
        <v>0</v>
      </c>
      <c r="AI1130" t="s">
        <v>51</v>
      </c>
      <c r="AJ1130" t="s">
        <v>51</v>
      </c>
      <c r="AK1130" t="s">
        <v>51</v>
      </c>
    </row>
    <row r="1131" spans="1:37" x14ac:dyDescent="0.2">
      <c r="A1131">
        <v>61729</v>
      </c>
      <c r="B1131" t="s">
        <v>37</v>
      </c>
      <c r="C1131" t="s">
        <v>38</v>
      </c>
      <c r="D1131" t="s">
        <v>651</v>
      </c>
      <c r="E1131" t="s">
        <v>40</v>
      </c>
      <c r="G1131" s="4">
        <v>43947.51505787037</v>
      </c>
      <c r="H1131" s="4">
        <v>43947.515138888889</v>
      </c>
      <c r="I1131" t="s">
        <v>247</v>
      </c>
      <c r="J1131" s="5">
        <v>7</v>
      </c>
      <c r="K1131" t="s">
        <v>38</v>
      </c>
      <c r="M1131">
        <v>61730</v>
      </c>
      <c r="N1131" t="s">
        <v>671</v>
      </c>
      <c r="O1131" t="s">
        <v>672</v>
      </c>
      <c r="P1131" t="s">
        <v>38</v>
      </c>
      <c r="Q1131" t="s">
        <v>50</v>
      </c>
      <c r="R1131">
        <v>.9999999999999999999999999999999999999996</v>
      </c>
      <c r="S1131" t="s">
        <v>45</v>
      </c>
      <c r="T1131" t="str" s="2">
        <f>=HYPERLINK("http://demo.enginatics.com:80/ecc/user/applications/log/61729.log","http://demo.enginatics.com:80/ecc/user/applications/log/61729.log")</f>
        <v>"http://demo.enginatics.com:80/ecc/user/applications/log/61729.log")</v>
      </c>
      <c r="U1131">
        <v>61731</v>
      </c>
      <c r="V1131" t="s">
        <v>38</v>
      </c>
      <c r="W1131" t="s">
        <v>50</v>
      </c>
      <c r="X1131">
        <v>.9999999999999999999999999999999999999996</v>
      </c>
      <c r="Y1131">
        <v>0</v>
      </c>
      <c r="Z1131" t="s">
        <v>46</v>
      </c>
      <c r="AA1131">
        <v>61732</v>
      </c>
      <c r="AB1131" t="s">
        <v>673</v>
      </c>
      <c r="AC1131" t="s">
        <v>48</v>
      </c>
      <c r="AD1131" t="s">
        <v>38</v>
      </c>
      <c r="AE1131" t="s">
        <v>49</v>
      </c>
      <c r="AF1131" t="s">
        <v>50</v>
      </c>
      <c r="AG1131">
        <v>0</v>
      </c>
      <c r="AH1131">
        <v>0</v>
      </c>
      <c r="AI1131" t="s">
        <v>51</v>
      </c>
      <c r="AJ1131" t="s">
        <v>51</v>
      </c>
      <c r="AK1131" t="s">
        <v>51</v>
      </c>
    </row>
    <row r="1132" spans="1:37" x14ac:dyDescent="0.2">
      <c r="A1132">
        <v>60606</v>
      </c>
      <c r="B1132" t="s">
        <v>37</v>
      </c>
      <c r="C1132" t="s">
        <v>38</v>
      </c>
      <c r="D1132" t="s">
        <v>674</v>
      </c>
      <c r="E1132" t="s">
        <v>40</v>
      </c>
      <c r="G1132" s="4">
        <v>43947.508865740741</v>
      </c>
      <c r="H1132" s="4">
        <v>43947.509513888889</v>
      </c>
      <c r="I1132" t="s">
        <v>1205</v>
      </c>
      <c r="J1132" s="5">
        <v>55.99999999999999999999999999999999999999</v>
      </c>
      <c r="K1132" t="s">
        <v>38</v>
      </c>
      <c r="M1132">
        <v>61726</v>
      </c>
      <c r="N1132" t="s">
        <v>676</v>
      </c>
      <c r="O1132" t="s">
        <v>677</v>
      </c>
      <c r="P1132" t="s">
        <v>38</v>
      </c>
      <c r="Q1132" t="s">
        <v>247</v>
      </c>
      <c r="R1132">
        <v>7</v>
      </c>
      <c r="S1132" t="s">
        <v>45</v>
      </c>
      <c r="T113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2">
        <v>61727</v>
      </c>
      <c r="V1132" t="s">
        <v>38</v>
      </c>
      <c r="W1132" t="s">
        <v>247</v>
      </c>
      <c r="X1132">
        <v>7</v>
      </c>
      <c r="Y1132">
        <v>0</v>
      </c>
      <c r="Z1132" t="s">
        <v>46</v>
      </c>
      <c r="AA1132">
        <v>61728</v>
      </c>
      <c r="AB1132" t="s">
        <v>678</v>
      </c>
      <c r="AC1132" t="s">
        <v>48</v>
      </c>
      <c r="AD1132" t="s">
        <v>38</v>
      </c>
      <c r="AE1132" t="s">
        <v>1206</v>
      </c>
      <c r="AF1132" t="s">
        <v>78</v>
      </c>
      <c r="AG1132">
        <v>5</v>
      </c>
      <c r="AH1132">
        <v>0</v>
      </c>
      <c r="AI1132" t="s">
        <v>1207</v>
      </c>
      <c r="AJ1132" t="s">
        <v>51</v>
      </c>
      <c r="AK1132" t="s">
        <v>1207</v>
      </c>
    </row>
    <row r="1133" spans="1:37" x14ac:dyDescent="0.2">
      <c r="A1133">
        <v>60606</v>
      </c>
      <c r="B1133" t="s">
        <v>37</v>
      </c>
      <c r="C1133" t="s">
        <v>38</v>
      </c>
      <c r="D1133" t="s">
        <v>674</v>
      </c>
      <c r="E1133" t="s">
        <v>40</v>
      </c>
      <c r="G1133" s="4">
        <v>43947.508865740741</v>
      </c>
      <c r="H1133" s="4">
        <v>43947.509513888889</v>
      </c>
      <c r="I1133" t="s">
        <v>1205</v>
      </c>
      <c r="J1133" s="5">
        <v>55.99999999999999999999999999999999999999</v>
      </c>
      <c r="K1133" t="s">
        <v>38</v>
      </c>
      <c r="M1133">
        <v>61723</v>
      </c>
      <c r="N1133" t="s">
        <v>681</v>
      </c>
      <c r="O1133" t="s">
        <v>682</v>
      </c>
      <c r="P1133" t="s">
        <v>38</v>
      </c>
      <c r="Q1133" t="s">
        <v>75</v>
      </c>
      <c r="R1133">
        <v>6</v>
      </c>
      <c r="S1133" t="s">
        <v>45</v>
      </c>
      <c r="T113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3">
        <v>61724</v>
      </c>
      <c r="V1133" t="s">
        <v>38</v>
      </c>
      <c r="W1133" t="s">
        <v>75</v>
      </c>
      <c r="X1133">
        <v>6</v>
      </c>
      <c r="Y1133">
        <v>0</v>
      </c>
      <c r="Z1133" t="s">
        <v>46</v>
      </c>
      <c r="AA1133">
        <v>61725</v>
      </c>
      <c r="AB1133" t="s">
        <v>683</v>
      </c>
      <c r="AC1133" t="s">
        <v>48</v>
      </c>
      <c r="AD1133" t="s">
        <v>38</v>
      </c>
      <c r="AE1133" t="s">
        <v>1208</v>
      </c>
      <c r="AF1133" t="s">
        <v>75</v>
      </c>
      <c r="AG1133">
        <v>6</v>
      </c>
      <c r="AH1133">
        <v>0</v>
      </c>
      <c r="AI1133" t="s">
        <v>1209</v>
      </c>
      <c r="AJ1133" t="s">
        <v>51</v>
      </c>
      <c r="AK1133" t="s">
        <v>1209</v>
      </c>
    </row>
    <row r="1134" spans="1:37" x14ac:dyDescent="0.2">
      <c r="A1134">
        <v>60606</v>
      </c>
      <c r="B1134" t="s">
        <v>37</v>
      </c>
      <c r="C1134" t="s">
        <v>38</v>
      </c>
      <c r="D1134" t="s">
        <v>674</v>
      </c>
      <c r="E1134" t="s">
        <v>40</v>
      </c>
      <c r="G1134" s="4">
        <v>43947.508865740741</v>
      </c>
      <c r="H1134" s="4">
        <v>43947.509513888889</v>
      </c>
      <c r="I1134" t="s">
        <v>1205</v>
      </c>
      <c r="J1134" s="5">
        <v>55.99999999999999999999999999999999999999</v>
      </c>
      <c r="K1134" t="s">
        <v>38</v>
      </c>
      <c r="M1134">
        <v>61720</v>
      </c>
      <c r="N1134" t="s">
        <v>686</v>
      </c>
      <c r="O1134" t="s">
        <v>687</v>
      </c>
      <c r="P1134" t="s">
        <v>38</v>
      </c>
      <c r="Q1134" t="s">
        <v>75</v>
      </c>
      <c r="R1134">
        <v>6</v>
      </c>
      <c r="S1134" t="s">
        <v>45</v>
      </c>
      <c r="T113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4">
        <v>61721</v>
      </c>
      <c r="V1134" t="s">
        <v>38</v>
      </c>
      <c r="W1134" t="s">
        <v>75</v>
      </c>
      <c r="X1134">
        <v>6</v>
      </c>
      <c r="Y1134">
        <v>0</v>
      </c>
      <c r="Z1134" t="s">
        <v>46</v>
      </c>
      <c r="AA1134">
        <v>61722</v>
      </c>
      <c r="AB1134" t="s">
        <v>688</v>
      </c>
      <c r="AC1134" t="s">
        <v>48</v>
      </c>
      <c r="AD1134" t="s">
        <v>38</v>
      </c>
      <c r="AE1134" t="s">
        <v>689</v>
      </c>
      <c r="AF1134" t="s">
        <v>78</v>
      </c>
      <c r="AG1134">
        <v>5</v>
      </c>
      <c r="AH1134">
        <v>0</v>
      </c>
      <c r="AI1134" t="s">
        <v>690</v>
      </c>
      <c r="AJ1134" t="s">
        <v>51</v>
      </c>
      <c r="AK1134" t="s">
        <v>690</v>
      </c>
    </row>
    <row r="1135" spans="1:37" x14ac:dyDescent="0.2">
      <c r="A1135">
        <v>60606</v>
      </c>
      <c r="B1135" t="s">
        <v>37</v>
      </c>
      <c r="C1135" t="s">
        <v>38</v>
      </c>
      <c r="D1135" t="s">
        <v>674</v>
      </c>
      <c r="E1135" t="s">
        <v>40</v>
      </c>
      <c r="G1135" s="4">
        <v>43947.508865740741</v>
      </c>
      <c r="H1135" s="4">
        <v>43947.509513888889</v>
      </c>
      <c r="I1135" t="s">
        <v>1205</v>
      </c>
      <c r="J1135" s="5">
        <v>55.99999999999999999999999999999999999999</v>
      </c>
      <c r="K1135" t="s">
        <v>38</v>
      </c>
      <c r="M1135">
        <v>61716</v>
      </c>
      <c r="N1135" t="s">
        <v>691</v>
      </c>
      <c r="O1135" t="s">
        <v>692</v>
      </c>
      <c r="P1135" t="s">
        <v>38</v>
      </c>
      <c r="Q1135" t="s">
        <v>324</v>
      </c>
      <c r="R1135">
        <v>16.99999999999999999999999999999999999998</v>
      </c>
      <c r="S1135" t="s">
        <v>45</v>
      </c>
      <c r="T113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5">
        <v>61717</v>
      </c>
      <c r="V1135" t="s">
        <v>38</v>
      </c>
      <c r="W1135" t="s">
        <v>324</v>
      </c>
      <c r="X1135">
        <v>16.99999999999999999999999999999999999998</v>
      </c>
      <c r="Y1135">
        <v>0</v>
      </c>
      <c r="Z1135" t="s">
        <v>46</v>
      </c>
      <c r="AA1135">
        <v>61719</v>
      </c>
      <c r="AB1135" t="s">
        <v>694</v>
      </c>
      <c r="AC1135" t="s">
        <v>103</v>
      </c>
      <c r="AD1135" t="s">
        <v>38</v>
      </c>
      <c r="AE1135" t="s">
        <v>992</v>
      </c>
      <c r="AF1135" t="s">
        <v>78</v>
      </c>
      <c r="AG1135">
        <v>5</v>
      </c>
      <c r="AH1135">
        <v>4</v>
      </c>
      <c r="AI1135" t="s">
        <v>993</v>
      </c>
      <c r="AJ1135" t="s">
        <v>51</v>
      </c>
      <c r="AK1135" t="s">
        <v>993</v>
      </c>
    </row>
    <row r="1136" spans="1:37" x14ac:dyDescent="0.2">
      <c r="A1136">
        <v>60606</v>
      </c>
      <c r="B1136" t="s">
        <v>37</v>
      </c>
      <c r="C1136" t="s">
        <v>38</v>
      </c>
      <c r="D1136" t="s">
        <v>674</v>
      </c>
      <c r="E1136" t="s">
        <v>40</v>
      </c>
      <c r="G1136" s="4">
        <v>43947.508865740741</v>
      </c>
      <c r="H1136" s="4">
        <v>43947.509513888889</v>
      </c>
      <c r="I1136" t="s">
        <v>1205</v>
      </c>
      <c r="J1136" s="5">
        <v>55.99999999999999999999999999999999999999</v>
      </c>
      <c r="K1136" t="s">
        <v>38</v>
      </c>
      <c r="M1136">
        <v>61716</v>
      </c>
      <c r="N1136" t="s">
        <v>691</v>
      </c>
      <c r="O1136" t="s">
        <v>692</v>
      </c>
      <c r="P1136" t="s">
        <v>38</v>
      </c>
      <c r="Q1136" t="s">
        <v>324</v>
      </c>
      <c r="R1136">
        <v>16.99999999999999999999999999999999999998</v>
      </c>
      <c r="S1136" t="s">
        <v>45</v>
      </c>
      <c r="T113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6">
        <v>61717</v>
      </c>
      <c r="V1136" t="s">
        <v>38</v>
      </c>
      <c r="W1136" t="s">
        <v>324</v>
      </c>
      <c r="X1136">
        <v>16.99999999999999999999999999999999999998</v>
      </c>
      <c r="Y1136">
        <v>0</v>
      </c>
      <c r="Z1136" t="s">
        <v>46</v>
      </c>
      <c r="AA1136">
        <v>61718</v>
      </c>
      <c r="AB1136" t="s">
        <v>697</v>
      </c>
      <c r="AC1136" t="s">
        <v>48</v>
      </c>
      <c r="AD1136" t="s">
        <v>38</v>
      </c>
      <c r="AE1136" t="s">
        <v>992</v>
      </c>
      <c r="AF1136" t="s">
        <v>300</v>
      </c>
      <c r="AG1136">
        <v>10.00000000000000000000000000000000000002</v>
      </c>
      <c r="AH1136">
        <v>7</v>
      </c>
      <c r="AI1136" t="s">
        <v>993</v>
      </c>
      <c r="AJ1136" t="s">
        <v>51</v>
      </c>
      <c r="AK1136" t="s">
        <v>993</v>
      </c>
    </row>
    <row r="1137" spans="1:37" x14ac:dyDescent="0.2">
      <c r="A1137">
        <v>60606</v>
      </c>
      <c r="B1137" t="s">
        <v>37</v>
      </c>
      <c r="C1137" t="s">
        <v>38</v>
      </c>
      <c r="D1137" t="s">
        <v>674</v>
      </c>
      <c r="E1137" t="s">
        <v>40</v>
      </c>
      <c r="G1137" s="4">
        <v>43947.508865740741</v>
      </c>
      <c r="H1137" s="4">
        <v>43947.509513888889</v>
      </c>
      <c r="I1137" t="s">
        <v>1205</v>
      </c>
      <c r="J1137" s="5">
        <v>55.99999999999999999999999999999999999999</v>
      </c>
      <c r="K1137" t="s">
        <v>38</v>
      </c>
      <c r="M1137">
        <v>61712</v>
      </c>
      <c r="N1137" t="s">
        <v>698</v>
      </c>
      <c r="O1137" t="s">
        <v>699</v>
      </c>
      <c r="P1137" t="s">
        <v>38</v>
      </c>
      <c r="Q1137" t="s">
        <v>652</v>
      </c>
      <c r="R1137">
        <v>8</v>
      </c>
      <c r="S1137" t="s">
        <v>45</v>
      </c>
      <c r="T113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7">
        <v>61713</v>
      </c>
      <c r="V1137" t="s">
        <v>38</v>
      </c>
      <c r="W1137" t="s">
        <v>247</v>
      </c>
      <c r="X1137">
        <v>7</v>
      </c>
      <c r="Y1137">
        <v>0</v>
      </c>
      <c r="Z1137" t="s">
        <v>46</v>
      </c>
      <c r="AA1137">
        <v>61715</v>
      </c>
      <c r="AB1137" t="s">
        <v>700</v>
      </c>
      <c r="AC1137" t="s">
        <v>103</v>
      </c>
      <c r="AD1137" t="s">
        <v>38</v>
      </c>
      <c r="AE1137" t="s">
        <v>909</v>
      </c>
      <c r="AF1137" t="s">
        <v>78</v>
      </c>
      <c r="AG1137">
        <v>5</v>
      </c>
      <c r="AH1137">
        <v>0</v>
      </c>
      <c r="AI1137" t="s">
        <v>1210</v>
      </c>
      <c r="AJ1137" t="s">
        <v>51</v>
      </c>
      <c r="AK1137" t="s">
        <v>910</v>
      </c>
    </row>
    <row r="1138" spans="1:37" x14ac:dyDescent="0.2">
      <c r="A1138">
        <v>60606</v>
      </c>
      <c r="B1138" t="s">
        <v>37</v>
      </c>
      <c r="C1138" t="s">
        <v>38</v>
      </c>
      <c r="D1138" t="s">
        <v>674</v>
      </c>
      <c r="E1138" t="s">
        <v>40</v>
      </c>
      <c r="G1138" s="4">
        <v>43947.508865740741</v>
      </c>
      <c r="H1138" s="4">
        <v>43947.509513888889</v>
      </c>
      <c r="I1138" t="s">
        <v>1205</v>
      </c>
      <c r="J1138" s="5">
        <v>55.99999999999999999999999999999999999999</v>
      </c>
      <c r="K1138" t="s">
        <v>38</v>
      </c>
      <c r="M1138">
        <v>61712</v>
      </c>
      <c r="N1138" t="s">
        <v>698</v>
      </c>
      <c r="O1138" t="s">
        <v>699</v>
      </c>
      <c r="P1138" t="s">
        <v>38</v>
      </c>
      <c r="Q1138" t="s">
        <v>652</v>
      </c>
      <c r="R1138">
        <v>8</v>
      </c>
      <c r="S1138" t="s">
        <v>45</v>
      </c>
      <c r="T113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8">
        <v>61713</v>
      </c>
      <c r="V1138" t="s">
        <v>38</v>
      </c>
      <c r="W1138" t="s">
        <v>247</v>
      </c>
      <c r="X1138">
        <v>7</v>
      </c>
      <c r="Y1138">
        <v>0</v>
      </c>
      <c r="Z1138" t="s">
        <v>46</v>
      </c>
      <c r="AA1138">
        <v>61714</v>
      </c>
      <c r="AB1138" t="s">
        <v>704</v>
      </c>
      <c r="AC1138" t="s">
        <v>48</v>
      </c>
      <c r="AD1138" t="s">
        <v>38</v>
      </c>
      <c r="AE1138" t="s">
        <v>909</v>
      </c>
      <c r="AF1138" t="s">
        <v>50</v>
      </c>
      <c r="AG1138">
        <v>0</v>
      </c>
      <c r="AH1138">
        <v>0</v>
      </c>
      <c r="AI1138" t="s">
        <v>910</v>
      </c>
      <c r="AJ1138" t="s">
        <v>51</v>
      </c>
      <c r="AK1138" t="s">
        <v>910</v>
      </c>
    </row>
    <row r="1139" spans="1:37" x14ac:dyDescent="0.2">
      <c r="A1139">
        <v>60606</v>
      </c>
      <c r="B1139" t="s">
        <v>37</v>
      </c>
      <c r="C1139" t="s">
        <v>38</v>
      </c>
      <c r="D1139" t="s">
        <v>674</v>
      </c>
      <c r="E1139" t="s">
        <v>40</v>
      </c>
      <c r="G1139" s="4">
        <v>43947.508865740741</v>
      </c>
      <c r="H1139" s="4">
        <v>43947.509513888889</v>
      </c>
      <c r="I1139" t="s">
        <v>1205</v>
      </c>
      <c r="J1139" s="5">
        <v>55.99999999999999999999999999999999999999</v>
      </c>
      <c r="K1139" t="s">
        <v>38</v>
      </c>
      <c r="M1139">
        <v>60607</v>
      </c>
      <c r="N1139" t="s">
        <v>705</v>
      </c>
      <c r="O1139" t="s">
        <v>706</v>
      </c>
      <c r="P1139" t="s">
        <v>38</v>
      </c>
      <c r="Q1139" t="s">
        <v>300</v>
      </c>
      <c r="R1139">
        <v>10.00000000000000000000000000000000000002</v>
      </c>
      <c r="S1139" t="s">
        <v>45</v>
      </c>
      <c r="T113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39">
        <v>60608</v>
      </c>
      <c r="V1139" t="s">
        <v>38</v>
      </c>
      <c r="W1139" t="s">
        <v>300</v>
      </c>
      <c r="X1139">
        <v>10.00000000000000000000000000000000000002</v>
      </c>
      <c r="Y1139">
        <v>0</v>
      </c>
      <c r="Z1139" t="s">
        <v>46</v>
      </c>
      <c r="AA1139">
        <v>61711</v>
      </c>
      <c r="AB1139" t="s">
        <v>1211</v>
      </c>
      <c r="AC1139" t="s">
        <v>103</v>
      </c>
      <c r="AD1139" t="s">
        <v>38</v>
      </c>
      <c r="AE1139" t="s">
        <v>49</v>
      </c>
      <c r="AF1139" t="s">
        <v>50</v>
      </c>
      <c r="AG1139">
        <v>0</v>
      </c>
      <c r="AH1139">
        <v>0</v>
      </c>
      <c r="AI1139" t="s">
        <v>51</v>
      </c>
      <c r="AJ1139" t="s">
        <v>51</v>
      </c>
      <c r="AK1139" t="s">
        <v>51</v>
      </c>
    </row>
    <row r="1140" spans="1:37" x14ac:dyDescent="0.2">
      <c r="A1140">
        <v>60606</v>
      </c>
      <c r="B1140" t="s">
        <v>37</v>
      </c>
      <c r="C1140" t="s">
        <v>38</v>
      </c>
      <c r="D1140" t="s">
        <v>674</v>
      </c>
      <c r="E1140" t="s">
        <v>40</v>
      </c>
      <c r="G1140" s="4">
        <v>43947.508865740741</v>
      </c>
      <c r="H1140" s="4">
        <v>43947.509513888889</v>
      </c>
      <c r="I1140" t="s">
        <v>1205</v>
      </c>
      <c r="J1140" s="5">
        <v>55.99999999999999999999999999999999999999</v>
      </c>
      <c r="K1140" t="s">
        <v>38</v>
      </c>
      <c r="M1140">
        <v>60607</v>
      </c>
      <c r="N1140" t="s">
        <v>705</v>
      </c>
      <c r="O1140" t="s">
        <v>706</v>
      </c>
      <c r="P1140" t="s">
        <v>38</v>
      </c>
      <c r="Q1140" t="s">
        <v>300</v>
      </c>
      <c r="R1140">
        <v>10.00000000000000000000000000000000000002</v>
      </c>
      <c r="S1140" t="s">
        <v>45</v>
      </c>
      <c r="T114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0">
        <v>60608</v>
      </c>
      <c r="V1140" t="s">
        <v>38</v>
      </c>
      <c r="W1140" t="s">
        <v>300</v>
      </c>
      <c r="X1140">
        <v>10.00000000000000000000000000000000000002</v>
      </c>
      <c r="Y1140">
        <v>0</v>
      </c>
      <c r="Z1140" t="s">
        <v>46</v>
      </c>
      <c r="AA1140">
        <v>61710</v>
      </c>
      <c r="AB1140" t="s">
        <v>1212</v>
      </c>
      <c r="AC1140" t="s">
        <v>103</v>
      </c>
      <c r="AD1140" t="s">
        <v>38</v>
      </c>
      <c r="AE1140" t="s">
        <v>49</v>
      </c>
      <c r="AF1140" t="s">
        <v>50</v>
      </c>
      <c r="AG1140">
        <v>0</v>
      </c>
      <c r="AH1140">
        <v>0</v>
      </c>
      <c r="AI1140" t="s">
        <v>51</v>
      </c>
      <c r="AJ1140" t="s">
        <v>51</v>
      </c>
      <c r="AK1140" t="s">
        <v>51</v>
      </c>
    </row>
    <row r="1141" spans="1:37" x14ac:dyDescent="0.2">
      <c r="A1141">
        <v>60606</v>
      </c>
      <c r="B1141" t="s">
        <v>37</v>
      </c>
      <c r="C1141" t="s">
        <v>38</v>
      </c>
      <c r="D1141" t="s">
        <v>674</v>
      </c>
      <c r="E1141" t="s">
        <v>40</v>
      </c>
      <c r="G1141" s="4">
        <v>43947.508865740741</v>
      </c>
      <c r="H1141" s="4">
        <v>43947.509513888889</v>
      </c>
      <c r="I1141" t="s">
        <v>1205</v>
      </c>
      <c r="J1141" s="5">
        <v>55.99999999999999999999999999999999999999</v>
      </c>
      <c r="K1141" t="s">
        <v>38</v>
      </c>
      <c r="M1141">
        <v>60607</v>
      </c>
      <c r="N1141" t="s">
        <v>705</v>
      </c>
      <c r="O1141" t="s">
        <v>706</v>
      </c>
      <c r="P1141" t="s">
        <v>38</v>
      </c>
      <c r="Q1141" t="s">
        <v>300</v>
      </c>
      <c r="R1141">
        <v>10.00000000000000000000000000000000000002</v>
      </c>
      <c r="S1141" t="s">
        <v>45</v>
      </c>
      <c r="T114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1">
        <v>60608</v>
      </c>
      <c r="V1141" t="s">
        <v>38</v>
      </c>
      <c r="W1141" t="s">
        <v>300</v>
      </c>
      <c r="X1141">
        <v>10.00000000000000000000000000000000000002</v>
      </c>
      <c r="Y1141">
        <v>0</v>
      </c>
      <c r="Z1141" t="s">
        <v>46</v>
      </c>
      <c r="AA1141">
        <v>61709</v>
      </c>
      <c r="AB1141" t="s">
        <v>1213</v>
      </c>
      <c r="AC1141" t="s">
        <v>103</v>
      </c>
      <c r="AD1141" t="s">
        <v>38</v>
      </c>
      <c r="AE1141" t="s">
        <v>49</v>
      </c>
      <c r="AF1141" t="s">
        <v>50</v>
      </c>
      <c r="AG1141">
        <v>0</v>
      </c>
      <c r="AH1141">
        <v>0</v>
      </c>
      <c r="AI1141" t="s">
        <v>51</v>
      </c>
      <c r="AJ1141" t="s">
        <v>51</v>
      </c>
      <c r="AK1141" t="s">
        <v>51</v>
      </c>
    </row>
    <row r="1142" spans="1:37" x14ac:dyDescent="0.2">
      <c r="A1142">
        <v>60606</v>
      </c>
      <c r="B1142" t="s">
        <v>37</v>
      </c>
      <c r="C1142" t="s">
        <v>38</v>
      </c>
      <c r="D1142" t="s">
        <v>674</v>
      </c>
      <c r="E1142" t="s">
        <v>40</v>
      </c>
      <c r="G1142" s="4">
        <v>43947.508865740741</v>
      </c>
      <c r="H1142" s="4">
        <v>43947.509513888889</v>
      </c>
      <c r="I1142" t="s">
        <v>1205</v>
      </c>
      <c r="J1142" s="5">
        <v>55.99999999999999999999999999999999999999</v>
      </c>
      <c r="K1142" t="s">
        <v>38</v>
      </c>
      <c r="M1142">
        <v>60607</v>
      </c>
      <c r="N1142" t="s">
        <v>705</v>
      </c>
      <c r="O1142" t="s">
        <v>706</v>
      </c>
      <c r="P1142" t="s">
        <v>38</v>
      </c>
      <c r="Q1142" t="s">
        <v>300</v>
      </c>
      <c r="R1142">
        <v>10.00000000000000000000000000000000000002</v>
      </c>
      <c r="S1142" t="s">
        <v>45</v>
      </c>
      <c r="T114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2">
        <v>60608</v>
      </c>
      <c r="V1142" t="s">
        <v>38</v>
      </c>
      <c r="W1142" t="s">
        <v>300</v>
      </c>
      <c r="X1142">
        <v>10.00000000000000000000000000000000000002</v>
      </c>
      <c r="Y1142">
        <v>0</v>
      </c>
      <c r="Z1142" t="s">
        <v>46</v>
      </c>
      <c r="AA1142">
        <v>61708</v>
      </c>
      <c r="AB1142" t="s">
        <v>1214</v>
      </c>
      <c r="AC1142" t="s">
        <v>103</v>
      </c>
      <c r="AD1142" t="s">
        <v>38</v>
      </c>
      <c r="AE1142" t="s">
        <v>49</v>
      </c>
      <c r="AF1142" t="s">
        <v>50</v>
      </c>
      <c r="AG1142">
        <v>0</v>
      </c>
      <c r="AH1142">
        <v>0</v>
      </c>
      <c r="AI1142" t="s">
        <v>51</v>
      </c>
      <c r="AJ1142" t="s">
        <v>51</v>
      </c>
      <c r="AK1142" t="s">
        <v>51</v>
      </c>
    </row>
    <row r="1143" spans="1:37" x14ac:dyDescent="0.2">
      <c r="A1143">
        <v>60606</v>
      </c>
      <c r="B1143" t="s">
        <v>37</v>
      </c>
      <c r="C1143" t="s">
        <v>38</v>
      </c>
      <c r="D1143" t="s">
        <v>674</v>
      </c>
      <c r="E1143" t="s">
        <v>40</v>
      </c>
      <c r="G1143" s="4">
        <v>43947.508865740741</v>
      </c>
      <c r="H1143" s="4">
        <v>43947.509513888889</v>
      </c>
      <c r="I1143" t="s">
        <v>1205</v>
      </c>
      <c r="J1143" s="5">
        <v>55.99999999999999999999999999999999999999</v>
      </c>
      <c r="K1143" t="s">
        <v>38</v>
      </c>
      <c r="M1143">
        <v>60607</v>
      </c>
      <c r="N1143" t="s">
        <v>705</v>
      </c>
      <c r="O1143" t="s">
        <v>706</v>
      </c>
      <c r="P1143" t="s">
        <v>38</v>
      </c>
      <c r="Q1143" t="s">
        <v>300</v>
      </c>
      <c r="R1143">
        <v>10.00000000000000000000000000000000000002</v>
      </c>
      <c r="S1143" t="s">
        <v>45</v>
      </c>
      <c r="T114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3">
        <v>60608</v>
      </c>
      <c r="V1143" t="s">
        <v>38</v>
      </c>
      <c r="W1143" t="s">
        <v>300</v>
      </c>
      <c r="X1143">
        <v>10.00000000000000000000000000000000000002</v>
      </c>
      <c r="Y1143">
        <v>0</v>
      </c>
      <c r="Z1143" t="s">
        <v>46</v>
      </c>
      <c r="AA1143">
        <v>61707</v>
      </c>
      <c r="AB1143" t="s">
        <v>1215</v>
      </c>
      <c r="AC1143" t="s">
        <v>103</v>
      </c>
      <c r="AD1143" t="s">
        <v>38</v>
      </c>
      <c r="AE1143" t="s">
        <v>49</v>
      </c>
      <c r="AF1143" t="s">
        <v>50</v>
      </c>
      <c r="AG1143">
        <v>0</v>
      </c>
      <c r="AH1143">
        <v>0</v>
      </c>
      <c r="AI1143" t="s">
        <v>51</v>
      </c>
      <c r="AJ1143" t="s">
        <v>51</v>
      </c>
      <c r="AK1143" t="s">
        <v>51</v>
      </c>
    </row>
    <row r="1144" spans="1:37" x14ac:dyDescent="0.2">
      <c r="A1144">
        <v>60606</v>
      </c>
      <c r="B1144" t="s">
        <v>37</v>
      </c>
      <c r="C1144" t="s">
        <v>38</v>
      </c>
      <c r="D1144" t="s">
        <v>674</v>
      </c>
      <c r="E1144" t="s">
        <v>40</v>
      </c>
      <c r="G1144" s="4">
        <v>43947.508865740741</v>
      </c>
      <c r="H1144" s="4">
        <v>43947.509513888889</v>
      </c>
      <c r="I1144" t="s">
        <v>1205</v>
      </c>
      <c r="J1144" s="5">
        <v>55.99999999999999999999999999999999999999</v>
      </c>
      <c r="K1144" t="s">
        <v>38</v>
      </c>
      <c r="M1144">
        <v>60607</v>
      </c>
      <c r="N1144" t="s">
        <v>705</v>
      </c>
      <c r="O1144" t="s">
        <v>706</v>
      </c>
      <c r="P1144" t="s">
        <v>38</v>
      </c>
      <c r="Q1144" t="s">
        <v>300</v>
      </c>
      <c r="R1144">
        <v>10.00000000000000000000000000000000000002</v>
      </c>
      <c r="S1144" t="s">
        <v>45</v>
      </c>
      <c r="T114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4">
        <v>60608</v>
      </c>
      <c r="V1144" t="s">
        <v>38</v>
      </c>
      <c r="W1144" t="s">
        <v>300</v>
      </c>
      <c r="X1144">
        <v>10.00000000000000000000000000000000000002</v>
      </c>
      <c r="Y1144">
        <v>0</v>
      </c>
      <c r="Z1144" t="s">
        <v>46</v>
      </c>
      <c r="AA1144">
        <v>61706</v>
      </c>
      <c r="AB1144" t="s">
        <v>1216</v>
      </c>
      <c r="AC1144" t="s">
        <v>103</v>
      </c>
      <c r="AD1144" t="s">
        <v>38</v>
      </c>
      <c r="AE1144" t="s">
        <v>49</v>
      </c>
      <c r="AF1144" t="s">
        <v>50</v>
      </c>
      <c r="AG1144">
        <v>0</v>
      </c>
      <c r="AH1144">
        <v>0</v>
      </c>
      <c r="AI1144" t="s">
        <v>51</v>
      </c>
      <c r="AJ1144" t="s">
        <v>51</v>
      </c>
      <c r="AK1144" t="s">
        <v>51</v>
      </c>
    </row>
    <row r="1145" spans="1:37" x14ac:dyDescent="0.2">
      <c r="A1145">
        <v>60606</v>
      </c>
      <c r="B1145" t="s">
        <v>37</v>
      </c>
      <c r="C1145" t="s">
        <v>38</v>
      </c>
      <c r="D1145" t="s">
        <v>674</v>
      </c>
      <c r="E1145" t="s">
        <v>40</v>
      </c>
      <c r="G1145" s="4">
        <v>43947.508865740741</v>
      </c>
      <c r="H1145" s="4">
        <v>43947.509513888889</v>
      </c>
      <c r="I1145" t="s">
        <v>1205</v>
      </c>
      <c r="J1145" s="5">
        <v>55.99999999999999999999999999999999999999</v>
      </c>
      <c r="K1145" t="s">
        <v>38</v>
      </c>
      <c r="M1145">
        <v>60607</v>
      </c>
      <c r="N1145" t="s">
        <v>705</v>
      </c>
      <c r="O1145" t="s">
        <v>706</v>
      </c>
      <c r="P1145" t="s">
        <v>38</v>
      </c>
      <c r="Q1145" t="s">
        <v>300</v>
      </c>
      <c r="R1145">
        <v>10.00000000000000000000000000000000000002</v>
      </c>
      <c r="S1145" t="s">
        <v>45</v>
      </c>
      <c r="T114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5">
        <v>60608</v>
      </c>
      <c r="V1145" t="s">
        <v>38</v>
      </c>
      <c r="W1145" t="s">
        <v>300</v>
      </c>
      <c r="X1145">
        <v>10.00000000000000000000000000000000000002</v>
      </c>
      <c r="Y1145">
        <v>0</v>
      </c>
      <c r="Z1145" t="s">
        <v>46</v>
      </c>
      <c r="AA1145">
        <v>61705</v>
      </c>
      <c r="AB1145" t="s">
        <v>1217</v>
      </c>
      <c r="AC1145" t="s">
        <v>103</v>
      </c>
      <c r="AD1145" t="s">
        <v>38</v>
      </c>
      <c r="AE1145" t="s">
        <v>49</v>
      </c>
      <c r="AF1145" t="s">
        <v>50</v>
      </c>
      <c r="AG1145">
        <v>0</v>
      </c>
      <c r="AH1145">
        <v>0</v>
      </c>
      <c r="AI1145" t="s">
        <v>51</v>
      </c>
      <c r="AJ1145" t="s">
        <v>51</v>
      </c>
      <c r="AK1145" t="s">
        <v>51</v>
      </c>
    </row>
    <row r="1146" spans="1:37" x14ac:dyDescent="0.2">
      <c r="A1146">
        <v>60606</v>
      </c>
      <c r="B1146" t="s">
        <v>37</v>
      </c>
      <c r="C1146" t="s">
        <v>38</v>
      </c>
      <c r="D1146" t="s">
        <v>674</v>
      </c>
      <c r="E1146" t="s">
        <v>40</v>
      </c>
      <c r="G1146" s="4">
        <v>43947.508865740741</v>
      </c>
      <c r="H1146" s="4">
        <v>43947.509513888889</v>
      </c>
      <c r="I1146" t="s">
        <v>1205</v>
      </c>
      <c r="J1146" s="5">
        <v>55.99999999999999999999999999999999999999</v>
      </c>
      <c r="K1146" t="s">
        <v>38</v>
      </c>
      <c r="M1146">
        <v>60607</v>
      </c>
      <c r="N1146" t="s">
        <v>705</v>
      </c>
      <c r="O1146" t="s">
        <v>706</v>
      </c>
      <c r="P1146" t="s">
        <v>38</v>
      </c>
      <c r="Q1146" t="s">
        <v>300</v>
      </c>
      <c r="R1146">
        <v>10.00000000000000000000000000000000000002</v>
      </c>
      <c r="S1146" t="s">
        <v>45</v>
      </c>
      <c r="T114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6">
        <v>60608</v>
      </c>
      <c r="V1146" t="s">
        <v>38</v>
      </c>
      <c r="W1146" t="s">
        <v>300</v>
      </c>
      <c r="X1146">
        <v>10.00000000000000000000000000000000000002</v>
      </c>
      <c r="Y1146">
        <v>0</v>
      </c>
      <c r="Z1146" t="s">
        <v>46</v>
      </c>
      <c r="AA1146">
        <v>61704</v>
      </c>
      <c r="AB1146" t="s">
        <v>1218</v>
      </c>
      <c r="AC1146" t="s">
        <v>103</v>
      </c>
      <c r="AD1146" t="s">
        <v>38</v>
      </c>
      <c r="AE1146" t="s">
        <v>49</v>
      </c>
      <c r="AF1146" t="s">
        <v>50</v>
      </c>
      <c r="AG1146">
        <v>0</v>
      </c>
      <c r="AH1146">
        <v>0</v>
      </c>
      <c r="AI1146" t="s">
        <v>51</v>
      </c>
      <c r="AJ1146" t="s">
        <v>51</v>
      </c>
      <c r="AK1146" t="s">
        <v>51</v>
      </c>
    </row>
    <row r="1147" spans="1:37" x14ac:dyDescent="0.2">
      <c r="A1147">
        <v>60606</v>
      </c>
      <c r="B1147" t="s">
        <v>37</v>
      </c>
      <c r="C1147" t="s">
        <v>38</v>
      </c>
      <c r="D1147" t="s">
        <v>674</v>
      </c>
      <c r="E1147" t="s">
        <v>40</v>
      </c>
      <c r="G1147" s="4">
        <v>43947.508865740741</v>
      </c>
      <c r="H1147" s="4">
        <v>43947.509513888889</v>
      </c>
      <c r="I1147" t="s">
        <v>1205</v>
      </c>
      <c r="J1147" s="5">
        <v>55.99999999999999999999999999999999999999</v>
      </c>
      <c r="K1147" t="s">
        <v>38</v>
      </c>
      <c r="M1147">
        <v>60607</v>
      </c>
      <c r="N1147" t="s">
        <v>705</v>
      </c>
      <c r="O1147" t="s">
        <v>706</v>
      </c>
      <c r="P1147" t="s">
        <v>38</v>
      </c>
      <c r="Q1147" t="s">
        <v>300</v>
      </c>
      <c r="R1147">
        <v>10.00000000000000000000000000000000000002</v>
      </c>
      <c r="S1147" t="s">
        <v>45</v>
      </c>
      <c r="T114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7">
        <v>60608</v>
      </c>
      <c r="V1147" t="s">
        <v>38</v>
      </c>
      <c r="W1147" t="s">
        <v>300</v>
      </c>
      <c r="X1147">
        <v>10.00000000000000000000000000000000000002</v>
      </c>
      <c r="Y1147">
        <v>0</v>
      </c>
      <c r="Z1147" t="s">
        <v>46</v>
      </c>
      <c r="AA1147">
        <v>61703</v>
      </c>
      <c r="AB1147" t="s">
        <v>1219</v>
      </c>
      <c r="AC1147" t="s">
        <v>103</v>
      </c>
      <c r="AD1147" t="s">
        <v>38</v>
      </c>
      <c r="AE1147" t="s">
        <v>49</v>
      </c>
      <c r="AF1147" t="s">
        <v>50</v>
      </c>
      <c r="AG1147">
        <v>0</v>
      </c>
      <c r="AH1147">
        <v>0</v>
      </c>
      <c r="AI1147" t="s">
        <v>51</v>
      </c>
      <c r="AJ1147" t="s">
        <v>51</v>
      </c>
      <c r="AK1147" t="s">
        <v>51</v>
      </c>
    </row>
    <row r="1148" spans="1:37" x14ac:dyDescent="0.2">
      <c r="A1148">
        <v>60606</v>
      </c>
      <c r="B1148" t="s">
        <v>37</v>
      </c>
      <c r="C1148" t="s">
        <v>38</v>
      </c>
      <c r="D1148" t="s">
        <v>674</v>
      </c>
      <c r="E1148" t="s">
        <v>40</v>
      </c>
      <c r="G1148" s="4">
        <v>43947.508865740741</v>
      </c>
      <c r="H1148" s="4">
        <v>43947.509513888889</v>
      </c>
      <c r="I1148" t="s">
        <v>1205</v>
      </c>
      <c r="J1148" s="5">
        <v>55.99999999999999999999999999999999999999</v>
      </c>
      <c r="K1148" t="s">
        <v>38</v>
      </c>
      <c r="M1148">
        <v>60607</v>
      </c>
      <c r="N1148" t="s">
        <v>705</v>
      </c>
      <c r="O1148" t="s">
        <v>706</v>
      </c>
      <c r="P1148" t="s">
        <v>38</v>
      </c>
      <c r="Q1148" t="s">
        <v>300</v>
      </c>
      <c r="R1148">
        <v>10.00000000000000000000000000000000000002</v>
      </c>
      <c r="S1148" t="s">
        <v>45</v>
      </c>
      <c r="T114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8">
        <v>60608</v>
      </c>
      <c r="V1148" t="s">
        <v>38</v>
      </c>
      <c r="W1148" t="s">
        <v>300</v>
      </c>
      <c r="X1148">
        <v>10.00000000000000000000000000000000000002</v>
      </c>
      <c r="Y1148">
        <v>0</v>
      </c>
      <c r="Z1148" t="s">
        <v>46</v>
      </c>
      <c r="AA1148">
        <v>61702</v>
      </c>
      <c r="AB1148" t="s">
        <v>1220</v>
      </c>
      <c r="AC1148" t="s">
        <v>103</v>
      </c>
      <c r="AD1148" t="s">
        <v>38</v>
      </c>
      <c r="AE1148" t="s">
        <v>49</v>
      </c>
      <c r="AF1148" t="s">
        <v>50</v>
      </c>
      <c r="AG1148">
        <v>0</v>
      </c>
      <c r="AH1148">
        <v>0</v>
      </c>
      <c r="AI1148" t="s">
        <v>51</v>
      </c>
      <c r="AJ1148" t="s">
        <v>51</v>
      </c>
      <c r="AK1148" t="s">
        <v>51</v>
      </c>
    </row>
    <row r="1149" spans="1:37" x14ac:dyDescent="0.2">
      <c r="A1149">
        <v>60606</v>
      </c>
      <c r="B1149" t="s">
        <v>37</v>
      </c>
      <c r="C1149" t="s">
        <v>38</v>
      </c>
      <c r="D1149" t="s">
        <v>674</v>
      </c>
      <c r="E1149" t="s">
        <v>40</v>
      </c>
      <c r="G1149" s="4">
        <v>43947.508865740741</v>
      </c>
      <c r="H1149" s="4">
        <v>43947.509513888889</v>
      </c>
      <c r="I1149" t="s">
        <v>1205</v>
      </c>
      <c r="J1149" s="5">
        <v>55.99999999999999999999999999999999999999</v>
      </c>
      <c r="K1149" t="s">
        <v>38</v>
      </c>
      <c r="M1149">
        <v>60607</v>
      </c>
      <c r="N1149" t="s">
        <v>705</v>
      </c>
      <c r="O1149" t="s">
        <v>706</v>
      </c>
      <c r="P1149" t="s">
        <v>38</v>
      </c>
      <c r="Q1149" t="s">
        <v>300</v>
      </c>
      <c r="R1149">
        <v>10.00000000000000000000000000000000000002</v>
      </c>
      <c r="S1149" t="s">
        <v>45</v>
      </c>
      <c r="T114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49">
        <v>60608</v>
      </c>
      <c r="V1149" t="s">
        <v>38</v>
      </c>
      <c r="W1149" t="s">
        <v>300</v>
      </c>
      <c r="X1149">
        <v>10.00000000000000000000000000000000000002</v>
      </c>
      <c r="Y1149">
        <v>0</v>
      </c>
      <c r="Z1149" t="s">
        <v>46</v>
      </c>
      <c r="AA1149">
        <v>61701</v>
      </c>
      <c r="AB1149" t="s">
        <v>1221</v>
      </c>
      <c r="AC1149" t="s">
        <v>103</v>
      </c>
      <c r="AD1149" t="s">
        <v>38</v>
      </c>
      <c r="AE1149" t="s">
        <v>49</v>
      </c>
      <c r="AF1149" t="s">
        <v>50</v>
      </c>
      <c r="AG1149">
        <v>0</v>
      </c>
      <c r="AH1149">
        <v>0</v>
      </c>
      <c r="AI1149" t="s">
        <v>51</v>
      </c>
      <c r="AJ1149" t="s">
        <v>51</v>
      </c>
      <c r="AK1149" t="s">
        <v>51</v>
      </c>
    </row>
    <row r="1150" spans="1:37" x14ac:dyDescent="0.2">
      <c r="A1150">
        <v>60606</v>
      </c>
      <c r="B1150" t="s">
        <v>37</v>
      </c>
      <c r="C1150" t="s">
        <v>38</v>
      </c>
      <c r="D1150" t="s">
        <v>674</v>
      </c>
      <c r="E1150" t="s">
        <v>40</v>
      </c>
      <c r="G1150" s="4">
        <v>43947.508865740741</v>
      </c>
      <c r="H1150" s="4">
        <v>43947.509513888889</v>
      </c>
      <c r="I1150" t="s">
        <v>1205</v>
      </c>
      <c r="J1150" s="5">
        <v>55.99999999999999999999999999999999999999</v>
      </c>
      <c r="K1150" t="s">
        <v>38</v>
      </c>
      <c r="M1150">
        <v>60607</v>
      </c>
      <c r="N1150" t="s">
        <v>705</v>
      </c>
      <c r="O1150" t="s">
        <v>706</v>
      </c>
      <c r="P1150" t="s">
        <v>38</v>
      </c>
      <c r="Q1150" t="s">
        <v>300</v>
      </c>
      <c r="R1150">
        <v>10.00000000000000000000000000000000000002</v>
      </c>
      <c r="S1150" t="s">
        <v>45</v>
      </c>
      <c r="T115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0">
        <v>60608</v>
      </c>
      <c r="V1150" t="s">
        <v>38</v>
      </c>
      <c r="W1150" t="s">
        <v>300</v>
      </c>
      <c r="X1150">
        <v>10.00000000000000000000000000000000000002</v>
      </c>
      <c r="Y1150">
        <v>0</v>
      </c>
      <c r="Z1150" t="s">
        <v>46</v>
      </c>
      <c r="AA1150">
        <v>61700</v>
      </c>
      <c r="AB1150" t="s">
        <v>1222</v>
      </c>
      <c r="AC1150" t="s">
        <v>103</v>
      </c>
      <c r="AD1150" t="s">
        <v>38</v>
      </c>
      <c r="AE1150" t="s">
        <v>49</v>
      </c>
      <c r="AF1150" t="s">
        <v>50</v>
      </c>
      <c r="AG1150">
        <v>0</v>
      </c>
      <c r="AH1150">
        <v>0</v>
      </c>
      <c r="AI1150" t="s">
        <v>51</v>
      </c>
      <c r="AJ1150" t="s">
        <v>51</v>
      </c>
      <c r="AK1150" t="s">
        <v>51</v>
      </c>
    </row>
    <row r="1151" spans="1:37" x14ac:dyDescent="0.2">
      <c r="A1151">
        <v>60606</v>
      </c>
      <c r="B1151" t="s">
        <v>37</v>
      </c>
      <c r="C1151" t="s">
        <v>38</v>
      </c>
      <c r="D1151" t="s">
        <v>674</v>
      </c>
      <c r="E1151" t="s">
        <v>40</v>
      </c>
      <c r="G1151" s="4">
        <v>43947.508865740741</v>
      </c>
      <c r="H1151" s="4">
        <v>43947.509513888889</v>
      </c>
      <c r="I1151" t="s">
        <v>1205</v>
      </c>
      <c r="J1151" s="5">
        <v>55.99999999999999999999999999999999999999</v>
      </c>
      <c r="K1151" t="s">
        <v>38</v>
      </c>
      <c r="M1151">
        <v>60607</v>
      </c>
      <c r="N1151" t="s">
        <v>705</v>
      </c>
      <c r="O1151" t="s">
        <v>706</v>
      </c>
      <c r="P1151" t="s">
        <v>38</v>
      </c>
      <c r="Q1151" t="s">
        <v>300</v>
      </c>
      <c r="R1151">
        <v>10.00000000000000000000000000000000000002</v>
      </c>
      <c r="S1151" t="s">
        <v>45</v>
      </c>
      <c r="T115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1">
        <v>60608</v>
      </c>
      <c r="V1151" t="s">
        <v>38</v>
      </c>
      <c r="W1151" t="s">
        <v>300</v>
      </c>
      <c r="X1151">
        <v>10.00000000000000000000000000000000000002</v>
      </c>
      <c r="Y1151">
        <v>0</v>
      </c>
      <c r="Z1151" t="s">
        <v>46</v>
      </c>
      <c r="AA1151">
        <v>61699</v>
      </c>
      <c r="AB1151" t="s">
        <v>1223</v>
      </c>
      <c r="AC1151" t="s">
        <v>103</v>
      </c>
      <c r="AD1151" t="s">
        <v>38</v>
      </c>
      <c r="AE1151" t="s">
        <v>49</v>
      </c>
      <c r="AF1151" t="s">
        <v>50</v>
      </c>
      <c r="AG1151">
        <v>0</v>
      </c>
      <c r="AH1151">
        <v>0</v>
      </c>
      <c r="AI1151" t="s">
        <v>51</v>
      </c>
      <c r="AJ1151" t="s">
        <v>51</v>
      </c>
      <c r="AK1151" t="s">
        <v>51</v>
      </c>
    </row>
    <row r="1152" spans="1:37" x14ac:dyDescent="0.2">
      <c r="A1152">
        <v>60606</v>
      </c>
      <c r="B1152" t="s">
        <v>37</v>
      </c>
      <c r="C1152" t="s">
        <v>38</v>
      </c>
      <c r="D1152" t="s">
        <v>674</v>
      </c>
      <c r="E1152" t="s">
        <v>40</v>
      </c>
      <c r="G1152" s="4">
        <v>43947.508865740741</v>
      </c>
      <c r="H1152" s="4">
        <v>43947.509513888889</v>
      </c>
      <c r="I1152" t="s">
        <v>1205</v>
      </c>
      <c r="J1152" s="5">
        <v>55.99999999999999999999999999999999999999</v>
      </c>
      <c r="K1152" t="s">
        <v>38</v>
      </c>
      <c r="M1152">
        <v>60607</v>
      </c>
      <c r="N1152" t="s">
        <v>705</v>
      </c>
      <c r="O1152" t="s">
        <v>706</v>
      </c>
      <c r="P1152" t="s">
        <v>38</v>
      </c>
      <c r="Q1152" t="s">
        <v>300</v>
      </c>
      <c r="R1152">
        <v>10.00000000000000000000000000000000000002</v>
      </c>
      <c r="S1152" t="s">
        <v>45</v>
      </c>
      <c r="T115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2">
        <v>60608</v>
      </c>
      <c r="V1152" t="s">
        <v>38</v>
      </c>
      <c r="W1152" t="s">
        <v>300</v>
      </c>
      <c r="X1152">
        <v>10.00000000000000000000000000000000000002</v>
      </c>
      <c r="Y1152">
        <v>0</v>
      </c>
      <c r="Z1152" t="s">
        <v>46</v>
      </c>
      <c r="AA1152">
        <v>61698</v>
      </c>
      <c r="AB1152" t="s">
        <v>1224</v>
      </c>
      <c r="AC1152" t="s">
        <v>103</v>
      </c>
      <c r="AD1152" t="s">
        <v>38</v>
      </c>
      <c r="AE1152" t="s">
        <v>49</v>
      </c>
      <c r="AF1152" t="s">
        <v>50</v>
      </c>
      <c r="AG1152">
        <v>0</v>
      </c>
      <c r="AH1152">
        <v>0</v>
      </c>
      <c r="AI1152" t="s">
        <v>51</v>
      </c>
      <c r="AJ1152" t="s">
        <v>51</v>
      </c>
      <c r="AK1152" t="s">
        <v>51</v>
      </c>
    </row>
    <row r="1153" spans="1:37" x14ac:dyDescent="0.2">
      <c r="A1153">
        <v>60606</v>
      </c>
      <c r="B1153" t="s">
        <v>37</v>
      </c>
      <c r="C1153" t="s">
        <v>38</v>
      </c>
      <c r="D1153" t="s">
        <v>674</v>
      </c>
      <c r="E1153" t="s">
        <v>40</v>
      </c>
      <c r="G1153" s="4">
        <v>43947.508865740741</v>
      </c>
      <c r="H1153" s="4">
        <v>43947.509513888889</v>
      </c>
      <c r="I1153" t="s">
        <v>1205</v>
      </c>
      <c r="J1153" s="5">
        <v>55.99999999999999999999999999999999999999</v>
      </c>
      <c r="K1153" t="s">
        <v>38</v>
      </c>
      <c r="M1153">
        <v>60607</v>
      </c>
      <c r="N1153" t="s">
        <v>705</v>
      </c>
      <c r="O1153" t="s">
        <v>706</v>
      </c>
      <c r="P1153" t="s">
        <v>38</v>
      </c>
      <c r="Q1153" t="s">
        <v>300</v>
      </c>
      <c r="R1153">
        <v>10.00000000000000000000000000000000000002</v>
      </c>
      <c r="S1153" t="s">
        <v>45</v>
      </c>
      <c r="T115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3">
        <v>60608</v>
      </c>
      <c r="V1153" t="s">
        <v>38</v>
      </c>
      <c r="W1153" t="s">
        <v>300</v>
      </c>
      <c r="X1153">
        <v>10.00000000000000000000000000000000000002</v>
      </c>
      <c r="Y1153">
        <v>0</v>
      </c>
      <c r="Z1153" t="s">
        <v>46</v>
      </c>
      <c r="AA1153">
        <v>61697</v>
      </c>
      <c r="AB1153" t="s">
        <v>1225</v>
      </c>
      <c r="AC1153" t="s">
        <v>103</v>
      </c>
      <c r="AD1153" t="s">
        <v>38</v>
      </c>
      <c r="AE1153" t="s">
        <v>49</v>
      </c>
      <c r="AF1153" t="s">
        <v>50</v>
      </c>
      <c r="AG1153">
        <v>0</v>
      </c>
      <c r="AH1153">
        <v>0</v>
      </c>
      <c r="AI1153" t="s">
        <v>51</v>
      </c>
      <c r="AJ1153" t="s">
        <v>51</v>
      </c>
      <c r="AK1153" t="s">
        <v>51</v>
      </c>
    </row>
    <row r="1154" spans="1:37" x14ac:dyDescent="0.2">
      <c r="A1154">
        <v>60606</v>
      </c>
      <c r="B1154" t="s">
        <v>37</v>
      </c>
      <c r="C1154" t="s">
        <v>38</v>
      </c>
      <c r="D1154" t="s">
        <v>674</v>
      </c>
      <c r="E1154" t="s">
        <v>40</v>
      </c>
      <c r="G1154" s="4">
        <v>43947.508865740741</v>
      </c>
      <c r="H1154" s="4">
        <v>43947.509513888889</v>
      </c>
      <c r="I1154" t="s">
        <v>1205</v>
      </c>
      <c r="J1154" s="5">
        <v>55.99999999999999999999999999999999999999</v>
      </c>
      <c r="K1154" t="s">
        <v>38</v>
      </c>
      <c r="M1154">
        <v>60607</v>
      </c>
      <c r="N1154" t="s">
        <v>705</v>
      </c>
      <c r="O1154" t="s">
        <v>706</v>
      </c>
      <c r="P1154" t="s">
        <v>38</v>
      </c>
      <c r="Q1154" t="s">
        <v>300</v>
      </c>
      <c r="R1154">
        <v>10.00000000000000000000000000000000000002</v>
      </c>
      <c r="S1154" t="s">
        <v>45</v>
      </c>
      <c r="T115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4">
        <v>60608</v>
      </c>
      <c r="V1154" t="s">
        <v>38</v>
      </c>
      <c r="W1154" t="s">
        <v>300</v>
      </c>
      <c r="X1154">
        <v>10.00000000000000000000000000000000000002</v>
      </c>
      <c r="Y1154">
        <v>0</v>
      </c>
      <c r="Z1154" t="s">
        <v>46</v>
      </c>
      <c r="AA1154">
        <v>61696</v>
      </c>
      <c r="AB1154" t="s">
        <v>1226</v>
      </c>
      <c r="AC1154" t="s">
        <v>103</v>
      </c>
      <c r="AD1154" t="s">
        <v>38</v>
      </c>
      <c r="AE1154" t="s">
        <v>49</v>
      </c>
      <c r="AF1154" t="s">
        <v>50</v>
      </c>
      <c r="AG1154">
        <v>0</v>
      </c>
      <c r="AH1154">
        <v>0</v>
      </c>
      <c r="AI1154" t="s">
        <v>51</v>
      </c>
      <c r="AJ1154" t="s">
        <v>51</v>
      </c>
      <c r="AK1154" t="s">
        <v>51</v>
      </c>
    </row>
    <row r="1155" spans="1:37" x14ac:dyDescent="0.2">
      <c r="A1155">
        <v>60606</v>
      </c>
      <c r="B1155" t="s">
        <v>37</v>
      </c>
      <c r="C1155" t="s">
        <v>38</v>
      </c>
      <c r="D1155" t="s">
        <v>674</v>
      </c>
      <c r="E1155" t="s">
        <v>40</v>
      </c>
      <c r="G1155" s="4">
        <v>43947.508865740741</v>
      </c>
      <c r="H1155" s="4">
        <v>43947.509513888889</v>
      </c>
      <c r="I1155" t="s">
        <v>1205</v>
      </c>
      <c r="J1155" s="5">
        <v>55.99999999999999999999999999999999999999</v>
      </c>
      <c r="K1155" t="s">
        <v>38</v>
      </c>
      <c r="M1155">
        <v>60607</v>
      </c>
      <c r="N1155" t="s">
        <v>705</v>
      </c>
      <c r="O1155" t="s">
        <v>706</v>
      </c>
      <c r="P1155" t="s">
        <v>38</v>
      </c>
      <c r="Q1155" t="s">
        <v>300</v>
      </c>
      <c r="R1155">
        <v>10.00000000000000000000000000000000000002</v>
      </c>
      <c r="S1155" t="s">
        <v>45</v>
      </c>
      <c r="T115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5">
        <v>60608</v>
      </c>
      <c r="V1155" t="s">
        <v>38</v>
      </c>
      <c r="W1155" t="s">
        <v>300</v>
      </c>
      <c r="X1155">
        <v>10.00000000000000000000000000000000000002</v>
      </c>
      <c r="Y1155">
        <v>0</v>
      </c>
      <c r="Z1155" t="s">
        <v>46</v>
      </c>
      <c r="AA1155">
        <v>61695</v>
      </c>
      <c r="AB1155" t="s">
        <v>1227</v>
      </c>
      <c r="AC1155" t="s">
        <v>103</v>
      </c>
      <c r="AD1155" t="s">
        <v>38</v>
      </c>
      <c r="AE1155" t="s">
        <v>49</v>
      </c>
      <c r="AF1155" t="s">
        <v>50</v>
      </c>
      <c r="AG1155">
        <v>0</v>
      </c>
      <c r="AH1155">
        <v>0</v>
      </c>
      <c r="AI1155" t="s">
        <v>51</v>
      </c>
      <c r="AJ1155" t="s">
        <v>51</v>
      </c>
      <c r="AK1155" t="s">
        <v>51</v>
      </c>
    </row>
    <row r="1156" spans="1:37" x14ac:dyDescent="0.2">
      <c r="A1156">
        <v>60606</v>
      </c>
      <c r="B1156" t="s">
        <v>37</v>
      </c>
      <c r="C1156" t="s">
        <v>38</v>
      </c>
      <c r="D1156" t="s">
        <v>674</v>
      </c>
      <c r="E1156" t="s">
        <v>40</v>
      </c>
      <c r="G1156" s="4">
        <v>43947.508865740741</v>
      </c>
      <c r="H1156" s="4">
        <v>43947.509513888889</v>
      </c>
      <c r="I1156" t="s">
        <v>1205</v>
      </c>
      <c r="J1156" s="5">
        <v>55.99999999999999999999999999999999999999</v>
      </c>
      <c r="K1156" t="s">
        <v>38</v>
      </c>
      <c r="M1156">
        <v>60607</v>
      </c>
      <c r="N1156" t="s">
        <v>705</v>
      </c>
      <c r="O1156" t="s">
        <v>706</v>
      </c>
      <c r="P1156" t="s">
        <v>38</v>
      </c>
      <c r="Q1156" t="s">
        <v>300</v>
      </c>
      <c r="R1156">
        <v>10.00000000000000000000000000000000000002</v>
      </c>
      <c r="S1156" t="s">
        <v>45</v>
      </c>
      <c r="T115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6">
        <v>60608</v>
      </c>
      <c r="V1156" t="s">
        <v>38</v>
      </c>
      <c r="W1156" t="s">
        <v>300</v>
      </c>
      <c r="X1156">
        <v>10.00000000000000000000000000000000000002</v>
      </c>
      <c r="Y1156">
        <v>0</v>
      </c>
      <c r="Z1156" t="s">
        <v>46</v>
      </c>
      <c r="AA1156">
        <v>61694</v>
      </c>
      <c r="AB1156" t="s">
        <v>1228</v>
      </c>
      <c r="AC1156" t="s">
        <v>103</v>
      </c>
      <c r="AD1156" t="s">
        <v>38</v>
      </c>
      <c r="AE1156" t="s">
        <v>49</v>
      </c>
      <c r="AF1156" t="s">
        <v>50</v>
      </c>
      <c r="AG1156">
        <v>0</v>
      </c>
      <c r="AH1156">
        <v>0</v>
      </c>
      <c r="AI1156" t="s">
        <v>51</v>
      </c>
      <c r="AJ1156" t="s">
        <v>51</v>
      </c>
      <c r="AK1156" t="s">
        <v>51</v>
      </c>
    </row>
    <row r="1157" spans="1:37" x14ac:dyDescent="0.2">
      <c r="A1157">
        <v>60606</v>
      </c>
      <c r="B1157" t="s">
        <v>37</v>
      </c>
      <c r="C1157" t="s">
        <v>38</v>
      </c>
      <c r="D1157" t="s">
        <v>674</v>
      </c>
      <c r="E1157" t="s">
        <v>40</v>
      </c>
      <c r="G1157" s="4">
        <v>43947.508865740741</v>
      </c>
      <c r="H1157" s="4">
        <v>43947.509513888889</v>
      </c>
      <c r="I1157" t="s">
        <v>1205</v>
      </c>
      <c r="J1157" s="5">
        <v>55.99999999999999999999999999999999999999</v>
      </c>
      <c r="K1157" t="s">
        <v>38</v>
      </c>
      <c r="M1157">
        <v>60607</v>
      </c>
      <c r="N1157" t="s">
        <v>705</v>
      </c>
      <c r="O1157" t="s">
        <v>706</v>
      </c>
      <c r="P1157" t="s">
        <v>38</v>
      </c>
      <c r="Q1157" t="s">
        <v>300</v>
      </c>
      <c r="R1157">
        <v>10.00000000000000000000000000000000000002</v>
      </c>
      <c r="S1157" t="s">
        <v>45</v>
      </c>
      <c r="T115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7">
        <v>60608</v>
      </c>
      <c r="V1157" t="s">
        <v>38</v>
      </c>
      <c r="W1157" t="s">
        <v>300</v>
      </c>
      <c r="X1157">
        <v>10.00000000000000000000000000000000000002</v>
      </c>
      <c r="Y1157">
        <v>0</v>
      </c>
      <c r="Z1157" t="s">
        <v>46</v>
      </c>
      <c r="AA1157">
        <v>61693</v>
      </c>
      <c r="AB1157" t="s">
        <v>1229</v>
      </c>
      <c r="AC1157" t="s">
        <v>103</v>
      </c>
      <c r="AD1157" t="s">
        <v>38</v>
      </c>
      <c r="AE1157" t="s">
        <v>49</v>
      </c>
      <c r="AF1157" t="s">
        <v>50</v>
      </c>
      <c r="AG1157">
        <v>0</v>
      </c>
      <c r="AH1157">
        <v>0</v>
      </c>
      <c r="AI1157" t="s">
        <v>51</v>
      </c>
      <c r="AJ1157" t="s">
        <v>51</v>
      </c>
      <c r="AK1157" t="s">
        <v>51</v>
      </c>
    </row>
    <row r="1158" spans="1:37" x14ac:dyDescent="0.2">
      <c r="A1158">
        <v>60606</v>
      </c>
      <c r="B1158" t="s">
        <v>37</v>
      </c>
      <c r="C1158" t="s">
        <v>38</v>
      </c>
      <c r="D1158" t="s">
        <v>674</v>
      </c>
      <c r="E1158" t="s">
        <v>40</v>
      </c>
      <c r="G1158" s="4">
        <v>43947.508865740741</v>
      </c>
      <c r="H1158" s="4">
        <v>43947.509513888889</v>
      </c>
      <c r="I1158" t="s">
        <v>1205</v>
      </c>
      <c r="J1158" s="5">
        <v>55.99999999999999999999999999999999999999</v>
      </c>
      <c r="K1158" t="s">
        <v>38</v>
      </c>
      <c r="M1158">
        <v>60607</v>
      </c>
      <c r="N1158" t="s">
        <v>705</v>
      </c>
      <c r="O1158" t="s">
        <v>706</v>
      </c>
      <c r="P1158" t="s">
        <v>38</v>
      </c>
      <c r="Q1158" t="s">
        <v>300</v>
      </c>
      <c r="R1158">
        <v>10.00000000000000000000000000000000000002</v>
      </c>
      <c r="S1158" t="s">
        <v>45</v>
      </c>
      <c r="T115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8">
        <v>60608</v>
      </c>
      <c r="V1158" t="s">
        <v>38</v>
      </c>
      <c r="W1158" t="s">
        <v>300</v>
      </c>
      <c r="X1158">
        <v>10.00000000000000000000000000000000000002</v>
      </c>
      <c r="Y1158">
        <v>0</v>
      </c>
      <c r="Z1158" t="s">
        <v>46</v>
      </c>
      <c r="AA1158">
        <v>61692</v>
      </c>
      <c r="AB1158" t="s">
        <v>1230</v>
      </c>
      <c r="AC1158" t="s">
        <v>103</v>
      </c>
      <c r="AD1158" t="s">
        <v>38</v>
      </c>
      <c r="AE1158" t="s">
        <v>49</v>
      </c>
      <c r="AF1158" t="s">
        <v>50</v>
      </c>
      <c r="AG1158">
        <v>0</v>
      </c>
      <c r="AH1158">
        <v>0</v>
      </c>
      <c r="AI1158" t="s">
        <v>51</v>
      </c>
      <c r="AJ1158" t="s">
        <v>51</v>
      </c>
      <c r="AK1158" t="s">
        <v>51</v>
      </c>
    </row>
    <row r="1159" spans="1:37" x14ac:dyDescent="0.2">
      <c r="A1159">
        <v>60606</v>
      </c>
      <c r="B1159" t="s">
        <v>37</v>
      </c>
      <c r="C1159" t="s">
        <v>38</v>
      </c>
      <c r="D1159" t="s">
        <v>674</v>
      </c>
      <c r="E1159" t="s">
        <v>40</v>
      </c>
      <c r="G1159" s="4">
        <v>43947.508865740741</v>
      </c>
      <c r="H1159" s="4">
        <v>43947.509513888889</v>
      </c>
      <c r="I1159" t="s">
        <v>1205</v>
      </c>
      <c r="J1159" s="5">
        <v>55.99999999999999999999999999999999999999</v>
      </c>
      <c r="K1159" t="s">
        <v>38</v>
      </c>
      <c r="M1159">
        <v>60607</v>
      </c>
      <c r="N1159" t="s">
        <v>705</v>
      </c>
      <c r="O1159" t="s">
        <v>706</v>
      </c>
      <c r="P1159" t="s">
        <v>38</v>
      </c>
      <c r="Q1159" t="s">
        <v>300</v>
      </c>
      <c r="R1159">
        <v>10.00000000000000000000000000000000000002</v>
      </c>
      <c r="S1159" t="s">
        <v>45</v>
      </c>
      <c r="T115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59">
        <v>60608</v>
      </c>
      <c r="V1159" t="s">
        <v>38</v>
      </c>
      <c r="W1159" t="s">
        <v>300</v>
      </c>
      <c r="X1159">
        <v>10.00000000000000000000000000000000000002</v>
      </c>
      <c r="Y1159">
        <v>0</v>
      </c>
      <c r="Z1159" t="s">
        <v>46</v>
      </c>
      <c r="AA1159">
        <v>61691</v>
      </c>
      <c r="AB1159" t="s">
        <v>1231</v>
      </c>
      <c r="AC1159" t="s">
        <v>103</v>
      </c>
      <c r="AD1159" t="s">
        <v>38</v>
      </c>
      <c r="AE1159" t="s">
        <v>49</v>
      </c>
      <c r="AF1159" t="s">
        <v>50</v>
      </c>
      <c r="AG1159">
        <v>0</v>
      </c>
      <c r="AH1159">
        <v>0</v>
      </c>
      <c r="AI1159" t="s">
        <v>51</v>
      </c>
      <c r="AJ1159" t="s">
        <v>51</v>
      </c>
      <c r="AK1159" t="s">
        <v>51</v>
      </c>
    </row>
    <row r="1160" spans="1:37" x14ac:dyDescent="0.2">
      <c r="A1160">
        <v>60606</v>
      </c>
      <c r="B1160" t="s">
        <v>37</v>
      </c>
      <c r="C1160" t="s">
        <v>38</v>
      </c>
      <c r="D1160" t="s">
        <v>674</v>
      </c>
      <c r="E1160" t="s">
        <v>40</v>
      </c>
      <c r="G1160" s="4">
        <v>43947.508865740741</v>
      </c>
      <c r="H1160" s="4">
        <v>43947.509513888889</v>
      </c>
      <c r="I1160" t="s">
        <v>1205</v>
      </c>
      <c r="J1160" s="5">
        <v>55.99999999999999999999999999999999999999</v>
      </c>
      <c r="K1160" t="s">
        <v>38</v>
      </c>
      <c r="M1160">
        <v>60607</v>
      </c>
      <c r="N1160" t="s">
        <v>705</v>
      </c>
      <c r="O1160" t="s">
        <v>706</v>
      </c>
      <c r="P1160" t="s">
        <v>38</v>
      </c>
      <c r="Q1160" t="s">
        <v>300</v>
      </c>
      <c r="R1160">
        <v>10.00000000000000000000000000000000000002</v>
      </c>
      <c r="S1160" t="s">
        <v>45</v>
      </c>
      <c r="T116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0">
        <v>60608</v>
      </c>
      <c r="V1160" t="s">
        <v>38</v>
      </c>
      <c r="W1160" t="s">
        <v>300</v>
      </c>
      <c r="X1160">
        <v>10.00000000000000000000000000000000000002</v>
      </c>
      <c r="Y1160">
        <v>0</v>
      </c>
      <c r="Z1160" t="s">
        <v>46</v>
      </c>
      <c r="AA1160">
        <v>61690</v>
      </c>
      <c r="AB1160" t="s">
        <v>1232</v>
      </c>
      <c r="AC1160" t="s">
        <v>103</v>
      </c>
      <c r="AD1160" t="s">
        <v>38</v>
      </c>
      <c r="AE1160" t="s">
        <v>49</v>
      </c>
      <c r="AF1160" t="s">
        <v>50</v>
      </c>
      <c r="AG1160">
        <v>0</v>
      </c>
      <c r="AH1160">
        <v>0</v>
      </c>
      <c r="AI1160" t="s">
        <v>51</v>
      </c>
      <c r="AJ1160" t="s">
        <v>51</v>
      </c>
      <c r="AK1160" t="s">
        <v>51</v>
      </c>
    </row>
    <row r="1161" spans="1:37" x14ac:dyDescent="0.2">
      <c r="A1161">
        <v>60606</v>
      </c>
      <c r="B1161" t="s">
        <v>37</v>
      </c>
      <c r="C1161" t="s">
        <v>38</v>
      </c>
      <c r="D1161" t="s">
        <v>674</v>
      </c>
      <c r="E1161" t="s">
        <v>40</v>
      </c>
      <c r="G1161" s="4">
        <v>43947.508865740741</v>
      </c>
      <c r="H1161" s="4">
        <v>43947.509513888889</v>
      </c>
      <c r="I1161" t="s">
        <v>1205</v>
      </c>
      <c r="J1161" s="5">
        <v>55.99999999999999999999999999999999999999</v>
      </c>
      <c r="K1161" t="s">
        <v>38</v>
      </c>
      <c r="M1161">
        <v>60607</v>
      </c>
      <c r="N1161" t="s">
        <v>705</v>
      </c>
      <c r="O1161" t="s">
        <v>706</v>
      </c>
      <c r="P1161" t="s">
        <v>38</v>
      </c>
      <c r="Q1161" t="s">
        <v>300</v>
      </c>
      <c r="R1161">
        <v>10.00000000000000000000000000000000000002</v>
      </c>
      <c r="S1161" t="s">
        <v>45</v>
      </c>
      <c r="T116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1">
        <v>60608</v>
      </c>
      <c r="V1161" t="s">
        <v>38</v>
      </c>
      <c r="W1161" t="s">
        <v>300</v>
      </c>
      <c r="X1161">
        <v>10.00000000000000000000000000000000000002</v>
      </c>
      <c r="Y1161">
        <v>0</v>
      </c>
      <c r="Z1161" t="s">
        <v>46</v>
      </c>
      <c r="AA1161">
        <v>61689</v>
      </c>
      <c r="AB1161" t="s">
        <v>1233</v>
      </c>
      <c r="AC1161" t="s">
        <v>103</v>
      </c>
      <c r="AD1161" t="s">
        <v>38</v>
      </c>
      <c r="AE1161" t="s">
        <v>49</v>
      </c>
      <c r="AF1161" t="s">
        <v>50</v>
      </c>
      <c r="AG1161">
        <v>0</v>
      </c>
      <c r="AH1161">
        <v>0</v>
      </c>
      <c r="AI1161" t="s">
        <v>51</v>
      </c>
      <c r="AJ1161" t="s">
        <v>51</v>
      </c>
      <c r="AK1161" t="s">
        <v>51</v>
      </c>
    </row>
    <row r="1162" spans="1:37" x14ac:dyDescent="0.2">
      <c r="A1162">
        <v>60606</v>
      </c>
      <c r="B1162" t="s">
        <v>37</v>
      </c>
      <c r="C1162" t="s">
        <v>38</v>
      </c>
      <c r="D1162" t="s">
        <v>674</v>
      </c>
      <c r="E1162" t="s">
        <v>40</v>
      </c>
      <c r="G1162" s="4">
        <v>43947.508865740741</v>
      </c>
      <c r="H1162" s="4">
        <v>43947.509513888889</v>
      </c>
      <c r="I1162" t="s">
        <v>1205</v>
      </c>
      <c r="J1162" s="5">
        <v>55.99999999999999999999999999999999999999</v>
      </c>
      <c r="K1162" t="s">
        <v>38</v>
      </c>
      <c r="M1162">
        <v>60607</v>
      </c>
      <c r="N1162" t="s">
        <v>705</v>
      </c>
      <c r="O1162" t="s">
        <v>706</v>
      </c>
      <c r="P1162" t="s">
        <v>38</v>
      </c>
      <c r="Q1162" t="s">
        <v>300</v>
      </c>
      <c r="R1162">
        <v>10.00000000000000000000000000000000000002</v>
      </c>
      <c r="S1162" t="s">
        <v>45</v>
      </c>
      <c r="T116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2">
        <v>60608</v>
      </c>
      <c r="V1162" t="s">
        <v>38</v>
      </c>
      <c r="W1162" t="s">
        <v>300</v>
      </c>
      <c r="X1162">
        <v>10.00000000000000000000000000000000000002</v>
      </c>
      <c r="Y1162">
        <v>0</v>
      </c>
      <c r="Z1162" t="s">
        <v>46</v>
      </c>
      <c r="AA1162">
        <v>61688</v>
      </c>
      <c r="AB1162" t="s">
        <v>1234</v>
      </c>
      <c r="AC1162" t="s">
        <v>103</v>
      </c>
      <c r="AD1162" t="s">
        <v>38</v>
      </c>
      <c r="AE1162" t="s">
        <v>49</v>
      </c>
      <c r="AF1162" t="s">
        <v>50</v>
      </c>
      <c r="AG1162">
        <v>0</v>
      </c>
      <c r="AH1162">
        <v>0</v>
      </c>
      <c r="AI1162" t="s">
        <v>51</v>
      </c>
      <c r="AJ1162" t="s">
        <v>51</v>
      </c>
      <c r="AK1162" t="s">
        <v>51</v>
      </c>
    </row>
    <row r="1163" spans="1:37" x14ac:dyDescent="0.2">
      <c r="A1163">
        <v>60606</v>
      </c>
      <c r="B1163" t="s">
        <v>37</v>
      </c>
      <c r="C1163" t="s">
        <v>38</v>
      </c>
      <c r="D1163" t="s">
        <v>674</v>
      </c>
      <c r="E1163" t="s">
        <v>40</v>
      </c>
      <c r="G1163" s="4">
        <v>43947.508865740741</v>
      </c>
      <c r="H1163" s="4">
        <v>43947.509513888889</v>
      </c>
      <c r="I1163" t="s">
        <v>1205</v>
      </c>
      <c r="J1163" s="5">
        <v>55.99999999999999999999999999999999999999</v>
      </c>
      <c r="K1163" t="s">
        <v>38</v>
      </c>
      <c r="M1163">
        <v>60607</v>
      </c>
      <c r="N1163" t="s">
        <v>705</v>
      </c>
      <c r="O1163" t="s">
        <v>706</v>
      </c>
      <c r="P1163" t="s">
        <v>38</v>
      </c>
      <c r="Q1163" t="s">
        <v>300</v>
      </c>
      <c r="R1163">
        <v>10.00000000000000000000000000000000000002</v>
      </c>
      <c r="S1163" t="s">
        <v>45</v>
      </c>
      <c r="T116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3">
        <v>60608</v>
      </c>
      <c r="V1163" t="s">
        <v>38</v>
      </c>
      <c r="W1163" t="s">
        <v>300</v>
      </c>
      <c r="X1163">
        <v>10.00000000000000000000000000000000000002</v>
      </c>
      <c r="Y1163">
        <v>0</v>
      </c>
      <c r="Z1163" t="s">
        <v>46</v>
      </c>
      <c r="AA1163">
        <v>61687</v>
      </c>
      <c r="AB1163" t="s">
        <v>1235</v>
      </c>
      <c r="AC1163" t="s">
        <v>103</v>
      </c>
      <c r="AD1163" t="s">
        <v>38</v>
      </c>
      <c r="AE1163" t="s">
        <v>49</v>
      </c>
      <c r="AF1163" t="s">
        <v>50</v>
      </c>
      <c r="AG1163">
        <v>.9999999999999999999999999999999999999996</v>
      </c>
      <c r="AH1163">
        <v>0</v>
      </c>
      <c r="AI1163" t="s">
        <v>51</v>
      </c>
      <c r="AJ1163" t="s">
        <v>51</v>
      </c>
      <c r="AK1163" t="s">
        <v>51</v>
      </c>
    </row>
    <row r="1164" spans="1:37" x14ac:dyDescent="0.2">
      <c r="A1164">
        <v>60606</v>
      </c>
      <c r="B1164" t="s">
        <v>37</v>
      </c>
      <c r="C1164" t="s">
        <v>38</v>
      </c>
      <c r="D1164" t="s">
        <v>674</v>
      </c>
      <c r="E1164" t="s">
        <v>40</v>
      </c>
      <c r="G1164" s="4">
        <v>43947.508865740741</v>
      </c>
      <c r="H1164" s="4">
        <v>43947.509513888889</v>
      </c>
      <c r="I1164" t="s">
        <v>1205</v>
      </c>
      <c r="J1164" s="5">
        <v>55.99999999999999999999999999999999999999</v>
      </c>
      <c r="K1164" t="s">
        <v>38</v>
      </c>
      <c r="M1164">
        <v>60607</v>
      </c>
      <c r="N1164" t="s">
        <v>705</v>
      </c>
      <c r="O1164" t="s">
        <v>706</v>
      </c>
      <c r="P1164" t="s">
        <v>38</v>
      </c>
      <c r="Q1164" t="s">
        <v>300</v>
      </c>
      <c r="R1164">
        <v>10.00000000000000000000000000000000000002</v>
      </c>
      <c r="S1164" t="s">
        <v>45</v>
      </c>
      <c r="T116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4">
        <v>60608</v>
      </c>
      <c r="V1164" t="s">
        <v>38</v>
      </c>
      <c r="W1164" t="s">
        <v>300</v>
      </c>
      <c r="X1164">
        <v>10.00000000000000000000000000000000000002</v>
      </c>
      <c r="Y1164">
        <v>0</v>
      </c>
      <c r="Z1164" t="s">
        <v>46</v>
      </c>
      <c r="AA1164">
        <v>61686</v>
      </c>
      <c r="AB1164" t="s">
        <v>1236</v>
      </c>
      <c r="AC1164" t="s">
        <v>103</v>
      </c>
      <c r="AD1164" t="s">
        <v>38</v>
      </c>
      <c r="AE1164" t="s">
        <v>49</v>
      </c>
      <c r="AF1164" t="s">
        <v>50</v>
      </c>
      <c r="AG1164">
        <v>0</v>
      </c>
      <c r="AH1164">
        <v>0</v>
      </c>
      <c r="AI1164" t="s">
        <v>51</v>
      </c>
      <c r="AJ1164" t="s">
        <v>51</v>
      </c>
      <c r="AK1164" t="s">
        <v>51</v>
      </c>
    </row>
    <row r="1165" spans="1:37" x14ac:dyDescent="0.2">
      <c r="A1165">
        <v>60606</v>
      </c>
      <c r="B1165" t="s">
        <v>37</v>
      </c>
      <c r="C1165" t="s">
        <v>38</v>
      </c>
      <c r="D1165" t="s">
        <v>674</v>
      </c>
      <c r="E1165" t="s">
        <v>40</v>
      </c>
      <c r="G1165" s="4">
        <v>43947.508865740741</v>
      </c>
      <c r="H1165" s="4">
        <v>43947.509513888889</v>
      </c>
      <c r="I1165" t="s">
        <v>1205</v>
      </c>
      <c r="J1165" s="5">
        <v>55.99999999999999999999999999999999999999</v>
      </c>
      <c r="K1165" t="s">
        <v>38</v>
      </c>
      <c r="M1165">
        <v>60607</v>
      </c>
      <c r="N1165" t="s">
        <v>705</v>
      </c>
      <c r="O1165" t="s">
        <v>706</v>
      </c>
      <c r="P1165" t="s">
        <v>38</v>
      </c>
      <c r="Q1165" t="s">
        <v>300</v>
      </c>
      <c r="R1165">
        <v>10.00000000000000000000000000000000000002</v>
      </c>
      <c r="S1165" t="s">
        <v>45</v>
      </c>
      <c r="T116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5">
        <v>60608</v>
      </c>
      <c r="V1165" t="s">
        <v>38</v>
      </c>
      <c r="W1165" t="s">
        <v>300</v>
      </c>
      <c r="X1165">
        <v>10.00000000000000000000000000000000000002</v>
      </c>
      <c r="Y1165">
        <v>0</v>
      </c>
      <c r="Z1165" t="s">
        <v>46</v>
      </c>
      <c r="AA1165">
        <v>61685</v>
      </c>
      <c r="AB1165" t="s">
        <v>1237</v>
      </c>
      <c r="AC1165" t="s">
        <v>103</v>
      </c>
      <c r="AD1165" t="s">
        <v>38</v>
      </c>
      <c r="AE1165" t="s">
        <v>49</v>
      </c>
      <c r="AF1165" t="s">
        <v>50</v>
      </c>
      <c r="AG1165">
        <v>0</v>
      </c>
      <c r="AH1165">
        <v>0</v>
      </c>
      <c r="AI1165" t="s">
        <v>51</v>
      </c>
      <c r="AJ1165" t="s">
        <v>51</v>
      </c>
      <c r="AK1165" t="s">
        <v>51</v>
      </c>
    </row>
    <row r="1166" spans="1:37" x14ac:dyDescent="0.2">
      <c r="A1166">
        <v>60606</v>
      </c>
      <c r="B1166" t="s">
        <v>37</v>
      </c>
      <c r="C1166" t="s">
        <v>38</v>
      </c>
      <c r="D1166" t="s">
        <v>674</v>
      </c>
      <c r="E1166" t="s">
        <v>40</v>
      </c>
      <c r="G1166" s="4">
        <v>43947.508865740741</v>
      </c>
      <c r="H1166" s="4">
        <v>43947.509513888889</v>
      </c>
      <c r="I1166" t="s">
        <v>1205</v>
      </c>
      <c r="J1166" s="5">
        <v>55.99999999999999999999999999999999999999</v>
      </c>
      <c r="K1166" t="s">
        <v>38</v>
      </c>
      <c r="M1166">
        <v>60607</v>
      </c>
      <c r="N1166" t="s">
        <v>705</v>
      </c>
      <c r="O1166" t="s">
        <v>706</v>
      </c>
      <c r="P1166" t="s">
        <v>38</v>
      </c>
      <c r="Q1166" t="s">
        <v>300</v>
      </c>
      <c r="R1166">
        <v>10.00000000000000000000000000000000000002</v>
      </c>
      <c r="S1166" t="s">
        <v>45</v>
      </c>
      <c r="T116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6">
        <v>60608</v>
      </c>
      <c r="V1166" t="s">
        <v>38</v>
      </c>
      <c r="W1166" t="s">
        <v>300</v>
      </c>
      <c r="X1166">
        <v>10.00000000000000000000000000000000000002</v>
      </c>
      <c r="Y1166">
        <v>0</v>
      </c>
      <c r="Z1166" t="s">
        <v>46</v>
      </c>
      <c r="AA1166">
        <v>61684</v>
      </c>
      <c r="AB1166" t="s">
        <v>1238</v>
      </c>
      <c r="AC1166" t="s">
        <v>103</v>
      </c>
      <c r="AD1166" t="s">
        <v>38</v>
      </c>
      <c r="AE1166" t="s">
        <v>49</v>
      </c>
      <c r="AF1166" t="s">
        <v>50</v>
      </c>
      <c r="AG1166">
        <v>0</v>
      </c>
      <c r="AH1166">
        <v>0</v>
      </c>
      <c r="AI1166" t="s">
        <v>51</v>
      </c>
      <c r="AJ1166" t="s">
        <v>51</v>
      </c>
      <c r="AK1166" t="s">
        <v>51</v>
      </c>
    </row>
    <row r="1167" spans="1:37" x14ac:dyDescent="0.2">
      <c r="A1167">
        <v>60606</v>
      </c>
      <c r="B1167" t="s">
        <v>37</v>
      </c>
      <c r="C1167" t="s">
        <v>38</v>
      </c>
      <c r="D1167" t="s">
        <v>674</v>
      </c>
      <c r="E1167" t="s">
        <v>40</v>
      </c>
      <c r="G1167" s="4">
        <v>43947.508865740741</v>
      </c>
      <c r="H1167" s="4">
        <v>43947.509513888889</v>
      </c>
      <c r="I1167" t="s">
        <v>1205</v>
      </c>
      <c r="J1167" s="5">
        <v>55.99999999999999999999999999999999999999</v>
      </c>
      <c r="K1167" t="s">
        <v>38</v>
      </c>
      <c r="M1167">
        <v>60607</v>
      </c>
      <c r="N1167" t="s">
        <v>705</v>
      </c>
      <c r="O1167" t="s">
        <v>706</v>
      </c>
      <c r="P1167" t="s">
        <v>38</v>
      </c>
      <c r="Q1167" t="s">
        <v>300</v>
      </c>
      <c r="R1167">
        <v>10.00000000000000000000000000000000000002</v>
      </c>
      <c r="S1167" t="s">
        <v>45</v>
      </c>
      <c r="T116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7">
        <v>60608</v>
      </c>
      <c r="V1167" t="s">
        <v>38</v>
      </c>
      <c r="W1167" t="s">
        <v>300</v>
      </c>
      <c r="X1167">
        <v>10.00000000000000000000000000000000000002</v>
      </c>
      <c r="Y1167">
        <v>0</v>
      </c>
      <c r="Z1167" t="s">
        <v>46</v>
      </c>
      <c r="AA1167">
        <v>61683</v>
      </c>
      <c r="AB1167" t="s">
        <v>1239</v>
      </c>
      <c r="AC1167" t="s">
        <v>103</v>
      </c>
      <c r="AD1167" t="s">
        <v>38</v>
      </c>
      <c r="AE1167" t="s">
        <v>49</v>
      </c>
      <c r="AF1167" t="s">
        <v>50</v>
      </c>
      <c r="AG1167">
        <v>0</v>
      </c>
      <c r="AH1167">
        <v>0</v>
      </c>
      <c r="AI1167" t="s">
        <v>51</v>
      </c>
      <c r="AJ1167" t="s">
        <v>51</v>
      </c>
      <c r="AK1167" t="s">
        <v>51</v>
      </c>
    </row>
    <row r="1168" spans="1:37" x14ac:dyDescent="0.2">
      <c r="A1168">
        <v>60606</v>
      </c>
      <c r="B1168" t="s">
        <v>37</v>
      </c>
      <c r="C1168" t="s">
        <v>38</v>
      </c>
      <c r="D1168" t="s">
        <v>674</v>
      </c>
      <c r="E1168" t="s">
        <v>40</v>
      </c>
      <c r="G1168" s="4">
        <v>43947.508865740741</v>
      </c>
      <c r="H1168" s="4">
        <v>43947.509513888889</v>
      </c>
      <c r="I1168" t="s">
        <v>1205</v>
      </c>
      <c r="J1168" s="5">
        <v>55.99999999999999999999999999999999999999</v>
      </c>
      <c r="K1168" t="s">
        <v>38</v>
      </c>
      <c r="M1168">
        <v>60607</v>
      </c>
      <c r="N1168" t="s">
        <v>705</v>
      </c>
      <c r="O1168" t="s">
        <v>706</v>
      </c>
      <c r="P1168" t="s">
        <v>38</v>
      </c>
      <c r="Q1168" t="s">
        <v>300</v>
      </c>
      <c r="R1168">
        <v>10.00000000000000000000000000000000000002</v>
      </c>
      <c r="S1168" t="s">
        <v>45</v>
      </c>
      <c r="T116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8">
        <v>60608</v>
      </c>
      <c r="V1168" t="s">
        <v>38</v>
      </c>
      <c r="W1168" t="s">
        <v>300</v>
      </c>
      <c r="X1168">
        <v>10.00000000000000000000000000000000000002</v>
      </c>
      <c r="Y1168">
        <v>0</v>
      </c>
      <c r="Z1168" t="s">
        <v>46</v>
      </c>
      <c r="AA1168">
        <v>61682</v>
      </c>
      <c r="AB1168" t="s">
        <v>1240</v>
      </c>
      <c r="AC1168" t="s">
        <v>103</v>
      </c>
      <c r="AD1168" t="s">
        <v>38</v>
      </c>
      <c r="AE1168" t="s">
        <v>49</v>
      </c>
      <c r="AF1168" t="s">
        <v>50</v>
      </c>
      <c r="AG1168">
        <v>0</v>
      </c>
      <c r="AH1168">
        <v>0</v>
      </c>
      <c r="AI1168" t="s">
        <v>51</v>
      </c>
      <c r="AJ1168" t="s">
        <v>51</v>
      </c>
      <c r="AK1168" t="s">
        <v>51</v>
      </c>
    </row>
    <row r="1169" spans="1:37" x14ac:dyDescent="0.2">
      <c r="A1169">
        <v>60606</v>
      </c>
      <c r="B1169" t="s">
        <v>37</v>
      </c>
      <c r="C1169" t="s">
        <v>38</v>
      </c>
      <c r="D1169" t="s">
        <v>674</v>
      </c>
      <c r="E1169" t="s">
        <v>40</v>
      </c>
      <c r="G1169" s="4">
        <v>43947.508865740741</v>
      </c>
      <c r="H1169" s="4">
        <v>43947.509513888889</v>
      </c>
      <c r="I1169" t="s">
        <v>1205</v>
      </c>
      <c r="J1169" s="5">
        <v>55.99999999999999999999999999999999999999</v>
      </c>
      <c r="K1169" t="s">
        <v>38</v>
      </c>
      <c r="M1169">
        <v>60607</v>
      </c>
      <c r="N1169" t="s">
        <v>705</v>
      </c>
      <c r="O1169" t="s">
        <v>706</v>
      </c>
      <c r="P1169" t="s">
        <v>38</v>
      </c>
      <c r="Q1169" t="s">
        <v>300</v>
      </c>
      <c r="R1169">
        <v>10.00000000000000000000000000000000000002</v>
      </c>
      <c r="S1169" t="s">
        <v>45</v>
      </c>
      <c r="T116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69">
        <v>60608</v>
      </c>
      <c r="V1169" t="s">
        <v>38</v>
      </c>
      <c r="W1169" t="s">
        <v>300</v>
      </c>
      <c r="X1169">
        <v>10.00000000000000000000000000000000000002</v>
      </c>
      <c r="Y1169">
        <v>0</v>
      </c>
      <c r="Z1169" t="s">
        <v>46</v>
      </c>
      <c r="AA1169">
        <v>61681</v>
      </c>
      <c r="AB1169" t="s">
        <v>1241</v>
      </c>
      <c r="AC1169" t="s">
        <v>103</v>
      </c>
      <c r="AD1169" t="s">
        <v>38</v>
      </c>
      <c r="AE1169" t="s">
        <v>49</v>
      </c>
      <c r="AF1169" t="s">
        <v>50</v>
      </c>
      <c r="AG1169">
        <v>0</v>
      </c>
      <c r="AH1169">
        <v>0</v>
      </c>
      <c r="AI1169" t="s">
        <v>51</v>
      </c>
      <c r="AJ1169" t="s">
        <v>51</v>
      </c>
      <c r="AK1169" t="s">
        <v>51</v>
      </c>
    </row>
    <row r="1170" spans="1:37" x14ac:dyDescent="0.2">
      <c r="A1170">
        <v>60606</v>
      </c>
      <c r="B1170" t="s">
        <v>37</v>
      </c>
      <c r="C1170" t="s">
        <v>38</v>
      </c>
      <c r="D1170" t="s">
        <v>674</v>
      </c>
      <c r="E1170" t="s">
        <v>40</v>
      </c>
      <c r="G1170" s="4">
        <v>43947.508865740741</v>
      </c>
      <c r="H1170" s="4">
        <v>43947.509513888889</v>
      </c>
      <c r="I1170" t="s">
        <v>1205</v>
      </c>
      <c r="J1170" s="5">
        <v>55.99999999999999999999999999999999999999</v>
      </c>
      <c r="K1170" t="s">
        <v>38</v>
      </c>
      <c r="M1170">
        <v>60607</v>
      </c>
      <c r="N1170" t="s">
        <v>705</v>
      </c>
      <c r="O1170" t="s">
        <v>706</v>
      </c>
      <c r="P1170" t="s">
        <v>38</v>
      </c>
      <c r="Q1170" t="s">
        <v>300</v>
      </c>
      <c r="R1170">
        <v>10.00000000000000000000000000000000000002</v>
      </c>
      <c r="S1170" t="s">
        <v>45</v>
      </c>
      <c r="T117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0">
        <v>60608</v>
      </c>
      <c r="V1170" t="s">
        <v>38</v>
      </c>
      <c r="W1170" t="s">
        <v>300</v>
      </c>
      <c r="X1170">
        <v>10.00000000000000000000000000000000000002</v>
      </c>
      <c r="Y1170">
        <v>0</v>
      </c>
      <c r="Z1170" t="s">
        <v>46</v>
      </c>
      <c r="AA1170">
        <v>61680</v>
      </c>
      <c r="AB1170" t="s">
        <v>1242</v>
      </c>
      <c r="AC1170" t="s">
        <v>103</v>
      </c>
      <c r="AD1170" t="s">
        <v>38</v>
      </c>
      <c r="AE1170" t="s">
        <v>49</v>
      </c>
      <c r="AF1170" t="s">
        <v>50</v>
      </c>
      <c r="AG1170">
        <v>0</v>
      </c>
      <c r="AH1170">
        <v>0</v>
      </c>
      <c r="AI1170" t="s">
        <v>51</v>
      </c>
      <c r="AJ1170" t="s">
        <v>51</v>
      </c>
      <c r="AK1170" t="s">
        <v>51</v>
      </c>
    </row>
    <row r="1171" spans="1:37" x14ac:dyDescent="0.2">
      <c r="A1171">
        <v>60606</v>
      </c>
      <c r="B1171" t="s">
        <v>37</v>
      </c>
      <c r="C1171" t="s">
        <v>38</v>
      </c>
      <c r="D1171" t="s">
        <v>674</v>
      </c>
      <c r="E1171" t="s">
        <v>40</v>
      </c>
      <c r="G1171" s="4">
        <v>43947.508865740741</v>
      </c>
      <c r="H1171" s="4">
        <v>43947.509513888889</v>
      </c>
      <c r="I1171" t="s">
        <v>1205</v>
      </c>
      <c r="J1171" s="5">
        <v>55.99999999999999999999999999999999999999</v>
      </c>
      <c r="K1171" t="s">
        <v>38</v>
      </c>
      <c r="M1171">
        <v>60607</v>
      </c>
      <c r="N1171" t="s">
        <v>705</v>
      </c>
      <c r="O1171" t="s">
        <v>706</v>
      </c>
      <c r="P1171" t="s">
        <v>38</v>
      </c>
      <c r="Q1171" t="s">
        <v>300</v>
      </c>
      <c r="R1171">
        <v>10.00000000000000000000000000000000000002</v>
      </c>
      <c r="S1171" t="s">
        <v>45</v>
      </c>
      <c r="T117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1">
        <v>60608</v>
      </c>
      <c r="V1171" t="s">
        <v>38</v>
      </c>
      <c r="W1171" t="s">
        <v>300</v>
      </c>
      <c r="X1171">
        <v>10.00000000000000000000000000000000000002</v>
      </c>
      <c r="Y1171">
        <v>0</v>
      </c>
      <c r="Z1171" t="s">
        <v>46</v>
      </c>
      <c r="AA1171">
        <v>61679</v>
      </c>
      <c r="AB1171" t="s">
        <v>1243</v>
      </c>
      <c r="AC1171" t="s">
        <v>103</v>
      </c>
      <c r="AD1171" t="s">
        <v>38</v>
      </c>
      <c r="AE1171" t="s">
        <v>49</v>
      </c>
      <c r="AF1171" t="s">
        <v>50</v>
      </c>
      <c r="AG1171">
        <v>0</v>
      </c>
      <c r="AH1171">
        <v>0</v>
      </c>
      <c r="AI1171" t="s">
        <v>51</v>
      </c>
      <c r="AJ1171" t="s">
        <v>51</v>
      </c>
      <c r="AK1171" t="s">
        <v>51</v>
      </c>
    </row>
    <row r="1172" spans="1:37" x14ac:dyDescent="0.2">
      <c r="A1172">
        <v>60606</v>
      </c>
      <c r="B1172" t="s">
        <v>37</v>
      </c>
      <c r="C1172" t="s">
        <v>38</v>
      </c>
      <c r="D1172" t="s">
        <v>674</v>
      </c>
      <c r="E1172" t="s">
        <v>40</v>
      </c>
      <c r="G1172" s="4">
        <v>43947.508865740741</v>
      </c>
      <c r="H1172" s="4">
        <v>43947.509513888889</v>
      </c>
      <c r="I1172" t="s">
        <v>1205</v>
      </c>
      <c r="J1172" s="5">
        <v>55.99999999999999999999999999999999999999</v>
      </c>
      <c r="K1172" t="s">
        <v>38</v>
      </c>
      <c r="M1172">
        <v>60607</v>
      </c>
      <c r="N1172" t="s">
        <v>705</v>
      </c>
      <c r="O1172" t="s">
        <v>706</v>
      </c>
      <c r="P1172" t="s">
        <v>38</v>
      </c>
      <c r="Q1172" t="s">
        <v>300</v>
      </c>
      <c r="R1172">
        <v>10.00000000000000000000000000000000000002</v>
      </c>
      <c r="S1172" t="s">
        <v>45</v>
      </c>
      <c r="T117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2">
        <v>60608</v>
      </c>
      <c r="V1172" t="s">
        <v>38</v>
      </c>
      <c r="W1172" t="s">
        <v>300</v>
      </c>
      <c r="X1172">
        <v>10.00000000000000000000000000000000000002</v>
      </c>
      <c r="Y1172">
        <v>0</v>
      </c>
      <c r="Z1172" t="s">
        <v>46</v>
      </c>
      <c r="AA1172">
        <v>61678</v>
      </c>
      <c r="AB1172" t="s">
        <v>1244</v>
      </c>
      <c r="AC1172" t="s">
        <v>103</v>
      </c>
      <c r="AD1172" t="s">
        <v>38</v>
      </c>
      <c r="AE1172" t="s">
        <v>49</v>
      </c>
      <c r="AF1172" t="s">
        <v>50</v>
      </c>
      <c r="AG1172">
        <v>0</v>
      </c>
      <c r="AH1172">
        <v>0</v>
      </c>
      <c r="AI1172" t="s">
        <v>51</v>
      </c>
      <c r="AJ1172" t="s">
        <v>51</v>
      </c>
      <c r="AK1172" t="s">
        <v>51</v>
      </c>
    </row>
    <row r="1173" spans="1:37" x14ac:dyDescent="0.2">
      <c r="A1173">
        <v>60606</v>
      </c>
      <c r="B1173" t="s">
        <v>37</v>
      </c>
      <c r="C1173" t="s">
        <v>38</v>
      </c>
      <c r="D1173" t="s">
        <v>674</v>
      </c>
      <c r="E1173" t="s">
        <v>40</v>
      </c>
      <c r="G1173" s="4">
        <v>43947.508865740741</v>
      </c>
      <c r="H1173" s="4">
        <v>43947.509513888889</v>
      </c>
      <c r="I1173" t="s">
        <v>1205</v>
      </c>
      <c r="J1173" s="5">
        <v>55.99999999999999999999999999999999999999</v>
      </c>
      <c r="K1173" t="s">
        <v>38</v>
      </c>
      <c r="M1173">
        <v>60607</v>
      </c>
      <c r="N1173" t="s">
        <v>705</v>
      </c>
      <c r="O1173" t="s">
        <v>706</v>
      </c>
      <c r="P1173" t="s">
        <v>38</v>
      </c>
      <c r="Q1173" t="s">
        <v>300</v>
      </c>
      <c r="R1173">
        <v>10.00000000000000000000000000000000000002</v>
      </c>
      <c r="S1173" t="s">
        <v>45</v>
      </c>
      <c r="T117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3">
        <v>60608</v>
      </c>
      <c r="V1173" t="s">
        <v>38</v>
      </c>
      <c r="W1173" t="s">
        <v>300</v>
      </c>
      <c r="X1173">
        <v>10.00000000000000000000000000000000000002</v>
      </c>
      <c r="Y1173">
        <v>0</v>
      </c>
      <c r="Z1173" t="s">
        <v>46</v>
      </c>
      <c r="AA1173">
        <v>61677</v>
      </c>
      <c r="AB1173" t="s">
        <v>1245</v>
      </c>
      <c r="AC1173" t="s">
        <v>103</v>
      </c>
      <c r="AD1173" t="s">
        <v>38</v>
      </c>
      <c r="AE1173" t="s">
        <v>49</v>
      </c>
      <c r="AF1173" t="s">
        <v>50</v>
      </c>
      <c r="AG1173">
        <v>0</v>
      </c>
      <c r="AH1173">
        <v>0</v>
      </c>
      <c r="AI1173" t="s">
        <v>51</v>
      </c>
      <c r="AJ1173" t="s">
        <v>51</v>
      </c>
      <c r="AK1173" t="s">
        <v>51</v>
      </c>
    </row>
    <row r="1174" spans="1:37" x14ac:dyDescent="0.2">
      <c r="A1174">
        <v>60606</v>
      </c>
      <c r="B1174" t="s">
        <v>37</v>
      </c>
      <c r="C1174" t="s">
        <v>38</v>
      </c>
      <c r="D1174" t="s">
        <v>674</v>
      </c>
      <c r="E1174" t="s">
        <v>40</v>
      </c>
      <c r="G1174" s="4">
        <v>43947.508865740741</v>
      </c>
      <c r="H1174" s="4">
        <v>43947.509513888889</v>
      </c>
      <c r="I1174" t="s">
        <v>1205</v>
      </c>
      <c r="J1174" s="5">
        <v>55.99999999999999999999999999999999999999</v>
      </c>
      <c r="K1174" t="s">
        <v>38</v>
      </c>
      <c r="M1174">
        <v>60607</v>
      </c>
      <c r="N1174" t="s">
        <v>705</v>
      </c>
      <c r="O1174" t="s">
        <v>706</v>
      </c>
      <c r="P1174" t="s">
        <v>38</v>
      </c>
      <c r="Q1174" t="s">
        <v>300</v>
      </c>
      <c r="R1174">
        <v>10.00000000000000000000000000000000000002</v>
      </c>
      <c r="S1174" t="s">
        <v>45</v>
      </c>
      <c r="T117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4">
        <v>60608</v>
      </c>
      <c r="V1174" t="s">
        <v>38</v>
      </c>
      <c r="W1174" t="s">
        <v>300</v>
      </c>
      <c r="X1174">
        <v>10.00000000000000000000000000000000000002</v>
      </c>
      <c r="Y1174">
        <v>0</v>
      </c>
      <c r="Z1174" t="s">
        <v>46</v>
      </c>
      <c r="AA1174">
        <v>61676</v>
      </c>
      <c r="AB1174" t="s">
        <v>1246</v>
      </c>
      <c r="AC1174" t="s">
        <v>103</v>
      </c>
      <c r="AD1174" t="s">
        <v>38</v>
      </c>
      <c r="AE1174" t="s">
        <v>49</v>
      </c>
      <c r="AF1174" t="s">
        <v>50</v>
      </c>
      <c r="AG1174">
        <v>0</v>
      </c>
      <c r="AH1174">
        <v>0</v>
      </c>
      <c r="AI1174" t="s">
        <v>51</v>
      </c>
      <c r="AJ1174" t="s">
        <v>51</v>
      </c>
      <c r="AK1174" t="s">
        <v>51</v>
      </c>
    </row>
    <row r="1175" spans="1:37" x14ac:dyDescent="0.2">
      <c r="A1175">
        <v>60606</v>
      </c>
      <c r="B1175" t="s">
        <v>37</v>
      </c>
      <c r="C1175" t="s">
        <v>38</v>
      </c>
      <c r="D1175" t="s">
        <v>674</v>
      </c>
      <c r="E1175" t="s">
        <v>40</v>
      </c>
      <c r="G1175" s="4">
        <v>43947.508865740741</v>
      </c>
      <c r="H1175" s="4">
        <v>43947.509513888889</v>
      </c>
      <c r="I1175" t="s">
        <v>1205</v>
      </c>
      <c r="J1175" s="5">
        <v>55.99999999999999999999999999999999999999</v>
      </c>
      <c r="K1175" t="s">
        <v>38</v>
      </c>
      <c r="M1175">
        <v>60607</v>
      </c>
      <c r="N1175" t="s">
        <v>705</v>
      </c>
      <c r="O1175" t="s">
        <v>706</v>
      </c>
      <c r="P1175" t="s">
        <v>38</v>
      </c>
      <c r="Q1175" t="s">
        <v>300</v>
      </c>
      <c r="R1175">
        <v>10.00000000000000000000000000000000000002</v>
      </c>
      <c r="S1175" t="s">
        <v>45</v>
      </c>
      <c r="T117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5">
        <v>60608</v>
      </c>
      <c r="V1175" t="s">
        <v>38</v>
      </c>
      <c r="W1175" t="s">
        <v>300</v>
      </c>
      <c r="X1175">
        <v>10.00000000000000000000000000000000000002</v>
      </c>
      <c r="Y1175">
        <v>0</v>
      </c>
      <c r="Z1175" t="s">
        <v>46</v>
      </c>
      <c r="AA1175">
        <v>61675</v>
      </c>
      <c r="AB1175" t="s">
        <v>1247</v>
      </c>
      <c r="AC1175" t="s">
        <v>103</v>
      </c>
      <c r="AD1175" t="s">
        <v>38</v>
      </c>
      <c r="AE1175" t="s">
        <v>49</v>
      </c>
      <c r="AF1175" t="s">
        <v>50</v>
      </c>
      <c r="AG1175">
        <v>0</v>
      </c>
      <c r="AH1175">
        <v>0</v>
      </c>
      <c r="AI1175" t="s">
        <v>51</v>
      </c>
      <c r="AJ1175" t="s">
        <v>51</v>
      </c>
      <c r="AK1175" t="s">
        <v>51</v>
      </c>
    </row>
    <row r="1176" spans="1:37" x14ac:dyDescent="0.2">
      <c r="A1176">
        <v>60606</v>
      </c>
      <c r="B1176" t="s">
        <v>37</v>
      </c>
      <c r="C1176" t="s">
        <v>38</v>
      </c>
      <c r="D1176" t="s">
        <v>674</v>
      </c>
      <c r="E1176" t="s">
        <v>40</v>
      </c>
      <c r="G1176" s="4">
        <v>43947.508865740741</v>
      </c>
      <c r="H1176" s="4">
        <v>43947.509513888889</v>
      </c>
      <c r="I1176" t="s">
        <v>1205</v>
      </c>
      <c r="J1176" s="5">
        <v>55.99999999999999999999999999999999999999</v>
      </c>
      <c r="K1176" t="s">
        <v>38</v>
      </c>
      <c r="M1176">
        <v>60607</v>
      </c>
      <c r="N1176" t="s">
        <v>705</v>
      </c>
      <c r="O1176" t="s">
        <v>706</v>
      </c>
      <c r="P1176" t="s">
        <v>38</v>
      </c>
      <c r="Q1176" t="s">
        <v>300</v>
      </c>
      <c r="R1176">
        <v>10.00000000000000000000000000000000000002</v>
      </c>
      <c r="S1176" t="s">
        <v>45</v>
      </c>
      <c r="T117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6">
        <v>60608</v>
      </c>
      <c r="V1176" t="s">
        <v>38</v>
      </c>
      <c r="W1176" t="s">
        <v>300</v>
      </c>
      <c r="X1176">
        <v>10.00000000000000000000000000000000000002</v>
      </c>
      <c r="Y1176">
        <v>0</v>
      </c>
      <c r="Z1176" t="s">
        <v>46</v>
      </c>
      <c r="AA1176">
        <v>61674</v>
      </c>
      <c r="AB1176" t="s">
        <v>1248</v>
      </c>
      <c r="AC1176" t="s">
        <v>103</v>
      </c>
      <c r="AD1176" t="s">
        <v>38</v>
      </c>
      <c r="AE1176" t="s">
        <v>49</v>
      </c>
      <c r="AF1176" t="s">
        <v>50</v>
      </c>
      <c r="AG1176">
        <v>0</v>
      </c>
      <c r="AH1176">
        <v>0</v>
      </c>
      <c r="AI1176" t="s">
        <v>51</v>
      </c>
      <c r="AJ1176" t="s">
        <v>51</v>
      </c>
      <c r="AK1176" t="s">
        <v>51</v>
      </c>
    </row>
    <row r="1177" spans="1:37" x14ac:dyDescent="0.2">
      <c r="A1177">
        <v>60606</v>
      </c>
      <c r="B1177" t="s">
        <v>37</v>
      </c>
      <c r="C1177" t="s">
        <v>38</v>
      </c>
      <c r="D1177" t="s">
        <v>674</v>
      </c>
      <c r="E1177" t="s">
        <v>40</v>
      </c>
      <c r="G1177" s="4">
        <v>43947.508865740741</v>
      </c>
      <c r="H1177" s="4">
        <v>43947.509513888889</v>
      </c>
      <c r="I1177" t="s">
        <v>1205</v>
      </c>
      <c r="J1177" s="5">
        <v>55.99999999999999999999999999999999999999</v>
      </c>
      <c r="K1177" t="s">
        <v>38</v>
      </c>
      <c r="M1177">
        <v>60607</v>
      </c>
      <c r="N1177" t="s">
        <v>705</v>
      </c>
      <c r="O1177" t="s">
        <v>706</v>
      </c>
      <c r="P1177" t="s">
        <v>38</v>
      </c>
      <c r="Q1177" t="s">
        <v>300</v>
      </c>
      <c r="R1177">
        <v>10.00000000000000000000000000000000000002</v>
      </c>
      <c r="S1177" t="s">
        <v>45</v>
      </c>
      <c r="T117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7">
        <v>60608</v>
      </c>
      <c r="V1177" t="s">
        <v>38</v>
      </c>
      <c r="W1177" t="s">
        <v>300</v>
      </c>
      <c r="X1177">
        <v>10.00000000000000000000000000000000000002</v>
      </c>
      <c r="Y1177">
        <v>0</v>
      </c>
      <c r="Z1177" t="s">
        <v>46</v>
      </c>
      <c r="AA1177">
        <v>61673</v>
      </c>
      <c r="AB1177" t="s">
        <v>1249</v>
      </c>
      <c r="AC1177" t="s">
        <v>103</v>
      </c>
      <c r="AD1177" t="s">
        <v>38</v>
      </c>
      <c r="AE1177" t="s">
        <v>49</v>
      </c>
      <c r="AF1177" t="s">
        <v>50</v>
      </c>
      <c r="AG1177">
        <v>0</v>
      </c>
      <c r="AH1177">
        <v>0</v>
      </c>
      <c r="AI1177" t="s">
        <v>51</v>
      </c>
      <c r="AJ1177" t="s">
        <v>51</v>
      </c>
      <c r="AK1177" t="s">
        <v>51</v>
      </c>
    </row>
    <row r="1178" spans="1:37" x14ac:dyDescent="0.2">
      <c r="A1178">
        <v>60606</v>
      </c>
      <c r="B1178" t="s">
        <v>37</v>
      </c>
      <c r="C1178" t="s">
        <v>38</v>
      </c>
      <c r="D1178" t="s">
        <v>674</v>
      </c>
      <c r="E1178" t="s">
        <v>40</v>
      </c>
      <c r="G1178" s="4">
        <v>43947.508865740741</v>
      </c>
      <c r="H1178" s="4">
        <v>43947.509513888889</v>
      </c>
      <c r="I1178" t="s">
        <v>1205</v>
      </c>
      <c r="J1178" s="5">
        <v>55.99999999999999999999999999999999999999</v>
      </c>
      <c r="K1178" t="s">
        <v>38</v>
      </c>
      <c r="M1178">
        <v>60607</v>
      </c>
      <c r="N1178" t="s">
        <v>705</v>
      </c>
      <c r="O1178" t="s">
        <v>706</v>
      </c>
      <c r="P1178" t="s">
        <v>38</v>
      </c>
      <c r="Q1178" t="s">
        <v>300</v>
      </c>
      <c r="R1178">
        <v>10.00000000000000000000000000000000000002</v>
      </c>
      <c r="S1178" t="s">
        <v>45</v>
      </c>
      <c r="T117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8">
        <v>60608</v>
      </c>
      <c r="V1178" t="s">
        <v>38</v>
      </c>
      <c r="W1178" t="s">
        <v>300</v>
      </c>
      <c r="X1178">
        <v>10.00000000000000000000000000000000000002</v>
      </c>
      <c r="Y1178">
        <v>0</v>
      </c>
      <c r="Z1178" t="s">
        <v>46</v>
      </c>
      <c r="AA1178">
        <v>61672</v>
      </c>
      <c r="AB1178" t="s">
        <v>1250</v>
      </c>
      <c r="AC1178" t="s">
        <v>103</v>
      </c>
      <c r="AD1178" t="s">
        <v>38</v>
      </c>
      <c r="AE1178" t="s">
        <v>49</v>
      </c>
      <c r="AF1178" t="s">
        <v>50</v>
      </c>
      <c r="AG1178">
        <v>0</v>
      </c>
      <c r="AH1178">
        <v>0</v>
      </c>
      <c r="AI1178" t="s">
        <v>51</v>
      </c>
      <c r="AJ1178" t="s">
        <v>51</v>
      </c>
      <c r="AK1178" t="s">
        <v>51</v>
      </c>
    </row>
    <row r="1179" spans="1:37" x14ac:dyDescent="0.2">
      <c r="A1179">
        <v>60606</v>
      </c>
      <c r="B1179" t="s">
        <v>37</v>
      </c>
      <c r="C1179" t="s">
        <v>38</v>
      </c>
      <c r="D1179" t="s">
        <v>674</v>
      </c>
      <c r="E1179" t="s">
        <v>40</v>
      </c>
      <c r="G1179" s="4">
        <v>43947.508865740741</v>
      </c>
      <c r="H1179" s="4">
        <v>43947.509513888889</v>
      </c>
      <c r="I1179" t="s">
        <v>1205</v>
      </c>
      <c r="J1179" s="5">
        <v>55.99999999999999999999999999999999999999</v>
      </c>
      <c r="K1179" t="s">
        <v>38</v>
      </c>
      <c r="M1179">
        <v>60607</v>
      </c>
      <c r="N1179" t="s">
        <v>705</v>
      </c>
      <c r="O1179" t="s">
        <v>706</v>
      </c>
      <c r="P1179" t="s">
        <v>38</v>
      </c>
      <c r="Q1179" t="s">
        <v>300</v>
      </c>
      <c r="R1179">
        <v>10.00000000000000000000000000000000000002</v>
      </c>
      <c r="S1179" t="s">
        <v>45</v>
      </c>
      <c r="T117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79">
        <v>60608</v>
      </c>
      <c r="V1179" t="s">
        <v>38</v>
      </c>
      <c r="W1179" t="s">
        <v>300</v>
      </c>
      <c r="X1179">
        <v>10.00000000000000000000000000000000000002</v>
      </c>
      <c r="Y1179">
        <v>0</v>
      </c>
      <c r="Z1179" t="s">
        <v>46</v>
      </c>
      <c r="AA1179">
        <v>61671</v>
      </c>
      <c r="AB1179" t="s">
        <v>1251</v>
      </c>
      <c r="AC1179" t="s">
        <v>103</v>
      </c>
      <c r="AD1179" t="s">
        <v>38</v>
      </c>
      <c r="AE1179" t="s">
        <v>49</v>
      </c>
      <c r="AF1179" t="s">
        <v>50</v>
      </c>
      <c r="AG1179">
        <v>0</v>
      </c>
      <c r="AH1179">
        <v>0</v>
      </c>
      <c r="AI1179" t="s">
        <v>51</v>
      </c>
      <c r="AJ1179" t="s">
        <v>51</v>
      </c>
      <c r="AK1179" t="s">
        <v>51</v>
      </c>
    </row>
    <row r="1180" spans="1:37" x14ac:dyDescent="0.2">
      <c r="A1180">
        <v>60606</v>
      </c>
      <c r="B1180" t="s">
        <v>37</v>
      </c>
      <c r="C1180" t="s">
        <v>38</v>
      </c>
      <c r="D1180" t="s">
        <v>674</v>
      </c>
      <c r="E1180" t="s">
        <v>40</v>
      </c>
      <c r="G1180" s="4">
        <v>43947.508865740741</v>
      </c>
      <c r="H1180" s="4">
        <v>43947.509513888889</v>
      </c>
      <c r="I1180" t="s">
        <v>1205</v>
      </c>
      <c r="J1180" s="5">
        <v>55.99999999999999999999999999999999999999</v>
      </c>
      <c r="K1180" t="s">
        <v>38</v>
      </c>
      <c r="M1180">
        <v>60607</v>
      </c>
      <c r="N1180" t="s">
        <v>705</v>
      </c>
      <c r="O1180" t="s">
        <v>706</v>
      </c>
      <c r="P1180" t="s">
        <v>38</v>
      </c>
      <c r="Q1180" t="s">
        <v>300</v>
      </c>
      <c r="R1180">
        <v>10.00000000000000000000000000000000000002</v>
      </c>
      <c r="S1180" t="s">
        <v>45</v>
      </c>
      <c r="T118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0">
        <v>60608</v>
      </c>
      <c r="V1180" t="s">
        <v>38</v>
      </c>
      <c r="W1180" t="s">
        <v>300</v>
      </c>
      <c r="X1180">
        <v>10.00000000000000000000000000000000000002</v>
      </c>
      <c r="Y1180">
        <v>0</v>
      </c>
      <c r="Z1180" t="s">
        <v>46</v>
      </c>
      <c r="AA1180">
        <v>61670</v>
      </c>
      <c r="AB1180" t="s">
        <v>1252</v>
      </c>
      <c r="AC1180" t="s">
        <v>103</v>
      </c>
      <c r="AD1180" t="s">
        <v>38</v>
      </c>
      <c r="AE1180" t="s">
        <v>49</v>
      </c>
      <c r="AF1180" t="s">
        <v>50</v>
      </c>
      <c r="AG1180">
        <v>0</v>
      </c>
      <c r="AH1180">
        <v>0</v>
      </c>
      <c r="AI1180" t="s">
        <v>51</v>
      </c>
      <c r="AJ1180" t="s">
        <v>51</v>
      </c>
      <c r="AK1180" t="s">
        <v>51</v>
      </c>
    </row>
    <row r="1181" spans="1:37" x14ac:dyDescent="0.2">
      <c r="A1181">
        <v>60606</v>
      </c>
      <c r="B1181" t="s">
        <v>37</v>
      </c>
      <c r="C1181" t="s">
        <v>38</v>
      </c>
      <c r="D1181" t="s">
        <v>674</v>
      </c>
      <c r="E1181" t="s">
        <v>40</v>
      </c>
      <c r="G1181" s="4">
        <v>43947.508865740741</v>
      </c>
      <c r="H1181" s="4">
        <v>43947.509513888889</v>
      </c>
      <c r="I1181" t="s">
        <v>1205</v>
      </c>
      <c r="J1181" s="5">
        <v>55.99999999999999999999999999999999999999</v>
      </c>
      <c r="K1181" t="s">
        <v>38</v>
      </c>
      <c r="M1181">
        <v>60607</v>
      </c>
      <c r="N1181" t="s">
        <v>705</v>
      </c>
      <c r="O1181" t="s">
        <v>706</v>
      </c>
      <c r="P1181" t="s">
        <v>38</v>
      </c>
      <c r="Q1181" t="s">
        <v>300</v>
      </c>
      <c r="R1181">
        <v>10.00000000000000000000000000000000000002</v>
      </c>
      <c r="S1181" t="s">
        <v>45</v>
      </c>
      <c r="T118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1">
        <v>60608</v>
      </c>
      <c r="V1181" t="s">
        <v>38</v>
      </c>
      <c r="W1181" t="s">
        <v>300</v>
      </c>
      <c r="X1181">
        <v>10.00000000000000000000000000000000000002</v>
      </c>
      <c r="Y1181">
        <v>0</v>
      </c>
      <c r="Z1181" t="s">
        <v>46</v>
      </c>
      <c r="AA1181">
        <v>61669</v>
      </c>
      <c r="AB1181" t="s">
        <v>1253</v>
      </c>
      <c r="AC1181" t="s">
        <v>103</v>
      </c>
      <c r="AD1181" t="s">
        <v>38</v>
      </c>
      <c r="AE1181" t="s">
        <v>49</v>
      </c>
      <c r="AF1181" t="s">
        <v>50</v>
      </c>
      <c r="AG1181">
        <v>0</v>
      </c>
      <c r="AH1181">
        <v>0</v>
      </c>
      <c r="AI1181" t="s">
        <v>51</v>
      </c>
      <c r="AJ1181" t="s">
        <v>51</v>
      </c>
      <c r="AK1181" t="s">
        <v>51</v>
      </c>
    </row>
    <row r="1182" spans="1:37" x14ac:dyDescent="0.2">
      <c r="A1182">
        <v>60606</v>
      </c>
      <c r="B1182" t="s">
        <v>37</v>
      </c>
      <c r="C1182" t="s">
        <v>38</v>
      </c>
      <c r="D1182" t="s">
        <v>674</v>
      </c>
      <c r="E1182" t="s">
        <v>40</v>
      </c>
      <c r="G1182" s="4">
        <v>43947.508865740741</v>
      </c>
      <c r="H1182" s="4">
        <v>43947.509513888889</v>
      </c>
      <c r="I1182" t="s">
        <v>1205</v>
      </c>
      <c r="J1182" s="5">
        <v>55.99999999999999999999999999999999999999</v>
      </c>
      <c r="K1182" t="s">
        <v>38</v>
      </c>
      <c r="M1182">
        <v>60607</v>
      </c>
      <c r="N1182" t="s">
        <v>705</v>
      </c>
      <c r="O1182" t="s">
        <v>706</v>
      </c>
      <c r="P1182" t="s">
        <v>38</v>
      </c>
      <c r="Q1182" t="s">
        <v>300</v>
      </c>
      <c r="R1182">
        <v>10.00000000000000000000000000000000000002</v>
      </c>
      <c r="S1182" t="s">
        <v>45</v>
      </c>
      <c r="T118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2">
        <v>60608</v>
      </c>
      <c r="V1182" t="s">
        <v>38</v>
      </c>
      <c r="W1182" t="s">
        <v>300</v>
      </c>
      <c r="X1182">
        <v>10.00000000000000000000000000000000000002</v>
      </c>
      <c r="Y1182">
        <v>0</v>
      </c>
      <c r="Z1182" t="s">
        <v>46</v>
      </c>
      <c r="AA1182">
        <v>61668</v>
      </c>
      <c r="AB1182" t="s">
        <v>1254</v>
      </c>
      <c r="AC1182" t="s">
        <v>103</v>
      </c>
      <c r="AD1182" t="s">
        <v>38</v>
      </c>
      <c r="AE1182" t="s">
        <v>49</v>
      </c>
      <c r="AF1182" t="s">
        <v>50</v>
      </c>
      <c r="AG1182">
        <v>0</v>
      </c>
      <c r="AH1182">
        <v>0</v>
      </c>
      <c r="AI1182" t="s">
        <v>51</v>
      </c>
      <c r="AJ1182" t="s">
        <v>51</v>
      </c>
      <c r="AK1182" t="s">
        <v>51</v>
      </c>
    </row>
    <row r="1183" spans="1:37" x14ac:dyDescent="0.2">
      <c r="A1183">
        <v>60606</v>
      </c>
      <c r="B1183" t="s">
        <v>37</v>
      </c>
      <c r="C1183" t="s">
        <v>38</v>
      </c>
      <c r="D1183" t="s">
        <v>674</v>
      </c>
      <c r="E1183" t="s">
        <v>40</v>
      </c>
      <c r="G1183" s="4">
        <v>43947.508865740741</v>
      </c>
      <c r="H1183" s="4">
        <v>43947.509513888889</v>
      </c>
      <c r="I1183" t="s">
        <v>1205</v>
      </c>
      <c r="J1183" s="5">
        <v>55.99999999999999999999999999999999999999</v>
      </c>
      <c r="K1183" t="s">
        <v>38</v>
      </c>
      <c r="M1183">
        <v>60607</v>
      </c>
      <c r="N1183" t="s">
        <v>705</v>
      </c>
      <c r="O1183" t="s">
        <v>706</v>
      </c>
      <c r="P1183" t="s">
        <v>38</v>
      </c>
      <c r="Q1183" t="s">
        <v>300</v>
      </c>
      <c r="R1183">
        <v>10.00000000000000000000000000000000000002</v>
      </c>
      <c r="S1183" t="s">
        <v>45</v>
      </c>
      <c r="T118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3">
        <v>60608</v>
      </c>
      <c r="V1183" t="s">
        <v>38</v>
      </c>
      <c r="W1183" t="s">
        <v>300</v>
      </c>
      <c r="X1183">
        <v>10.00000000000000000000000000000000000002</v>
      </c>
      <c r="Y1183">
        <v>0</v>
      </c>
      <c r="Z1183" t="s">
        <v>46</v>
      </c>
      <c r="AA1183">
        <v>61667</v>
      </c>
      <c r="AB1183" t="s">
        <v>1255</v>
      </c>
      <c r="AC1183" t="s">
        <v>103</v>
      </c>
      <c r="AD1183" t="s">
        <v>38</v>
      </c>
      <c r="AE1183" t="s">
        <v>49</v>
      </c>
      <c r="AF1183" t="s">
        <v>50</v>
      </c>
      <c r="AG1183">
        <v>0</v>
      </c>
      <c r="AH1183">
        <v>0</v>
      </c>
      <c r="AI1183" t="s">
        <v>51</v>
      </c>
      <c r="AJ1183" t="s">
        <v>51</v>
      </c>
      <c r="AK1183" t="s">
        <v>51</v>
      </c>
    </row>
    <row r="1184" spans="1:37" x14ac:dyDescent="0.2">
      <c r="A1184">
        <v>60606</v>
      </c>
      <c r="B1184" t="s">
        <v>37</v>
      </c>
      <c r="C1184" t="s">
        <v>38</v>
      </c>
      <c r="D1184" t="s">
        <v>674</v>
      </c>
      <c r="E1184" t="s">
        <v>40</v>
      </c>
      <c r="G1184" s="4">
        <v>43947.508865740741</v>
      </c>
      <c r="H1184" s="4">
        <v>43947.509513888889</v>
      </c>
      <c r="I1184" t="s">
        <v>1205</v>
      </c>
      <c r="J1184" s="5">
        <v>55.99999999999999999999999999999999999999</v>
      </c>
      <c r="K1184" t="s">
        <v>38</v>
      </c>
      <c r="M1184">
        <v>60607</v>
      </c>
      <c r="N1184" t="s">
        <v>705</v>
      </c>
      <c r="O1184" t="s">
        <v>706</v>
      </c>
      <c r="P1184" t="s">
        <v>38</v>
      </c>
      <c r="Q1184" t="s">
        <v>300</v>
      </c>
      <c r="R1184">
        <v>10.00000000000000000000000000000000000002</v>
      </c>
      <c r="S1184" t="s">
        <v>45</v>
      </c>
      <c r="T118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4">
        <v>60608</v>
      </c>
      <c r="V1184" t="s">
        <v>38</v>
      </c>
      <c r="W1184" t="s">
        <v>300</v>
      </c>
      <c r="X1184">
        <v>10.00000000000000000000000000000000000002</v>
      </c>
      <c r="Y1184">
        <v>0</v>
      </c>
      <c r="Z1184" t="s">
        <v>46</v>
      </c>
      <c r="AA1184">
        <v>61666</v>
      </c>
      <c r="AB1184" t="s">
        <v>1256</v>
      </c>
      <c r="AC1184" t="s">
        <v>103</v>
      </c>
      <c r="AD1184" t="s">
        <v>38</v>
      </c>
      <c r="AE1184" t="s">
        <v>49</v>
      </c>
      <c r="AF1184" t="s">
        <v>50</v>
      </c>
      <c r="AG1184">
        <v>0</v>
      </c>
      <c r="AH1184">
        <v>0</v>
      </c>
      <c r="AI1184" t="s">
        <v>51</v>
      </c>
      <c r="AJ1184" t="s">
        <v>51</v>
      </c>
      <c r="AK1184" t="s">
        <v>51</v>
      </c>
    </row>
    <row r="1185" spans="1:37" x14ac:dyDescent="0.2">
      <c r="A1185">
        <v>60606</v>
      </c>
      <c r="B1185" t="s">
        <v>37</v>
      </c>
      <c r="C1185" t="s">
        <v>38</v>
      </c>
      <c r="D1185" t="s">
        <v>674</v>
      </c>
      <c r="E1185" t="s">
        <v>40</v>
      </c>
      <c r="G1185" s="4">
        <v>43947.508865740741</v>
      </c>
      <c r="H1185" s="4">
        <v>43947.509513888889</v>
      </c>
      <c r="I1185" t="s">
        <v>1205</v>
      </c>
      <c r="J1185" s="5">
        <v>55.99999999999999999999999999999999999999</v>
      </c>
      <c r="K1185" t="s">
        <v>38</v>
      </c>
      <c r="M1185">
        <v>60607</v>
      </c>
      <c r="N1185" t="s">
        <v>705</v>
      </c>
      <c r="O1185" t="s">
        <v>706</v>
      </c>
      <c r="P1185" t="s">
        <v>38</v>
      </c>
      <c r="Q1185" t="s">
        <v>300</v>
      </c>
      <c r="R1185">
        <v>10.00000000000000000000000000000000000002</v>
      </c>
      <c r="S1185" t="s">
        <v>45</v>
      </c>
      <c r="T118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5">
        <v>60608</v>
      </c>
      <c r="V1185" t="s">
        <v>38</v>
      </c>
      <c r="W1185" t="s">
        <v>300</v>
      </c>
      <c r="X1185">
        <v>10.00000000000000000000000000000000000002</v>
      </c>
      <c r="Y1185">
        <v>0</v>
      </c>
      <c r="Z1185" t="s">
        <v>46</v>
      </c>
      <c r="AA1185">
        <v>61665</v>
      </c>
      <c r="AB1185" t="s">
        <v>1257</v>
      </c>
      <c r="AC1185" t="s">
        <v>103</v>
      </c>
      <c r="AD1185" t="s">
        <v>38</v>
      </c>
      <c r="AE1185" t="s">
        <v>49</v>
      </c>
      <c r="AF1185" t="s">
        <v>50</v>
      </c>
      <c r="AG1185">
        <v>0</v>
      </c>
      <c r="AH1185">
        <v>0</v>
      </c>
      <c r="AI1185" t="s">
        <v>51</v>
      </c>
      <c r="AJ1185" t="s">
        <v>51</v>
      </c>
      <c r="AK1185" t="s">
        <v>51</v>
      </c>
    </row>
    <row r="1186" spans="1:37" x14ac:dyDescent="0.2">
      <c r="A1186">
        <v>60606</v>
      </c>
      <c r="B1186" t="s">
        <v>37</v>
      </c>
      <c r="C1186" t="s">
        <v>38</v>
      </c>
      <c r="D1186" t="s">
        <v>674</v>
      </c>
      <c r="E1186" t="s">
        <v>40</v>
      </c>
      <c r="G1186" s="4">
        <v>43947.508865740741</v>
      </c>
      <c r="H1186" s="4">
        <v>43947.509513888889</v>
      </c>
      <c r="I1186" t="s">
        <v>1205</v>
      </c>
      <c r="J1186" s="5">
        <v>55.99999999999999999999999999999999999999</v>
      </c>
      <c r="K1186" t="s">
        <v>38</v>
      </c>
      <c r="M1186">
        <v>60607</v>
      </c>
      <c r="N1186" t="s">
        <v>705</v>
      </c>
      <c r="O1186" t="s">
        <v>706</v>
      </c>
      <c r="P1186" t="s">
        <v>38</v>
      </c>
      <c r="Q1186" t="s">
        <v>300</v>
      </c>
      <c r="R1186">
        <v>10.00000000000000000000000000000000000002</v>
      </c>
      <c r="S1186" t="s">
        <v>45</v>
      </c>
      <c r="T118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6">
        <v>60608</v>
      </c>
      <c r="V1186" t="s">
        <v>38</v>
      </c>
      <c r="W1186" t="s">
        <v>300</v>
      </c>
      <c r="X1186">
        <v>10.00000000000000000000000000000000000002</v>
      </c>
      <c r="Y1186">
        <v>0</v>
      </c>
      <c r="Z1186" t="s">
        <v>46</v>
      </c>
      <c r="AA1186">
        <v>61664</v>
      </c>
      <c r="AB1186" t="s">
        <v>1258</v>
      </c>
      <c r="AC1186" t="s">
        <v>103</v>
      </c>
      <c r="AD1186" t="s">
        <v>38</v>
      </c>
      <c r="AE1186" t="s">
        <v>49</v>
      </c>
      <c r="AF1186" t="s">
        <v>50</v>
      </c>
      <c r="AG1186">
        <v>0</v>
      </c>
      <c r="AH1186">
        <v>0</v>
      </c>
      <c r="AI1186" t="s">
        <v>51</v>
      </c>
      <c r="AJ1186" t="s">
        <v>51</v>
      </c>
      <c r="AK1186" t="s">
        <v>51</v>
      </c>
    </row>
    <row r="1187" spans="1:37" x14ac:dyDescent="0.2">
      <c r="A1187">
        <v>60606</v>
      </c>
      <c r="B1187" t="s">
        <v>37</v>
      </c>
      <c r="C1187" t="s">
        <v>38</v>
      </c>
      <c r="D1187" t="s">
        <v>674</v>
      </c>
      <c r="E1187" t="s">
        <v>40</v>
      </c>
      <c r="G1187" s="4">
        <v>43947.508865740741</v>
      </c>
      <c r="H1187" s="4">
        <v>43947.509513888889</v>
      </c>
      <c r="I1187" t="s">
        <v>1205</v>
      </c>
      <c r="J1187" s="5">
        <v>55.99999999999999999999999999999999999999</v>
      </c>
      <c r="K1187" t="s">
        <v>38</v>
      </c>
      <c r="M1187">
        <v>60607</v>
      </c>
      <c r="N1187" t="s">
        <v>705</v>
      </c>
      <c r="O1187" t="s">
        <v>706</v>
      </c>
      <c r="P1187" t="s">
        <v>38</v>
      </c>
      <c r="Q1187" t="s">
        <v>300</v>
      </c>
      <c r="R1187">
        <v>10.00000000000000000000000000000000000002</v>
      </c>
      <c r="S1187" t="s">
        <v>45</v>
      </c>
      <c r="T118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7">
        <v>60608</v>
      </c>
      <c r="V1187" t="s">
        <v>38</v>
      </c>
      <c r="W1187" t="s">
        <v>300</v>
      </c>
      <c r="X1187">
        <v>10.00000000000000000000000000000000000002</v>
      </c>
      <c r="Y1187">
        <v>0</v>
      </c>
      <c r="Z1187" t="s">
        <v>46</v>
      </c>
      <c r="AA1187">
        <v>61663</v>
      </c>
      <c r="AB1187" t="s">
        <v>1259</v>
      </c>
      <c r="AC1187" t="s">
        <v>103</v>
      </c>
      <c r="AD1187" t="s">
        <v>38</v>
      </c>
      <c r="AE1187" t="s">
        <v>49</v>
      </c>
      <c r="AF1187" t="s">
        <v>50</v>
      </c>
      <c r="AG1187">
        <v>0</v>
      </c>
      <c r="AH1187">
        <v>0</v>
      </c>
      <c r="AI1187" t="s">
        <v>51</v>
      </c>
      <c r="AJ1187" t="s">
        <v>51</v>
      </c>
      <c r="AK1187" t="s">
        <v>51</v>
      </c>
    </row>
    <row r="1188" spans="1:37" x14ac:dyDescent="0.2">
      <c r="A1188">
        <v>60606</v>
      </c>
      <c r="B1188" t="s">
        <v>37</v>
      </c>
      <c r="C1188" t="s">
        <v>38</v>
      </c>
      <c r="D1188" t="s">
        <v>674</v>
      </c>
      <c r="E1188" t="s">
        <v>40</v>
      </c>
      <c r="G1188" s="4">
        <v>43947.508865740741</v>
      </c>
      <c r="H1188" s="4">
        <v>43947.509513888889</v>
      </c>
      <c r="I1188" t="s">
        <v>1205</v>
      </c>
      <c r="J1188" s="5">
        <v>55.99999999999999999999999999999999999999</v>
      </c>
      <c r="K1188" t="s">
        <v>38</v>
      </c>
      <c r="M1188">
        <v>60607</v>
      </c>
      <c r="N1188" t="s">
        <v>705</v>
      </c>
      <c r="O1188" t="s">
        <v>706</v>
      </c>
      <c r="P1188" t="s">
        <v>38</v>
      </c>
      <c r="Q1188" t="s">
        <v>300</v>
      </c>
      <c r="R1188">
        <v>10.00000000000000000000000000000000000002</v>
      </c>
      <c r="S1188" t="s">
        <v>45</v>
      </c>
      <c r="T118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8">
        <v>60608</v>
      </c>
      <c r="V1188" t="s">
        <v>38</v>
      </c>
      <c r="W1188" t="s">
        <v>300</v>
      </c>
      <c r="X1188">
        <v>10.00000000000000000000000000000000000002</v>
      </c>
      <c r="Y1188">
        <v>0</v>
      </c>
      <c r="Z1188" t="s">
        <v>46</v>
      </c>
      <c r="AA1188">
        <v>61662</v>
      </c>
      <c r="AB1188" t="s">
        <v>1260</v>
      </c>
      <c r="AC1188" t="s">
        <v>103</v>
      </c>
      <c r="AD1188" t="s">
        <v>38</v>
      </c>
      <c r="AE1188" t="s">
        <v>49</v>
      </c>
      <c r="AF1188" t="s">
        <v>50</v>
      </c>
      <c r="AG1188">
        <v>0</v>
      </c>
      <c r="AH1188">
        <v>0</v>
      </c>
      <c r="AI1188" t="s">
        <v>51</v>
      </c>
      <c r="AJ1188" t="s">
        <v>51</v>
      </c>
      <c r="AK1188" t="s">
        <v>51</v>
      </c>
    </row>
    <row r="1189" spans="1:37" x14ac:dyDescent="0.2">
      <c r="A1189">
        <v>60606</v>
      </c>
      <c r="B1189" t="s">
        <v>37</v>
      </c>
      <c r="C1189" t="s">
        <v>38</v>
      </c>
      <c r="D1189" t="s">
        <v>674</v>
      </c>
      <c r="E1189" t="s">
        <v>40</v>
      </c>
      <c r="G1189" s="4">
        <v>43947.508865740741</v>
      </c>
      <c r="H1189" s="4">
        <v>43947.509513888889</v>
      </c>
      <c r="I1189" t="s">
        <v>1205</v>
      </c>
      <c r="J1189" s="5">
        <v>55.99999999999999999999999999999999999999</v>
      </c>
      <c r="K1189" t="s">
        <v>38</v>
      </c>
      <c r="M1189">
        <v>60607</v>
      </c>
      <c r="N1189" t="s">
        <v>705</v>
      </c>
      <c r="O1189" t="s">
        <v>706</v>
      </c>
      <c r="P1189" t="s">
        <v>38</v>
      </c>
      <c r="Q1189" t="s">
        <v>300</v>
      </c>
      <c r="R1189">
        <v>10.00000000000000000000000000000000000002</v>
      </c>
      <c r="S1189" t="s">
        <v>45</v>
      </c>
      <c r="T118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89">
        <v>60608</v>
      </c>
      <c r="V1189" t="s">
        <v>38</v>
      </c>
      <c r="W1189" t="s">
        <v>300</v>
      </c>
      <c r="X1189">
        <v>10.00000000000000000000000000000000000002</v>
      </c>
      <c r="Y1189">
        <v>0</v>
      </c>
      <c r="Z1189" t="s">
        <v>46</v>
      </c>
      <c r="AA1189">
        <v>61661</v>
      </c>
      <c r="AB1189" t="s">
        <v>1261</v>
      </c>
      <c r="AC1189" t="s">
        <v>103</v>
      </c>
      <c r="AD1189" t="s">
        <v>38</v>
      </c>
      <c r="AE1189" t="s">
        <v>49</v>
      </c>
      <c r="AF1189" t="s">
        <v>50</v>
      </c>
      <c r="AG1189">
        <v>0</v>
      </c>
      <c r="AH1189">
        <v>0</v>
      </c>
      <c r="AI1189" t="s">
        <v>51</v>
      </c>
      <c r="AJ1189" t="s">
        <v>51</v>
      </c>
      <c r="AK1189" t="s">
        <v>51</v>
      </c>
    </row>
    <row r="1190" spans="1:37" x14ac:dyDescent="0.2">
      <c r="A1190">
        <v>60606</v>
      </c>
      <c r="B1190" t="s">
        <v>37</v>
      </c>
      <c r="C1190" t="s">
        <v>38</v>
      </c>
      <c r="D1190" t="s">
        <v>674</v>
      </c>
      <c r="E1190" t="s">
        <v>40</v>
      </c>
      <c r="G1190" s="4">
        <v>43947.508865740741</v>
      </c>
      <c r="H1190" s="4">
        <v>43947.509513888889</v>
      </c>
      <c r="I1190" t="s">
        <v>1205</v>
      </c>
      <c r="J1190" s="5">
        <v>55.99999999999999999999999999999999999999</v>
      </c>
      <c r="K1190" t="s">
        <v>38</v>
      </c>
      <c r="M1190">
        <v>60607</v>
      </c>
      <c r="N1190" t="s">
        <v>705</v>
      </c>
      <c r="O1190" t="s">
        <v>706</v>
      </c>
      <c r="P1190" t="s">
        <v>38</v>
      </c>
      <c r="Q1190" t="s">
        <v>300</v>
      </c>
      <c r="R1190">
        <v>10.00000000000000000000000000000000000002</v>
      </c>
      <c r="S1190" t="s">
        <v>45</v>
      </c>
      <c r="T119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0">
        <v>60608</v>
      </c>
      <c r="V1190" t="s">
        <v>38</v>
      </c>
      <c r="W1190" t="s">
        <v>300</v>
      </c>
      <c r="X1190">
        <v>10.00000000000000000000000000000000000002</v>
      </c>
      <c r="Y1190">
        <v>0</v>
      </c>
      <c r="Z1190" t="s">
        <v>46</v>
      </c>
      <c r="AA1190">
        <v>61660</v>
      </c>
      <c r="AB1190" t="s">
        <v>1262</v>
      </c>
      <c r="AC1190" t="s">
        <v>103</v>
      </c>
      <c r="AD1190" t="s">
        <v>38</v>
      </c>
      <c r="AE1190" t="s">
        <v>49</v>
      </c>
      <c r="AF1190" t="s">
        <v>50</v>
      </c>
      <c r="AG1190">
        <v>0</v>
      </c>
      <c r="AH1190">
        <v>0</v>
      </c>
      <c r="AI1190" t="s">
        <v>51</v>
      </c>
      <c r="AJ1190" t="s">
        <v>51</v>
      </c>
      <c r="AK1190" t="s">
        <v>51</v>
      </c>
    </row>
    <row r="1191" spans="1:37" x14ac:dyDescent="0.2">
      <c r="A1191">
        <v>60606</v>
      </c>
      <c r="B1191" t="s">
        <v>37</v>
      </c>
      <c r="C1191" t="s">
        <v>38</v>
      </c>
      <c r="D1191" t="s">
        <v>674</v>
      </c>
      <c r="E1191" t="s">
        <v>40</v>
      </c>
      <c r="G1191" s="4">
        <v>43947.508865740741</v>
      </c>
      <c r="H1191" s="4">
        <v>43947.509513888889</v>
      </c>
      <c r="I1191" t="s">
        <v>1205</v>
      </c>
      <c r="J1191" s="5">
        <v>55.99999999999999999999999999999999999999</v>
      </c>
      <c r="K1191" t="s">
        <v>38</v>
      </c>
      <c r="M1191">
        <v>60607</v>
      </c>
      <c r="N1191" t="s">
        <v>705</v>
      </c>
      <c r="O1191" t="s">
        <v>706</v>
      </c>
      <c r="P1191" t="s">
        <v>38</v>
      </c>
      <c r="Q1191" t="s">
        <v>300</v>
      </c>
      <c r="R1191">
        <v>10.00000000000000000000000000000000000002</v>
      </c>
      <c r="S1191" t="s">
        <v>45</v>
      </c>
      <c r="T119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1">
        <v>60608</v>
      </c>
      <c r="V1191" t="s">
        <v>38</v>
      </c>
      <c r="W1191" t="s">
        <v>300</v>
      </c>
      <c r="X1191">
        <v>10.00000000000000000000000000000000000002</v>
      </c>
      <c r="Y1191">
        <v>0</v>
      </c>
      <c r="Z1191" t="s">
        <v>46</v>
      </c>
      <c r="AA1191">
        <v>61659</v>
      </c>
      <c r="AB1191" t="s">
        <v>1263</v>
      </c>
      <c r="AC1191" t="s">
        <v>103</v>
      </c>
      <c r="AD1191" t="s">
        <v>38</v>
      </c>
      <c r="AE1191" t="s">
        <v>49</v>
      </c>
      <c r="AF1191" t="s">
        <v>50</v>
      </c>
      <c r="AG1191">
        <v>0</v>
      </c>
      <c r="AH1191">
        <v>0</v>
      </c>
      <c r="AI1191" t="s">
        <v>51</v>
      </c>
      <c r="AJ1191" t="s">
        <v>51</v>
      </c>
      <c r="AK1191" t="s">
        <v>51</v>
      </c>
    </row>
    <row r="1192" spans="1:37" x14ac:dyDescent="0.2">
      <c r="A1192">
        <v>60606</v>
      </c>
      <c r="B1192" t="s">
        <v>37</v>
      </c>
      <c r="C1192" t="s">
        <v>38</v>
      </c>
      <c r="D1192" t="s">
        <v>674</v>
      </c>
      <c r="E1192" t="s">
        <v>40</v>
      </c>
      <c r="G1192" s="4">
        <v>43947.508865740741</v>
      </c>
      <c r="H1192" s="4">
        <v>43947.509513888889</v>
      </c>
      <c r="I1192" t="s">
        <v>1205</v>
      </c>
      <c r="J1192" s="5">
        <v>55.99999999999999999999999999999999999999</v>
      </c>
      <c r="K1192" t="s">
        <v>38</v>
      </c>
      <c r="M1192">
        <v>60607</v>
      </c>
      <c r="N1192" t="s">
        <v>705</v>
      </c>
      <c r="O1192" t="s">
        <v>706</v>
      </c>
      <c r="P1192" t="s">
        <v>38</v>
      </c>
      <c r="Q1192" t="s">
        <v>300</v>
      </c>
      <c r="R1192">
        <v>10.00000000000000000000000000000000000002</v>
      </c>
      <c r="S1192" t="s">
        <v>45</v>
      </c>
      <c r="T119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2">
        <v>60608</v>
      </c>
      <c r="V1192" t="s">
        <v>38</v>
      </c>
      <c r="W1192" t="s">
        <v>300</v>
      </c>
      <c r="X1192">
        <v>10.00000000000000000000000000000000000002</v>
      </c>
      <c r="Y1192">
        <v>0</v>
      </c>
      <c r="Z1192" t="s">
        <v>46</v>
      </c>
      <c r="AA1192">
        <v>61658</v>
      </c>
      <c r="AB1192" t="s">
        <v>1264</v>
      </c>
      <c r="AC1192" t="s">
        <v>103</v>
      </c>
      <c r="AD1192" t="s">
        <v>38</v>
      </c>
      <c r="AE1192" t="s">
        <v>49</v>
      </c>
      <c r="AF1192" t="s">
        <v>50</v>
      </c>
      <c r="AG1192">
        <v>0</v>
      </c>
      <c r="AH1192">
        <v>0</v>
      </c>
      <c r="AI1192" t="s">
        <v>51</v>
      </c>
      <c r="AJ1192" t="s">
        <v>51</v>
      </c>
      <c r="AK1192" t="s">
        <v>51</v>
      </c>
    </row>
    <row r="1193" spans="1:37" x14ac:dyDescent="0.2">
      <c r="A1193">
        <v>60606</v>
      </c>
      <c r="B1193" t="s">
        <v>37</v>
      </c>
      <c r="C1193" t="s">
        <v>38</v>
      </c>
      <c r="D1193" t="s">
        <v>674</v>
      </c>
      <c r="E1193" t="s">
        <v>40</v>
      </c>
      <c r="G1193" s="4">
        <v>43947.508865740741</v>
      </c>
      <c r="H1193" s="4">
        <v>43947.509513888889</v>
      </c>
      <c r="I1193" t="s">
        <v>1205</v>
      </c>
      <c r="J1193" s="5">
        <v>55.99999999999999999999999999999999999999</v>
      </c>
      <c r="K1193" t="s">
        <v>38</v>
      </c>
      <c r="M1193">
        <v>60607</v>
      </c>
      <c r="N1193" t="s">
        <v>705</v>
      </c>
      <c r="O1193" t="s">
        <v>706</v>
      </c>
      <c r="P1193" t="s">
        <v>38</v>
      </c>
      <c r="Q1193" t="s">
        <v>300</v>
      </c>
      <c r="R1193">
        <v>10.00000000000000000000000000000000000002</v>
      </c>
      <c r="S1193" t="s">
        <v>45</v>
      </c>
      <c r="T119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3">
        <v>60608</v>
      </c>
      <c r="V1193" t="s">
        <v>38</v>
      </c>
      <c r="W1193" t="s">
        <v>300</v>
      </c>
      <c r="X1193">
        <v>10.00000000000000000000000000000000000002</v>
      </c>
      <c r="Y1193">
        <v>0</v>
      </c>
      <c r="Z1193" t="s">
        <v>46</v>
      </c>
      <c r="AA1193">
        <v>61657</v>
      </c>
      <c r="AB1193" t="s">
        <v>1265</v>
      </c>
      <c r="AC1193" t="s">
        <v>103</v>
      </c>
      <c r="AD1193" t="s">
        <v>38</v>
      </c>
      <c r="AE1193" t="s">
        <v>49</v>
      </c>
      <c r="AF1193" t="s">
        <v>50</v>
      </c>
      <c r="AG1193">
        <v>0</v>
      </c>
      <c r="AH1193">
        <v>0</v>
      </c>
      <c r="AI1193" t="s">
        <v>51</v>
      </c>
      <c r="AJ1193" t="s">
        <v>51</v>
      </c>
      <c r="AK1193" t="s">
        <v>51</v>
      </c>
    </row>
    <row r="1194" spans="1:37" x14ac:dyDescent="0.2">
      <c r="A1194">
        <v>60606</v>
      </c>
      <c r="B1194" t="s">
        <v>37</v>
      </c>
      <c r="C1194" t="s">
        <v>38</v>
      </c>
      <c r="D1194" t="s">
        <v>674</v>
      </c>
      <c r="E1194" t="s">
        <v>40</v>
      </c>
      <c r="G1194" s="4">
        <v>43947.508865740741</v>
      </c>
      <c r="H1194" s="4">
        <v>43947.509513888889</v>
      </c>
      <c r="I1194" t="s">
        <v>1205</v>
      </c>
      <c r="J1194" s="5">
        <v>55.99999999999999999999999999999999999999</v>
      </c>
      <c r="K1194" t="s">
        <v>38</v>
      </c>
      <c r="M1194">
        <v>60607</v>
      </c>
      <c r="N1194" t="s">
        <v>705</v>
      </c>
      <c r="O1194" t="s">
        <v>706</v>
      </c>
      <c r="P1194" t="s">
        <v>38</v>
      </c>
      <c r="Q1194" t="s">
        <v>300</v>
      </c>
      <c r="R1194">
        <v>10.00000000000000000000000000000000000002</v>
      </c>
      <c r="S1194" t="s">
        <v>45</v>
      </c>
      <c r="T119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4">
        <v>60608</v>
      </c>
      <c r="V1194" t="s">
        <v>38</v>
      </c>
      <c r="W1194" t="s">
        <v>300</v>
      </c>
      <c r="X1194">
        <v>10.00000000000000000000000000000000000002</v>
      </c>
      <c r="Y1194">
        <v>0</v>
      </c>
      <c r="Z1194" t="s">
        <v>46</v>
      </c>
      <c r="AA1194">
        <v>61656</v>
      </c>
      <c r="AB1194" t="s">
        <v>1266</v>
      </c>
      <c r="AC1194" t="s">
        <v>103</v>
      </c>
      <c r="AD1194" t="s">
        <v>38</v>
      </c>
      <c r="AE1194" t="s">
        <v>49</v>
      </c>
      <c r="AF1194" t="s">
        <v>50</v>
      </c>
      <c r="AG1194">
        <v>0</v>
      </c>
      <c r="AH1194">
        <v>0</v>
      </c>
      <c r="AI1194" t="s">
        <v>51</v>
      </c>
      <c r="AJ1194" t="s">
        <v>51</v>
      </c>
      <c r="AK1194" t="s">
        <v>51</v>
      </c>
    </row>
    <row r="1195" spans="1:37" x14ac:dyDescent="0.2">
      <c r="A1195">
        <v>60606</v>
      </c>
      <c r="B1195" t="s">
        <v>37</v>
      </c>
      <c r="C1195" t="s">
        <v>38</v>
      </c>
      <c r="D1195" t="s">
        <v>674</v>
      </c>
      <c r="E1195" t="s">
        <v>40</v>
      </c>
      <c r="G1195" s="4">
        <v>43947.508865740741</v>
      </c>
      <c r="H1195" s="4">
        <v>43947.509513888889</v>
      </c>
      <c r="I1195" t="s">
        <v>1205</v>
      </c>
      <c r="J1195" s="5">
        <v>55.99999999999999999999999999999999999999</v>
      </c>
      <c r="K1195" t="s">
        <v>38</v>
      </c>
      <c r="M1195">
        <v>60607</v>
      </c>
      <c r="N1195" t="s">
        <v>705</v>
      </c>
      <c r="O1195" t="s">
        <v>706</v>
      </c>
      <c r="P1195" t="s">
        <v>38</v>
      </c>
      <c r="Q1195" t="s">
        <v>300</v>
      </c>
      <c r="R1195">
        <v>10.00000000000000000000000000000000000002</v>
      </c>
      <c r="S1195" t="s">
        <v>45</v>
      </c>
      <c r="T119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5">
        <v>60608</v>
      </c>
      <c r="V1195" t="s">
        <v>38</v>
      </c>
      <c r="W1195" t="s">
        <v>300</v>
      </c>
      <c r="X1195">
        <v>10.00000000000000000000000000000000000002</v>
      </c>
      <c r="Y1195">
        <v>0</v>
      </c>
      <c r="Z1195" t="s">
        <v>46</v>
      </c>
      <c r="AA1195">
        <v>61655</v>
      </c>
      <c r="AB1195" t="s">
        <v>1267</v>
      </c>
      <c r="AC1195" t="s">
        <v>103</v>
      </c>
      <c r="AD1195" t="s">
        <v>38</v>
      </c>
      <c r="AE1195" t="s">
        <v>49</v>
      </c>
      <c r="AF1195" t="s">
        <v>50</v>
      </c>
      <c r="AG1195">
        <v>0</v>
      </c>
      <c r="AH1195">
        <v>0</v>
      </c>
      <c r="AI1195" t="s">
        <v>51</v>
      </c>
      <c r="AJ1195" t="s">
        <v>51</v>
      </c>
      <c r="AK1195" t="s">
        <v>51</v>
      </c>
    </row>
    <row r="1196" spans="1:37" x14ac:dyDescent="0.2">
      <c r="A1196">
        <v>60606</v>
      </c>
      <c r="B1196" t="s">
        <v>37</v>
      </c>
      <c r="C1196" t="s">
        <v>38</v>
      </c>
      <c r="D1196" t="s">
        <v>674</v>
      </c>
      <c r="E1196" t="s">
        <v>40</v>
      </c>
      <c r="G1196" s="4">
        <v>43947.508865740741</v>
      </c>
      <c r="H1196" s="4">
        <v>43947.509513888889</v>
      </c>
      <c r="I1196" t="s">
        <v>1205</v>
      </c>
      <c r="J1196" s="5">
        <v>55.99999999999999999999999999999999999999</v>
      </c>
      <c r="K1196" t="s">
        <v>38</v>
      </c>
      <c r="M1196">
        <v>60607</v>
      </c>
      <c r="N1196" t="s">
        <v>705</v>
      </c>
      <c r="O1196" t="s">
        <v>706</v>
      </c>
      <c r="P1196" t="s">
        <v>38</v>
      </c>
      <c r="Q1196" t="s">
        <v>300</v>
      </c>
      <c r="R1196">
        <v>10.00000000000000000000000000000000000002</v>
      </c>
      <c r="S1196" t="s">
        <v>45</v>
      </c>
      <c r="T119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6">
        <v>60608</v>
      </c>
      <c r="V1196" t="s">
        <v>38</v>
      </c>
      <c r="W1196" t="s">
        <v>300</v>
      </c>
      <c r="X1196">
        <v>10.00000000000000000000000000000000000002</v>
      </c>
      <c r="Y1196">
        <v>0</v>
      </c>
      <c r="Z1196" t="s">
        <v>46</v>
      </c>
      <c r="AA1196">
        <v>61654</v>
      </c>
      <c r="AB1196" t="s">
        <v>1268</v>
      </c>
      <c r="AC1196" t="s">
        <v>103</v>
      </c>
      <c r="AD1196" t="s">
        <v>38</v>
      </c>
      <c r="AE1196" t="s">
        <v>49</v>
      </c>
      <c r="AF1196" t="s">
        <v>50</v>
      </c>
      <c r="AG1196">
        <v>0</v>
      </c>
      <c r="AH1196">
        <v>0</v>
      </c>
      <c r="AI1196" t="s">
        <v>51</v>
      </c>
      <c r="AJ1196" t="s">
        <v>51</v>
      </c>
      <c r="AK1196" t="s">
        <v>51</v>
      </c>
    </row>
    <row r="1197" spans="1:37" x14ac:dyDescent="0.2">
      <c r="A1197">
        <v>60606</v>
      </c>
      <c r="B1197" t="s">
        <v>37</v>
      </c>
      <c r="C1197" t="s">
        <v>38</v>
      </c>
      <c r="D1197" t="s">
        <v>674</v>
      </c>
      <c r="E1197" t="s">
        <v>40</v>
      </c>
      <c r="G1197" s="4">
        <v>43947.508865740741</v>
      </c>
      <c r="H1197" s="4">
        <v>43947.509513888889</v>
      </c>
      <c r="I1197" t="s">
        <v>1205</v>
      </c>
      <c r="J1197" s="5">
        <v>55.99999999999999999999999999999999999999</v>
      </c>
      <c r="K1197" t="s">
        <v>38</v>
      </c>
      <c r="M1197">
        <v>60607</v>
      </c>
      <c r="N1197" t="s">
        <v>705</v>
      </c>
      <c r="O1197" t="s">
        <v>706</v>
      </c>
      <c r="P1197" t="s">
        <v>38</v>
      </c>
      <c r="Q1197" t="s">
        <v>300</v>
      </c>
      <c r="R1197">
        <v>10.00000000000000000000000000000000000002</v>
      </c>
      <c r="S1197" t="s">
        <v>45</v>
      </c>
      <c r="T119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7">
        <v>60608</v>
      </c>
      <c r="V1197" t="s">
        <v>38</v>
      </c>
      <c r="W1197" t="s">
        <v>300</v>
      </c>
      <c r="X1197">
        <v>10.00000000000000000000000000000000000002</v>
      </c>
      <c r="Y1197">
        <v>0</v>
      </c>
      <c r="Z1197" t="s">
        <v>46</v>
      </c>
      <c r="AA1197">
        <v>61653</v>
      </c>
      <c r="AB1197" t="s">
        <v>1269</v>
      </c>
      <c r="AC1197" t="s">
        <v>103</v>
      </c>
      <c r="AD1197" t="s">
        <v>38</v>
      </c>
      <c r="AE1197" t="s">
        <v>49</v>
      </c>
      <c r="AF1197" t="s">
        <v>50</v>
      </c>
      <c r="AG1197">
        <v>0</v>
      </c>
      <c r="AH1197">
        <v>0</v>
      </c>
      <c r="AI1197" t="s">
        <v>51</v>
      </c>
      <c r="AJ1197" t="s">
        <v>51</v>
      </c>
      <c r="AK1197" t="s">
        <v>51</v>
      </c>
    </row>
    <row r="1198" spans="1:37" x14ac:dyDescent="0.2">
      <c r="A1198">
        <v>60606</v>
      </c>
      <c r="B1198" t="s">
        <v>37</v>
      </c>
      <c r="C1198" t="s">
        <v>38</v>
      </c>
      <c r="D1198" t="s">
        <v>674</v>
      </c>
      <c r="E1198" t="s">
        <v>40</v>
      </c>
      <c r="G1198" s="4">
        <v>43947.508865740741</v>
      </c>
      <c r="H1198" s="4">
        <v>43947.509513888889</v>
      </c>
      <c r="I1198" t="s">
        <v>1205</v>
      </c>
      <c r="J1198" s="5">
        <v>55.99999999999999999999999999999999999999</v>
      </c>
      <c r="K1198" t="s">
        <v>38</v>
      </c>
      <c r="M1198">
        <v>60607</v>
      </c>
      <c r="N1198" t="s">
        <v>705</v>
      </c>
      <c r="O1198" t="s">
        <v>706</v>
      </c>
      <c r="P1198" t="s">
        <v>38</v>
      </c>
      <c r="Q1198" t="s">
        <v>300</v>
      </c>
      <c r="R1198">
        <v>10.00000000000000000000000000000000000002</v>
      </c>
      <c r="S1198" t="s">
        <v>45</v>
      </c>
      <c r="T119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8">
        <v>60608</v>
      </c>
      <c r="V1198" t="s">
        <v>38</v>
      </c>
      <c r="W1198" t="s">
        <v>300</v>
      </c>
      <c r="X1198">
        <v>10.00000000000000000000000000000000000002</v>
      </c>
      <c r="Y1198">
        <v>0</v>
      </c>
      <c r="Z1198" t="s">
        <v>46</v>
      </c>
      <c r="AA1198">
        <v>61652</v>
      </c>
      <c r="AB1198" t="s">
        <v>1270</v>
      </c>
      <c r="AC1198" t="s">
        <v>103</v>
      </c>
      <c r="AD1198" t="s">
        <v>38</v>
      </c>
      <c r="AE1198" t="s">
        <v>49</v>
      </c>
      <c r="AF1198" t="s">
        <v>50</v>
      </c>
      <c r="AG1198">
        <v>0</v>
      </c>
      <c r="AH1198">
        <v>0</v>
      </c>
      <c r="AI1198" t="s">
        <v>51</v>
      </c>
      <c r="AJ1198" t="s">
        <v>51</v>
      </c>
      <c r="AK1198" t="s">
        <v>51</v>
      </c>
    </row>
    <row r="1199" spans="1:37" x14ac:dyDescent="0.2">
      <c r="A1199">
        <v>60606</v>
      </c>
      <c r="B1199" t="s">
        <v>37</v>
      </c>
      <c r="C1199" t="s">
        <v>38</v>
      </c>
      <c r="D1199" t="s">
        <v>674</v>
      </c>
      <c r="E1199" t="s">
        <v>40</v>
      </c>
      <c r="G1199" s="4">
        <v>43947.508865740741</v>
      </c>
      <c r="H1199" s="4">
        <v>43947.509513888889</v>
      </c>
      <c r="I1199" t="s">
        <v>1205</v>
      </c>
      <c r="J1199" s="5">
        <v>55.99999999999999999999999999999999999999</v>
      </c>
      <c r="K1199" t="s">
        <v>38</v>
      </c>
      <c r="M1199">
        <v>60607</v>
      </c>
      <c r="N1199" t="s">
        <v>705</v>
      </c>
      <c r="O1199" t="s">
        <v>706</v>
      </c>
      <c r="P1199" t="s">
        <v>38</v>
      </c>
      <c r="Q1199" t="s">
        <v>300</v>
      </c>
      <c r="R1199">
        <v>10.00000000000000000000000000000000000002</v>
      </c>
      <c r="S1199" t="s">
        <v>45</v>
      </c>
      <c r="T119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199">
        <v>60608</v>
      </c>
      <c r="V1199" t="s">
        <v>38</v>
      </c>
      <c r="W1199" t="s">
        <v>300</v>
      </c>
      <c r="X1199">
        <v>10.00000000000000000000000000000000000002</v>
      </c>
      <c r="Y1199">
        <v>0</v>
      </c>
      <c r="Z1199" t="s">
        <v>46</v>
      </c>
      <c r="AA1199">
        <v>61651</v>
      </c>
      <c r="AB1199" t="s">
        <v>1271</v>
      </c>
      <c r="AC1199" t="s">
        <v>103</v>
      </c>
      <c r="AD1199" t="s">
        <v>38</v>
      </c>
      <c r="AE1199" t="s">
        <v>49</v>
      </c>
      <c r="AF1199" t="s">
        <v>50</v>
      </c>
      <c r="AG1199">
        <v>0</v>
      </c>
      <c r="AH1199">
        <v>0</v>
      </c>
      <c r="AI1199" t="s">
        <v>51</v>
      </c>
      <c r="AJ1199" t="s">
        <v>51</v>
      </c>
      <c r="AK1199" t="s">
        <v>51</v>
      </c>
    </row>
    <row r="1200" spans="1:37" x14ac:dyDescent="0.2">
      <c r="A1200">
        <v>60606</v>
      </c>
      <c r="B1200" t="s">
        <v>37</v>
      </c>
      <c r="C1200" t="s">
        <v>38</v>
      </c>
      <c r="D1200" t="s">
        <v>674</v>
      </c>
      <c r="E1200" t="s">
        <v>40</v>
      </c>
      <c r="G1200" s="4">
        <v>43947.508865740741</v>
      </c>
      <c r="H1200" s="4">
        <v>43947.509513888889</v>
      </c>
      <c r="I1200" t="s">
        <v>1205</v>
      </c>
      <c r="J1200" s="5">
        <v>55.99999999999999999999999999999999999999</v>
      </c>
      <c r="K1200" t="s">
        <v>38</v>
      </c>
      <c r="M1200">
        <v>60607</v>
      </c>
      <c r="N1200" t="s">
        <v>705</v>
      </c>
      <c r="O1200" t="s">
        <v>706</v>
      </c>
      <c r="P1200" t="s">
        <v>38</v>
      </c>
      <c r="Q1200" t="s">
        <v>300</v>
      </c>
      <c r="R1200">
        <v>10.00000000000000000000000000000000000002</v>
      </c>
      <c r="S1200" t="s">
        <v>45</v>
      </c>
      <c r="T120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0">
        <v>60608</v>
      </c>
      <c r="V1200" t="s">
        <v>38</v>
      </c>
      <c r="W1200" t="s">
        <v>300</v>
      </c>
      <c r="X1200">
        <v>10.00000000000000000000000000000000000002</v>
      </c>
      <c r="Y1200">
        <v>0</v>
      </c>
      <c r="Z1200" t="s">
        <v>46</v>
      </c>
      <c r="AA1200">
        <v>61650</v>
      </c>
      <c r="AB1200" t="s">
        <v>1272</v>
      </c>
      <c r="AC1200" t="s">
        <v>103</v>
      </c>
      <c r="AD1200" t="s">
        <v>38</v>
      </c>
      <c r="AE1200" t="s">
        <v>49</v>
      </c>
      <c r="AF1200" t="s">
        <v>50</v>
      </c>
      <c r="AG1200">
        <v>0</v>
      </c>
      <c r="AH1200">
        <v>0</v>
      </c>
      <c r="AI1200" t="s">
        <v>51</v>
      </c>
      <c r="AJ1200" t="s">
        <v>51</v>
      </c>
      <c r="AK1200" t="s">
        <v>51</v>
      </c>
    </row>
    <row r="1201" spans="1:37" x14ac:dyDescent="0.2">
      <c r="A1201">
        <v>60606</v>
      </c>
      <c r="B1201" t="s">
        <v>37</v>
      </c>
      <c r="C1201" t="s">
        <v>38</v>
      </c>
      <c r="D1201" t="s">
        <v>674</v>
      </c>
      <c r="E1201" t="s">
        <v>40</v>
      </c>
      <c r="G1201" s="4">
        <v>43947.508865740741</v>
      </c>
      <c r="H1201" s="4">
        <v>43947.509513888889</v>
      </c>
      <c r="I1201" t="s">
        <v>1205</v>
      </c>
      <c r="J1201" s="5">
        <v>55.99999999999999999999999999999999999999</v>
      </c>
      <c r="K1201" t="s">
        <v>38</v>
      </c>
      <c r="M1201">
        <v>60607</v>
      </c>
      <c r="N1201" t="s">
        <v>705</v>
      </c>
      <c r="O1201" t="s">
        <v>706</v>
      </c>
      <c r="P1201" t="s">
        <v>38</v>
      </c>
      <c r="Q1201" t="s">
        <v>300</v>
      </c>
      <c r="R1201">
        <v>10.00000000000000000000000000000000000002</v>
      </c>
      <c r="S1201" t="s">
        <v>45</v>
      </c>
      <c r="T120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1">
        <v>60608</v>
      </c>
      <c r="V1201" t="s">
        <v>38</v>
      </c>
      <c r="W1201" t="s">
        <v>300</v>
      </c>
      <c r="X1201">
        <v>10.00000000000000000000000000000000000002</v>
      </c>
      <c r="Y1201">
        <v>0</v>
      </c>
      <c r="Z1201" t="s">
        <v>46</v>
      </c>
      <c r="AA1201">
        <v>61649</v>
      </c>
      <c r="AB1201" t="s">
        <v>1273</v>
      </c>
      <c r="AC1201" t="s">
        <v>103</v>
      </c>
      <c r="AD1201" t="s">
        <v>38</v>
      </c>
      <c r="AE1201" t="s">
        <v>49</v>
      </c>
      <c r="AF1201" t="s">
        <v>50</v>
      </c>
      <c r="AG1201">
        <v>0</v>
      </c>
      <c r="AH1201">
        <v>0</v>
      </c>
      <c r="AI1201" t="s">
        <v>51</v>
      </c>
      <c r="AJ1201" t="s">
        <v>51</v>
      </c>
      <c r="AK1201" t="s">
        <v>51</v>
      </c>
    </row>
    <row r="1202" spans="1:37" x14ac:dyDescent="0.2">
      <c r="A1202">
        <v>60606</v>
      </c>
      <c r="B1202" t="s">
        <v>37</v>
      </c>
      <c r="C1202" t="s">
        <v>38</v>
      </c>
      <c r="D1202" t="s">
        <v>674</v>
      </c>
      <c r="E1202" t="s">
        <v>40</v>
      </c>
      <c r="G1202" s="4">
        <v>43947.508865740741</v>
      </c>
      <c r="H1202" s="4">
        <v>43947.509513888889</v>
      </c>
      <c r="I1202" t="s">
        <v>1205</v>
      </c>
      <c r="J1202" s="5">
        <v>55.99999999999999999999999999999999999999</v>
      </c>
      <c r="K1202" t="s">
        <v>38</v>
      </c>
      <c r="M1202">
        <v>60607</v>
      </c>
      <c r="N1202" t="s">
        <v>705</v>
      </c>
      <c r="O1202" t="s">
        <v>706</v>
      </c>
      <c r="P1202" t="s">
        <v>38</v>
      </c>
      <c r="Q1202" t="s">
        <v>300</v>
      </c>
      <c r="R1202">
        <v>10.00000000000000000000000000000000000002</v>
      </c>
      <c r="S1202" t="s">
        <v>45</v>
      </c>
      <c r="T120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2">
        <v>60608</v>
      </c>
      <c r="V1202" t="s">
        <v>38</v>
      </c>
      <c r="W1202" t="s">
        <v>300</v>
      </c>
      <c r="X1202">
        <v>10.00000000000000000000000000000000000002</v>
      </c>
      <c r="Y1202">
        <v>0</v>
      </c>
      <c r="Z1202" t="s">
        <v>46</v>
      </c>
      <c r="AA1202">
        <v>61648</v>
      </c>
      <c r="AB1202" t="s">
        <v>1274</v>
      </c>
      <c r="AC1202" t="s">
        <v>103</v>
      </c>
      <c r="AD1202" t="s">
        <v>38</v>
      </c>
      <c r="AE1202" t="s">
        <v>49</v>
      </c>
      <c r="AF1202" t="s">
        <v>50</v>
      </c>
      <c r="AG1202">
        <v>0</v>
      </c>
      <c r="AH1202">
        <v>0</v>
      </c>
      <c r="AI1202" t="s">
        <v>51</v>
      </c>
      <c r="AJ1202" t="s">
        <v>51</v>
      </c>
      <c r="AK1202" t="s">
        <v>51</v>
      </c>
    </row>
    <row r="1203" spans="1:37" x14ac:dyDescent="0.2">
      <c r="A1203">
        <v>60606</v>
      </c>
      <c r="B1203" t="s">
        <v>37</v>
      </c>
      <c r="C1203" t="s">
        <v>38</v>
      </c>
      <c r="D1203" t="s">
        <v>674</v>
      </c>
      <c r="E1203" t="s">
        <v>40</v>
      </c>
      <c r="G1203" s="4">
        <v>43947.508865740741</v>
      </c>
      <c r="H1203" s="4">
        <v>43947.509513888889</v>
      </c>
      <c r="I1203" t="s">
        <v>1205</v>
      </c>
      <c r="J1203" s="5">
        <v>55.99999999999999999999999999999999999999</v>
      </c>
      <c r="K1203" t="s">
        <v>38</v>
      </c>
      <c r="M1203">
        <v>60607</v>
      </c>
      <c r="N1203" t="s">
        <v>705</v>
      </c>
      <c r="O1203" t="s">
        <v>706</v>
      </c>
      <c r="P1203" t="s">
        <v>38</v>
      </c>
      <c r="Q1203" t="s">
        <v>300</v>
      </c>
      <c r="R1203">
        <v>10.00000000000000000000000000000000000002</v>
      </c>
      <c r="S1203" t="s">
        <v>45</v>
      </c>
      <c r="T120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3">
        <v>60608</v>
      </c>
      <c r="V1203" t="s">
        <v>38</v>
      </c>
      <c r="W1203" t="s">
        <v>300</v>
      </c>
      <c r="X1203">
        <v>10.00000000000000000000000000000000000002</v>
      </c>
      <c r="Y1203">
        <v>0</v>
      </c>
      <c r="Z1203" t="s">
        <v>46</v>
      </c>
      <c r="AA1203">
        <v>61647</v>
      </c>
      <c r="AB1203" t="s">
        <v>1275</v>
      </c>
      <c r="AC1203" t="s">
        <v>103</v>
      </c>
      <c r="AD1203" t="s">
        <v>38</v>
      </c>
      <c r="AE1203" t="s">
        <v>49</v>
      </c>
      <c r="AF1203" t="s">
        <v>50</v>
      </c>
      <c r="AG1203">
        <v>0</v>
      </c>
      <c r="AH1203">
        <v>0</v>
      </c>
      <c r="AI1203" t="s">
        <v>51</v>
      </c>
      <c r="AJ1203" t="s">
        <v>51</v>
      </c>
      <c r="AK1203" t="s">
        <v>51</v>
      </c>
    </row>
    <row r="1204" spans="1:37" x14ac:dyDescent="0.2">
      <c r="A1204">
        <v>60606</v>
      </c>
      <c r="B1204" t="s">
        <v>37</v>
      </c>
      <c r="C1204" t="s">
        <v>38</v>
      </c>
      <c r="D1204" t="s">
        <v>674</v>
      </c>
      <c r="E1204" t="s">
        <v>40</v>
      </c>
      <c r="G1204" s="4">
        <v>43947.508865740741</v>
      </c>
      <c r="H1204" s="4">
        <v>43947.509513888889</v>
      </c>
      <c r="I1204" t="s">
        <v>1205</v>
      </c>
      <c r="J1204" s="5">
        <v>55.99999999999999999999999999999999999999</v>
      </c>
      <c r="K1204" t="s">
        <v>38</v>
      </c>
      <c r="M1204">
        <v>60607</v>
      </c>
      <c r="N1204" t="s">
        <v>705</v>
      </c>
      <c r="O1204" t="s">
        <v>706</v>
      </c>
      <c r="P1204" t="s">
        <v>38</v>
      </c>
      <c r="Q1204" t="s">
        <v>300</v>
      </c>
      <c r="R1204">
        <v>10.00000000000000000000000000000000000002</v>
      </c>
      <c r="S1204" t="s">
        <v>45</v>
      </c>
      <c r="T120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4">
        <v>60608</v>
      </c>
      <c r="V1204" t="s">
        <v>38</v>
      </c>
      <c r="W1204" t="s">
        <v>300</v>
      </c>
      <c r="X1204">
        <v>10.00000000000000000000000000000000000002</v>
      </c>
      <c r="Y1204">
        <v>0</v>
      </c>
      <c r="Z1204" t="s">
        <v>46</v>
      </c>
      <c r="AA1204">
        <v>61646</v>
      </c>
      <c r="AB1204" t="s">
        <v>1276</v>
      </c>
      <c r="AC1204" t="s">
        <v>103</v>
      </c>
      <c r="AD1204" t="s">
        <v>38</v>
      </c>
      <c r="AE1204" t="s">
        <v>49</v>
      </c>
      <c r="AF1204" t="s">
        <v>50</v>
      </c>
      <c r="AG1204">
        <v>0</v>
      </c>
      <c r="AH1204">
        <v>0</v>
      </c>
      <c r="AI1204" t="s">
        <v>51</v>
      </c>
      <c r="AJ1204" t="s">
        <v>51</v>
      </c>
      <c r="AK1204" t="s">
        <v>51</v>
      </c>
    </row>
    <row r="1205" spans="1:37" x14ac:dyDescent="0.2">
      <c r="A1205">
        <v>60606</v>
      </c>
      <c r="B1205" t="s">
        <v>37</v>
      </c>
      <c r="C1205" t="s">
        <v>38</v>
      </c>
      <c r="D1205" t="s">
        <v>674</v>
      </c>
      <c r="E1205" t="s">
        <v>40</v>
      </c>
      <c r="G1205" s="4">
        <v>43947.508865740741</v>
      </c>
      <c r="H1205" s="4">
        <v>43947.509513888889</v>
      </c>
      <c r="I1205" t="s">
        <v>1205</v>
      </c>
      <c r="J1205" s="5">
        <v>55.99999999999999999999999999999999999999</v>
      </c>
      <c r="K1205" t="s">
        <v>38</v>
      </c>
      <c r="M1205">
        <v>60607</v>
      </c>
      <c r="N1205" t="s">
        <v>705</v>
      </c>
      <c r="O1205" t="s">
        <v>706</v>
      </c>
      <c r="P1205" t="s">
        <v>38</v>
      </c>
      <c r="Q1205" t="s">
        <v>300</v>
      </c>
      <c r="R1205">
        <v>10.00000000000000000000000000000000000002</v>
      </c>
      <c r="S1205" t="s">
        <v>45</v>
      </c>
      <c r="T120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5">
        <v>60608</v>
      </c>
      <c r="V1205" t="s">
        <v>38</v>
      </c>
      <c r="W1205" t="s">
        <v>300</v>
      </c>
      <c r="X1205">
        <v>10.00000000000000000000000000000000000002</v>
      </c>
      <c r="Y1205">
        <v>0</v>
      </c>
      <c r="Z1205" t="s">
        <v>46</v>
      </c>
      <c r="AA1205">
        <v>61645</v>
      </c>
      <c r="AB1205" t="s">
        <v>1277</v>
      </c>
      <c r="AC1205" t="s">
        <v>103</v>
      </c>
      <c r="AD1205" t="s">
        <v>38</v>
      </c>
      <c r="AE1205" t="s">
        <v>49</v>
      </c>
      <c r="AF1205" t="s">
        <v>50</v>
      </c>
      <c r="AG1205">
        <v>0</v>
      </c>
      <c r="AH1205">
        <v>0</v>
      </c>
      <c r="AI1205" t="s">
        <v>51</v>
      </c>
      <c r="AJ1205" t="s">
        <v>51</v>
      </c>
      <c r="AK1205" t="s">
        <v>51</v>
      </c>
    </row>
    <row r="1206" spans="1:37" x14ac:dyDescent="0.2">
      <c r="A1206">
        <v>60606</v>
      </c>
      <c r="B1206" t="s">
        <v>37</v>
      </c>
      <c r="C1206" t="s">
        <v>38</v>
      </c>
      <c r="D1206" t="s">
        <v>674</v>
      </c>
      <c r="E1206" t="s">
        <v>40</v>
      </c>
      <c r="G1206" s="4">
        <v>43947.508865740741</v>
      </c>
      <c r="H1206" s="4">
        <v>43947.509513888889</v>
      </c>
      <c r="I1206" t="s">
        <v>1205</v>
      </c>
      <c r="J1206" s="5">
        <v>55.99999999999999999999999999999999999999</v>
      </c>
      <c r="K1206" t="s">
        <v>38</v>
      </c>
      <c r="M1206">
        <v>60607</v>
      </c>
      <c r="N1206" t="s">
        <v>705</v>
      </c>
      <c r="O1206" t="s">
        <v>706</v>
      </c>
      <c r="P1206" t="s">
        <v>38</v>
      </c>
      <c r="Q1206" t="s">
        <v>300</v>
      </c>
      <c r="R1206">
        <v>10.00000000000000000000000000000000000002</v>
      </c>
      <c r="S1206" t="s">
        <v>45</v>
      </c>
      <c r="T120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6">
        <v>60608</v>
      </c>
      <c r="V1206" t="s">
        <v>38</v>
      </c>
      <c r="W1206" t="s">
        <v>300</v>
      </c>
      <c r="X1206">
        <v>10.00000000000000000000000000000000000002</v>
      </c>
      <c r="Y1206">
        <v>0</v>
      </c>
      <c r="Z1206" t="s">
        <v>46</v>
      </c>
      <c r="AA1206">
        <v>61644</v>
      </c>
      <c r="AB1206" t="s">
        <v>1278</v>
      </c>
      <c r="AC1206" t="s">
        <v>103</v>
      </c>
      <c r="AD1206" t="s">
        <v>38</v>
      </c>
      <c r="AE1206" t="s">
        <v>49</v>
      </c>
      <c r="AF1206" t="s">
        <v>50</v>
      </c>
      <c r="AG1206">
        <v>0</v>
      </c>
      <c r="AH1206">
        <v>0</v>
      </c>
      <c r="AI1206" t="s">
        <v>51</v>
      </c>
      <c r="AJ1206" t="s">
        <v>51</v>
      </c>
      <c r="AK1206" t="s">
        <v>51</v>
      </c>
    </row>
    <row r="1207" spans="1:37" x14ac:dyDescent="0.2">
      <c r="A1207">
        <v>60606</v>
      </c>
      <c r="B1207" t="s">
        <v>37</v>
      </c>
      <c r="C1207" t="s">
        <v>38</v>
      </c>
      <c r="D1207" t="s">
        <v>674</v>
      </c>
      <c r="E1207" t="s">
        <v>40</v>
      </c>
      <c r="G1207" s="4">
        <v>43947.508865740741</v>
      </c>
      <c r="H1207" s="4">
        <v>43947.509513888889</v>
      </c>
      <c r="I1207" t="s">
        <v>1205</v>
      </c>
      <c r="J1207" s="5">
        <v>55.99999999999999999999999999999999999999</v>
      </c>
      <c r="K1207" t="s">
        <v>38</v>
      </c>
      <c r="M1207">
        <v>60607</v>
      </c>
      <c r="N1207" t="s">
        <v>705</v>
      </c>
      <c r="O1207" t="s">
        <v>706</v>
      </c>
      <c r="P1207" t="s">
        <v>38</v>
      </c>
      <c r="Q1207" t="s">
        <v>300</v>
      </c>
      <c r="R1207">
        <v>10.00000000000000000000000000000000000002</v>
      </c>
      <c r="S1207" t="s">
        <v>45</v>
      </c>
      <c r="T120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7">
        <v>60608</v>
      </c>
      <c r="V1207" t="s">
        <v>38</v>
      </c>
      <c r="W1207" t="s">
        <v>300</v>
      </c>
      <c r="X1207">
        <v>10.00000000000000000000000000000000000002</v>
      </c>
      <c r="Y1207">
        <v>0</v>
      </c>
      <c r="Z1207" t="s">
        <v>46</v>
      </c>
      <c r="AA1207">
        <v>61643</v>
      </c>
      <c r="AB1207" t="s">
        <v>1279</v>
      </c>
      <c r="AC1207" t="s">
        <v>103</v>
      </c>
      <c r="AD1207" t="s">
        <v>38</v>
      </c>
      <c r="AE1207" t="s">
        <v>49</v>
      </c>
      <c r="AF1207" t="s">
        <v>50</v>
      </c>
      <c r="AG1207">
        <v>0</v>
      </c>
      <c r="AH1207">
        <v>0</v>
      </c>
      <c r="AI1207" t="s">
        <v>51</v>
      </c>
      <c r="AJ1207" t="s">
        <v>51</v>
      </c>
      <c r="AK1207" t="s">
        <v>51</v>
      </c>
    </row>
    <row r="1208" spans="1:37" x14ac:dyDescent="0.2">
      <c r="A1208">
        <v>60606</v>
      </c>
      <c r="B1208" t="s">
        <v>37</v>
      </c>
      <c r="C1208" t="s">
        <v>38</v>
      </c>
      <c r="D1208" t="s">
        <v>674</v>
      </c>
      <c r="E1208" t="s">
        <v>40</v>
      </c>
      <c r="G1208" s="4">
        <v>43947.508865740741</v>
      </c>
      <c r="H1208" s="4">
        <v>43947.509513888889</v>
      </c>
      <c r="I1208" t="s">
        <v>1205</v>
      </c>
      <c r="J1208" s="5">
        <v>55.99999999999999999999999999999999999999</v>
      </c>
      <c r="K1208" t="s">
        <v>38</v>
      </c>
      <c r="M1208">
        <v>60607</v>
      </c>
      <c r="N1208" t="s">
        <v>705</v>
      </c>
      <c r="O1208" t="s">
        <v>706</v>
      </c>
      <c r="P1208" t="s">
        <v>38</v>
      </c>
      <c r="Q1208" t="s">
        <v>300</v>
      </c>
      <c r="R1208">
        <v>10.00000000000000000000000000000000000002</v>
      </c>
      <c r="S1208" t="s">
        <v>45</v>
      </c>
      <c r="T120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8">
        <v>60608</v>
      </c>
      <c r="V1208" t="s">
        <v>38</v>
      </c>
      <c r="W1208" t="s">
        <v>300</v>
      </c>
      <c r="X1208">
        <v>10.00000000000000000000000000000000000002</v>
      </c>
      <c r="Y1208">
        <v>0</v>
      </c>
      <c r="Z1208" t="s">
        <v>46</v>
      </c>
      <c r="AA1208">
        <v>61642</v>
      </c>
      <c r="AB1208" t="s">
        <v>1280</v>
      </c>
      <c r="AC1208" t="s">
        <v>103</v>
      </c>
      <c r="AD1208" t="s">
        <v>38</v>
      </c>
      <c r="AE1208" t="s">
        <v>49</v>
      </c>
      <c r="AF1208" t="s">
        <v>50</v>
      </c>
      <c r="AG1208">
        <v>0</v>
      </c>
      <c r="AH1208">
        <v>0</v>
      </c>
      <c r="AI1208" t="s">
        <v>51</v>
      </c>
      <c r="AJ1208" t="s">
        <v>51</v>
      </c>
      <c r="AK1208" t="s">
        <v>51</v>
      </c>
    </row>
    <row r="1209" spans="1:37" x14ac:dyDescent="0.2">
      <c r="A1209">
        <v>60606</v>
      </c>
      <c r="B1209" t="s">
        <v>37</v>
      </c>
      <c r="C1209" t="s">
        <v>38</v>
      </c>
      <c r="D1209" t="s">
        <v>674</v>
      </c>
      <c r="E1209" t="s">
        <v>40</v>
      </c>
      <c r="G1209" s="4">
        <v>43947.508865740741</v>
      </c>
      <c r="H1209" s="4">
        <v>43947.509513888889</v>
      </c>
      <c r="I1209" t="s">
        <v>1205</v>
      </c>
      <c r="J1209" s="5">
        <v>55.99999999999999999999999999999999999999</v>
      </c>
      <c r="K1209" t="s">
        <v>38</v>
      </c>
      <c r="M1209">
        <v>60607</v>
      </c>
      <c r="N1209" t="s">
        <v>705</v>
      </c>
      <c r="O1209" t="s">
        <v>706</v>
      </c>
      <c r="P1209" t="s">
        <v>38</v>
      </c>
      <c r="Q1209" t="s">
        <v>300</v>
      </c>
      <c r="R1209">
        <v>10.00000000000000000000000000000000000002</v>
      </c>
      <c r="S1209" t="s">
        <v>45</v>
      </c>
      <c r="T120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09">
        <v>60608</v>
      </c>
      <c r="V1209" t="s">
        <v>38</v>
      </c>
      <c r="W1209" t="s">
        <v>300</v>
      </c>
      <c r="X1209">
        <v>10.00000000000000000000000000000000000002</v>
      </c>
      <c r="Y1209">
        <v>0</v>
      </c>
      <c r="Z1209" t="s">
        <v>46</v>
      </c>
      <c r="AA1209">
        <v>61641</v>
      </c>
      <c r="AB1209" t="s">
        <v>1281</v>
      </c>
      <c r="AC1209" t="s">
        <v>103</v>
      </c>
      <c r="AD1209" t="s">
        <v>38</v>
      </c>
      <c r="AE1209" t="s">
        <v>49</v>
      </c>
      <c r="AF1209" t="s">
        <v>50</v>
      </c>
      <c r="AG1209">
        <v>0</v>
      </c>
      <c r="AH1209">
        <v>0</v>
      </c>
      <c r="AI1209" t="s">
        <v>51</v>
      </c>
      <c r="AJ1209" t="s">
        <v>51</v>
      </c>
      <c r="AK1209" t="s">
        <v>51</v>
      </c>
    </row>
    <row r="1210" spans="1:37" x14ac:dyDescent="0.2">
      <c r="A1210">
        <v>60606</v>
      </c>
      <c r="B1210" t="s">
        <v>37</v>
      </c>
      <c r="C1210" t="s">
        <v>38</v>
      </c>
      <c r="D1210" t="s">
        <v>674</v>
      </c>
      <c r="E1210" t="s">
        <v>40</v>
      </c>
      <c r="G1210" s="4">
        <v>43947.508865740741</v>
      </c>
      <c r="H1210" s="4">
        <v>43947.509513888889</v>
      </c>
      <c r="I1210" t="s">
        <v>1205</v>
      </c>
      <c r="J1210" s="5">
        <v>55.99999999999999999999999999999999999999</v>
      </c>
      <c r="K1210" t="s">
        <v>38</v>
      </c>
      <c r="M1210">
        <v>60607</v>
      </c>
      <c r="N1210" t="s">
        <v>705</v>
      </c>
      <c r="O1210" t="s">
        <v>706</v>
      </c>
      <c r="P1210" t="s">
        <v>38</v>
      </c>
      <c r="Q1210" t="s">
        <v>300</v>
      </c>
      <c r="R1210">
        <v>10.00000000000000000000000000000000000002</v>
      </c>
      <c r="S1210" t="s">
        <v>45</v>
      </c>
      <c r="T121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0">
        <v>60608</v>
      </c>
      <c r="V1210" t="s">
        <v>38</v>
      </c>
      <c r="W1210" t="s">
        <v>300</v>
      </c>
      <c r="X1210">
        <v>10.00000000000000000000000000000000000002</v>
      </c>
      <c r="Y1210">
        <v>0</v>
      </c>
      <c r="Z1210" t="s">
        <v>46</v>
      </c>
      <c r="AA1210">
        <v>61640</v>
      </c>
      <c r="AB1210" t="s">
        <v>1282</v>
      </c>
      <c r="AC1210" t="s">
        <v>103</v>
      </c>
      <c r="AD1210" t="s">
        <v>38</v>
      </c>
      <c r="AE1210" t="s">
        <v>49</v>
      </c>
      <c r="AF1210" t="s">
        <v>50</v>
      </c>
      <c r="AG1210">
        <v>0</v>
      </c>
      <c r="AH1210">
        <v>0</v>
      </c>
      <c r="AI1210" t="s">
        <v>51</v>
      </c>
      <c r="AJ1210" t="s">
        <v>51</v>
      </c>
      <c r="AK1210" t="s">
        <v>51</v>
      </c>
    </row>
    <row r="1211" spans="1:37" x14ac:dyDescent="0.2">
      <c r="A1211">
        <v>60606</v>
      </c>
      <c r="B1211" t="s">
        <v>37</v>
      </c>
      <c r="C1211" t="s">
        <v>38</v>
      </c>
      <c r="D1211" t="s">
        <v>674</v>
      </c>
      <c r="E1211" t="s">
        <v>40</v>
      </c>
      <c r="G1211" s="4">
        <v>43947.508865740741</v>
      </c>
      <c r="H1211" s="4">
        <v>43947.509513888889</v>
      </c>
      <c r="I1211" t="s">
        <v>1205</v>
      </c>
      <c r="J1211" s="5">
        <v>55.99999999999999999999999999999999999999</v>
      </c>
      <c r="K1211" t="s">
        <v>38</v>
      </c>
      <c r="M1211">
        <v>60607</v>
      </c>
      <c r="N1211" t="s">
        <v>705</v>
      </c>
      <c r="O1211" t="s">
        <v>706</v>
      </c>
      <c r="P1211" t="s">
        <v>38</v>
      </c>
      <c r="Q1211" t="s">
        <v>300</v>
      </c>
      <c r="R1211">
        <v>10.00000000000000000000000000000000000002</v>
      </c>
      <c r="S1211" t="s">
        <v>45</v>
      </c>
      <c r="T121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1">
        <v>60608</v>
      </c>
      <c r="V1211" t="s">
        <v>38</v>
      </c>
      <c r="W1211" t="s">
        <v>300</v>
      </c>
      <c r="X1211">
        <v>10.00000000000000000000000000000000000002</v>
      </c>
      <c r="Y1211">
        <v>0</v>
      </c>
      <c r="Z1211" t="s">
        <v>46</v>
      </c>
      <c r="AA1211">
        <v>61639</v>
      </c>
      <c r="AB1211" t="s">
        <v>1283</v>
      </c>
      <c r="AC1211" t="s">
        <v>103</v>
      </c>
      <c r="AD1211" t="s">
        <v>38</v>
      </c>
      <c r="AE1211" t="s">
        <v>49</v>
      </c>
      <c r="AF1211" t="s">
        <v>50</v>
      </c>
      <c r="AG1211">
        <v>0</v>
      </c>
      <c r="AH1211">
        <v>0</v>
      </c>
      <c r="AI1211" t="s">
        <v>51</v>
      </c>
      <c r="AJ1211" t="s">
        <v>51</v>
      </c>
      <c r="AK1211" t="s">
        <v>51</v>
      </c>
    </row>
    <row r="1212" spans="1:37" x14ac:dyDescent="0.2">
      <c r="A1212">
        <v>60606</v>
      </c>
      <c r="B1212" t="s">
        <v>37</v>
      </c>
      <c r="C1212" t="s">
        <v>38</v>
      </c>
      <c r="D1212" t="s">
        <v>674</v>
      </c>
      <c r="E1212" t="s">
        <v>40</v>
      </c>
      <c r="G1212" s="4">
        <v>43947.508865740741</v>
      </c>
      <c r="H1212" s="4">
        <v>43947.509513888889</v>
      </c>
      <c r="I1212" t="s">
        <v>1205</v>
      </c>
      <c r="J1212" s="5">
        <v>55.99999999999999999999999999999999999999</v>
      </c>
      <c r="K1212" t="s">
        <v>38</v>
      </c>
      <c r="M1212">
        <v>60607</v>
      </c>
      <c r="N1212" t="s">
        <v>705</v>
      </c>
      <c r="O1212" t="s">
        <v>706</v>
      </c>
      <c r="P1212" t="s">
        <v>38</v>
      </c>
      <c r="Q1212" t="s">
        <v>300</v>
      </c>
      <c r="R1212">
        <v>10.00000000000000000000000000000000000002</v>
      </c>
      <c r="S1212" t="s">
        <v>45</v>
      </c>
      <c r="T121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2">
        <v>60608</v>
      </c>
      <c r="V1212" t="s">
        <v>38</v>
      </c>
      <c r="W1212" t="s">
        <v>300</v>
      </c>
      <c r="X1212">
        <v>10.00000000000000000000000000000000000002</v>
      </c>
      <c r="Y1212">
        <v>0</v>
      </c>
      <c r="Z1212" t="s">
        <v>46</v>
      </c>
      <c r="AA1212">
        <v>61638</v>
      </c>
      <c r="AB1212" t="s">
        <v>1284</v>
      </c>
      <c r="AC1212" t="s">
        <v>103</v>
      </c>
      <c r="AD1212" t="s">
        <v>38</v>
      </c>
      <c r="AE1212" t="s">
        <v>49</v>
      </c>
      <c r="AF1212" t="s">
        <v>50</v>
      </c>
      <c r="AG1212">
        <v>0</v>
      </c>
      <c r="AH1212">
        <v>0</v>
      </c>
      <c r="AI1212" t="s">
        <v>51</v>
      </c>
      <c r="AJ1212" t="s">
        <v>51</v>
      </c>
      <c r="AK1212" t="s">
        <v>51</v>
      </c>
    </row>
    <row r="1213" spans="1:37" x14ac:dyDescent="0.2">
      <c r="A1213">
        <v>60606</v>
      </c>
      <c r="B1213" t="s">
        <v>37</v>
      </c>
      <c r="C1213" t="s">
        <v>38</v>
      </c>
      <c r="D1213" t="s">
        <v>674</v>
      </c>
      <c r="E1213" t="s">
        <v>40</v>
      </c>
      <c r="G1213" s="4">
        <v>43947.508865740741</v>
      </c>
      <c r="H1213" s="4">
        <v>43947.509513888889</v>
      </c>
      <c r="I1213" t="s">
        <v>1205</v>
      </c>
      <c r="J1213" s="5">
        <v>55.99999999999999999999999999999999999999</v>
      </c>
      <c r="K1213" t="s">
        <v>38</v>
      </c>
      <c r="M1213">
        <v>60607</v>
      </c>
      <c r="N1213" t="s">
        <v>705</v>
      </c>
      <c r="O1213" t="s">
        <v>706</v>
      </c>
      <c r="P1213" t="s">
        <v>38</v>
      </c>
      <c r="Q1213" t="s">
        <v>300</v>
      </c>
      <c r="R1213">
        <v>10.00000000000000000000000000000000000002</v>
      </c>
      <c r="S1213" t="s">
        <v>45</v>
      </c>
      <c r="T121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3">
        <v>60608</v>
      </c>
      <c r="V1213" t="s">
        <v>38</v>
      </c>
      <c r="W1213" t="s">
        <v>300</v>
      </c>
      <c r="X1213">
        <v>10.00000000000000000000000000000000000002</v>
      </c>
      <c r="Y1213">
        <v>0</v>
      </c>
      <c r="Z1213" t="s">
        <v>46</v>
      </c>
      <c r="AA1213">
        <v>61637</v>
      </c>
      <c r="AB1213" t="s">
        <v>1285</v>
      </c>
      <c r="AC1213" t="s">
        <v>103</v>
      </c>
      <c r="AD1213" t="s">
        <v>38</v>
      </c>
      <c r="AE1213" t="s">
        <v>49</v>
      </c>
      <c r="AF1213" t="s">
        <v>50</v>
      </c>
      <c r="AG1213">
        <v>0</v>
      </c>
      <c r="AH1213">
        <v>0</v>
      </c>
      <c r="AI1213" t="s">
        <v>51</v>
      </c>
      <c r="AJ1213" t="s">
        <v>51</v>
      </c>
      <c r="AK1213" t="s">
        <v>51</v>
      </c>
    </row>
    <row r="1214" spans="1:37" x14ac:dyDescent="0.2">
      <c r="A1214">
        <v>60606</v>
      </c>
      <c r="B1214" t="s">
        <v>37</v>
      </c>
      <c r="C1214" t="s">
        <v>38</v>
      </c>
      <c r="D1214" t="s">
        <v>674</v>
      </c>
      <c r="E1214" t="s">
        <v>40</v>
      </c>
      <c r="G1214" s="4">
        <v>43947.508865740741</v>
      </c>
      <c r="H1214" s="4">
        <v>43947.509513888889</v>
      </c>
      <c r="I1214" t="s">
        <v>1205</v>
      </c>
      <c r="J1214" s="5">
        <v>55.99999999999999999999999999999999999999</v>
      </c>
      <c r="K1214" t="s">
        <v>38</v>
      </c>
      <c r="M1214">
        <v>60607</v>
      </c>
      <c r="N1214" t="s">
        <v>705</v>
      </c>
      <c r="O1214" t="s">
        <v>706</v>
      </c>
      <c r="P1214" t="s">
        <v>38</v>
      </c>
      <c r="Q1214" t="s">
        <v>300</v>
      </c>
      <c r="R1214">
        <v>10.00000000000000000000000000000000000002</v>
      </c>
      <c r="S1214" t="s">
        <v>45</v>
      </c>
      <c r="T121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4">
        <v>60608</v>
      </c>
      <c r="V1214" t="s">
        <v>38</v>
      </c>
      <c r="W1214" t="s">
        <v>300</v>
      </c>
      <c r="X1214">
        <v>10.00000000000000000000000000000000000002</v>
      </c>
      <c r="Y1214">
        <v>0</v>
      </c>
      <c r="Z1214" t="s">
        <v>46</v>
      </c>
      <c r="AA1214">
        <v>61636</v>
      </c>
      <c r="AB1214" t="s">
        <v>1286</v>
      </c>
      <c r="AC1214" t="s">
        <v>103</v>
      </c>
      <c r="AD1214" t="s">
        <v>38</v>
      </c>
      <c r="AE1214" t="s">
        <v>49</v>
      </c>
      <c r="AF1214" t="s">
        <v>50</v>
      </c>
      <c r="AG1214">
        <v>0</v>
      </c>
      <c r="AH1214">
        <v>0</v>
      </c>
      <c r="AI1214" t="s">
        <v>51</v>
      </c>
      <c r="AJ1214" t="s">
        <v>51</v>
      </c>
      <c r="AK1214" t="s">
        <v>51</v>
      </c>
    </row>
    <row r="1215" spans="1:37" x14ac:dyDescent="0.2">
      <c r="A1215">
        <v>60606</v>
      </c>
      <c r="B1215" t="s">
        <v>37</v>
      </c>
      <c r="C1215" t="s">
        <v>38</v>
      </c>
      <c r="D1215" t="s">
        <v>674</v>
      </c>
      <c r="E1215" t="s">
        <v>40</v>
      </c>
      <c r="G1215" s="4">
        <v>43947.508865740741</v>
      </c>
      <c r="H1215" s="4">
        <v>43947.509513888889</v>
      </c>
      <c r="I1215" t="s">
        <v>1205</v>
      </c>
      <c r="J1215" s="5">
        <v>55.99999999999999999999999999999999999999</v>
      </c>
      <c r="K1215" t="s">
        <v>38</v>
      </c>
      <c r="M1215">
        <v>60607</v>
      </c>
      <c r="N1215" t="s">
        <v>705</v>
      </c>
      <c r="O1215" t="s">
        <v>706</v>
      </c>
      <c r="P1215" t="s">
        <v>38</v>
      </c>
      <c r="Q1215" t="s">
        <v>300</v>
      </c>
      <c r="R1215">
        <v>10.00000000000000000000000000000000000002</v>
      </c>
      <c r="S1215" t="s">
        <v>45</v>
      </c>
      <c r="T121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5">
        <v>60608</v>
      </c>
      <c r="V1215" t="s">
        <v>38</v>
      </c>
      <c r="W1215" t="s">
        <v>300</v>
      </c>
      <c r="X1215">
        <v>10.00000000000000000000000000000000000002</v>
      </c>
      <c r="Y1215">
        <v>0</v>
      </c>
      <c r="Z1215" t="s">
        <v>46</v>
      </c>
      <c r="AA1215">
        <v>61635</v>
      </c>
      <c r="AB1215" t="s">
        <v>1287</v>
      </c>
      <c r="AC1215" t="s">
        <v>103</v>
      </c>
      <c r="AD1215" t="s">
        <v>38</v>
      </c>
      <c r="AE1215" t="s">
        <v>49</v>
      </c>
      <c r="AF1215" t="s">
        <v>50</v>
      </c>
      <c r="AG1215">
        <v>0</v>
      </c>
      <c r="AH1215">
        <v>0</v>
      </c>
      <c r="AI1215" t="s">
        <v>51</v>
      </c>
      <c r="AJ1215" t="s">
        <v>51</v>
      </c>
      <c r="AK1215" t="s">
        <v>51</v>
      </c>
    </row>
    <row r="1216" spans="1:37" x14ac:dyDescent="0.2">
      <c r="A1216">
        <v>60606</v>
      </c>
      <c r="B1216" t="s">
        <v>37</v>
      </c>
      <c r="C1216" t="s">
        <v>38</v>
      </c>
      <c r="D1216" t="s">
        <v>674</v>
      </c>
      <c r="E1216" t="s">
        <v>40</v>
      </c>
      <c r="G1216" s="4">
        <v>43947.508865740741</v>
      </c>
      <c r="H1216" s="4">
        <v>43947.509513888889</v>
      </c>
      <c r="I1216" t="s">
        <v>1205</v>
      </c>
      <c r="J1216" s="5">
        <v>55.99999999999999999999999999999999999999</v>
      </c>
      <c r="K1216" t="s">
        <v>38</v>
      </c>
      <c r="M1216">
        <v>60607</v>
      </c>
      <c r="N1216" t="s">
        <v>705</v>
      </c>
      <c r="O1216" t="s">
        <v>706</v>
      </c>
      <c r="P1216" t="s">
        <v>38</v>
      </c>
      <c r="Q1216" t="s">
        <v>300</v>
      </c>
      <c r="R1216">
        <v>10.00000000000000000000000000000000000002</v>
      </c>
      <c r="S1216" t="s">
        <v>45</v>
      </c>
      <c r="T121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6">
        <v>60608</v>
      </c>
      <c r="V1216" t="s">
        <v>38</v>
      </c>
      <c r="W1216" t="s">
        <v>300</v>
      </c>
      <c r="X1216">
        <v>10.00000000000000000000000000000000000002</v>
      </c>
      <c r="Y1216">
        <v>0</v>
      </c>
      <c r="Z1216" t="s">
        <v>46</v>
      </c>
      <c r="AA1216">
        <v>61634</v>
      </c>
      <c r="AB1216" t="s">
        <v>1288</v>
      </c>
      <c r="AC1216" t="s">
        <v>103</v>
      </c>
      <c r="AD1216" t="s">
        <v>38</v>
      </c>
      <c r="AE1216" t="s">
        <v>49</v>
      </c>
      <c r="AF1216" t="s">
        <v>50</v>
      </c>
      <c r="AG1216">
        <v>0</v>
      </c>
      <c r="AH1216">
        <v>0</v>
      </c>
      <c r="AI1216" t="s">
        <v>51</v>
      </c>
      <c r="AJ1216" t="s">
        <v>51</v>
      </c>
      <c r="AK1216" t="s">
        <v>51</v>
      </c>
    </row>
    <row r="1217" spans="1:37" x14ac:dyDescent="0.2">
      <c r="A1217">
        <v>60606</v>
      </c>
      <c r="B1217" t="s">
        <v>37</v>
      </c>
      <c r="C1217" t="s">
        <v>38</v>
      </c>
      <c r="D1217" t="s">
        <v>674</v>
      </c>
      <c r="E1217" t="s">
        <v>40</v>
      </c>
      <c r="G1217" s="4">
        <v>43947.508865740741</v>
      </c>
      <c r="H1217" s="4">
        <v>43947.509513888889</v>
      </c>
      <c r="I1217" t="s">
        <v>1205</v>
      </c>
      <c r="J1217" s="5">
        <v>55.99999999999999999999999999999999999999</v>
      </c>
      <c r="K1217" t="s">
        <v>38</v>
      </c>
      <c r="M1217">
        <v>60607</v>
      </c>
      <c r="N1217" t="s">
        <v>705</v>
      </c>
      <c r="O1217" t="s">
        <v>706</v>
      </c>
      <c r="P1217" t="s">
        <v>38</v>
      </c>
      <c r="Q1217" t="s">
        <v>300</v>
      </c>
      <c r="R1217">
        <v>10.00000000000000000000000000000000000002</v>
      </c>
      <c r="S1217" t="s">
        <v>45</v>
      </c>
      <c r="T121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7">
        <v>60608</v>
      </c>
      <c r="V1217" t="s">
        <v>38</v>
      </c>
      <c r="W1217" t="s">
        <v>300</v>
      </c>
      <c r="X1217">
        <v>10.00000000000000000000000000000000000002</v>
      </c>
      <c r="Y1217">
        <v>0</v>
      </c>
      <c r="Z1217" t="s">
        <v>46</v>
      </c>
      <c r="AA1217">
        <v>61633</v>
      </c>
      <c r="AB1217" t="s">
        <v>1289</v>
      </c>
      <c r="AC1217" t="s">
        <v>103</v>
      </c>
      <c r="AD1217" t="s">
        <v>38</v>
      </c>
      <c r="AE1217" t="s">
        <v>49</v>
      </c>
      <c r="AF1217" t="s">
        <v>50</v>
      </c>
      <c r="AG1217">
        <v>0</v>
      </c>
      <c r="AH1217">
        <v>0</v>
      </c>
      <c r="AI1217" t="s">
        <v>51</v>
      </c>
      <c r="AJ1217" t="s">
        <v>51</v>
      </c>
      <c r="AK1217" t="s">
        <v>51</v>
      </c>
    </row>
    <row r="1218" spans="1:37" x14ac:dyDescent="0.2">
      <c r="A1218">
        <v>60606</v>
      </c>
      <c r="B1218" t="s">
        <v>37</v>
      </c>
      <c r="C1218" t="s">
        <v>38</v>
      </c>
      <c r="D1218" t="s">
        <v>674</v>
      </c>
      <c r="E1218" t="s">
        <v>40</v>
      </c>
      <c r="G1218" s="4">
        <v>43947.508865740741</v>
      </c>
      <c r="H1218" s="4">
        <v>43947.509513888889</v>
      </c>
      <c r="I1218" t="s">
        <v>1205</v>
      </c>
      <c r="J1218" s="5">
        <v>55.99999999999999999999999999999999999999</v>
      </c>
      <c r="K1218" t="s">
        <v>38</v>
      </c>
      <c r="M1218">
        <v>60607</v>
      </c>
      <c r="N1218" t="s">
        <v>705</v>
      </c>
      <c r="O1218" t="s">
        <v>706</v>
      </c>
      <c r="P1218" t="s">
        <v>38</v>
      </c>
      <c r="Q1218" t="s">
        <v>300</v>
      </c>
      <c r="R1218">
        <v>10.00000000000000000000000000000000000002</v>
      </c>
      <c r="S1218" t="s">
        <v>45</v>
      </c>
      <c r="T121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8">
        <v>60608</v>
      </c>
      <c r="V1218" t="s">
        <v>38</v>
      </c>
      <c r="W1218" t="s">
        <v>300</v>
      </c>
      <c r="X1218">
        <v>10.00000000000000000000000000000000000002</v>
      </c>
      <c r="Y1218">
        <v>0</v>
      </c>
      <c r="Z1218" t="s">
        <v>46</v>
      </c>
      <c r="AA1218">
        <v>61632</v>
      </c>
      <c r="AB1218" t="s">
        <v>1290</v>
      </c>
      <c r="AC1218" t="s">
        <v>103</v>
      </c>
      <c r="AD1218" t="s">
        <v>38</v>
      </c>
      <c r="AE1218" t="s">
        <v>49</v>
      </c>
      <c r="AF1218" t="s">
        <v>50</v>
      </c>
      <c r="AG1218">
        <v>0</v>
      </c>
      <c r="AH1218">
        <v>0</v>
      </c>
      <c r="AI1218" t="s">
        <v>51</v>
      </c>
      <c r="AJ1218" t="s">
        <v>51</v>
      </c>
      <c r="AK1218" t="s">
        <v>51</v>
      </c>
    </row>
    <row r="1219" spans="1:37" x14ac:dyDescent="0.2">
      <c r="A1219">
        <v>60606</v>
      </c>
      <c r="B1219" t="s">
        <v>37</v>
      </c>
      <c r="C1219" t="s">
        <v>38</v>
      </c>
      <c r="D1219" t="s">
        <v>674</v>
      </c>
      <c r="E1219" t="s">
        <v>40</v>
      </c>
      <c r="G1219" s="4">
        <v>43947.508865740741</v>
      </c>
      <c r="H1219" s="4">
        <v>43947.509513888889</v>
      </c>
      <c r="I1219" t="s">
        <v>1205</v>
      </c>
      <c r="J1219" s="5">
        <v>55.99999999999999999999999999999999999999</v>
      </c>
      <c r="K1219" t="s">
        <v>38</v>
      </c>
      <c r="M1219">
        <v>60607</v>
      </c>
      <c r="N1219" t="s">
        <v>705</v>
      </c>
      <c r="O1219" t="s">
        <v>706</v>
      </c>
      <c r="P1219" t="s">
        <v>38</v>
      </c>
      <c r="Q1219" t="s">
        <v>300</v>
      </c>
      <c r="R1219">
        <v>10.00000000000000000000000000000000000002</v>
      </c>
      <c r="S1219" t="s">
        <v>45</v>
      </c>
      <c r="T121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19">
        <v>60608</v>
      </c>
      <c r="V1219" t="s">
        <v>38</v>
      </c>
      <c r="W1219" t="s">
        <v>300</v>
      </c>
      <c r="X1219">
        <v>10.00000000000000000000000000000000000002</v>
      </c>
      <c r="Y1219">
        <v>0</v>
      </c>
      <c r="Z1219" t="s">
        <v>46</v>
      </c>
      <c r="AA1219">
        <v>61631</v>
      </c>
      <c r="AB1219" t="s">
        <v>1291</v>
      </c>
      <c r="AC1219" t="s">
        <v>103</v>
      </c>
      <c r="AD1219" t="s">
        <v>38</v>
      </c>
      <c r="AE1219" t="s">
        <v>49</v>
      </c>
      <c r="AF1219" t="s">
        <v>50</v>
      </c>
      <c r="AG1219">
        <v>0</v>
      </c>
      <c r="AH1219">
        <v>0</v>
      </c>
      <c r="AI1219" t="s">
        <v>51</v>
      </c>
      <c r="AJ1219" t="s">
        <v>51</v>
      </c>
      <c r="AK1219" t="s">
        <v>51</v>
      </c>
    </row>
    <row r="1220" spans="1:37" x14ac:dyDescent="0.2">
      <c r="A1220">
        <v>60606</v>
      </c>
      <c r="B1220" t="s">
        <v>37</v>
      </c>
      <c r="C1220" t="s">
        <v>38</v>
      </c>
      <c r="D1220" t="s">
        <v>674</v>
      </c>
      <c r="E1220" t="s">
        <v>40</v>
      </c>
      <c r="G1220" s="4">
        <v>43947.508865740741</v>
      </c>
      <c r="H1220" s="4">
        <v>43947.509513888889</v>
      </c>
      <c r="I1220" t="s">
        <v>1205</v>
      </c>
      <c r="J1220" s="5">
        <v>55.99999999999999999999999999999999999999</v>
      </c>
      <c r="K1220" t="s">
        <v>38</v>
      </c>
      <c r="M1220">
        <v>60607</v>
      </c>
      <c r="N1220" t="s">
        <v>705</v>
      </c>
      <c r="O1220" t="s">
        <v>706</v>
      </c>
      <c r="P1220" t="s">
        <v>38</v>
      </c>
      <c r="Q1220" t="s">
        <v>300</v>
      </c>
      <c r="R1220">
        <v>10.00000000000000000000000000000000000002</v>
      </c>
      <c r="S1220" t="s">
        <v>45</v>
      </c>
      <c r="T122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0">
        <v>60608</v>
      </c>
      <c r="V1220" t="s">
        <v>38</v>
      </c>
      <c r="W1220" t="s">
        <v>300</v>
      </c>
      <c r="X1220">
        <v>10.00000000000000000000000000000000000002</v>
      </c>
      <c r="Y1220">
        <v>0</v>
      </c>
      <c r="Z1220" t="s">
        <v>46</v>
      </c>
      <c r="AA1220">
        <v>61630</v>
      </c>
      <c r="AB1220" t="s">
        <v>1292</v>
      </c>
      <c r="AC1220" t="s">
        <v>103</v>
      </c>
      <c r="AD1220" t="s">
        <v>38</v>
      </c>
      <c r="AE1220" t="s">
        <v>49</v>
      </c>
      <c r="AF1220" t="s">
        <v>50</v>
      </c>
      <c r="AG1220">
        <v>0</v>
      </c>
      <c r="AH1220">
        <v>0</v>
      </c>
      <c r="AI1220" t="s">
        <v>51</v>
      </c>
      <c r="AJ1220" t="s">
        <v>51</v>
      </c>
      <c r="AK1220" t="s">
        <v>51</v>
      </c>
    </row>
    <row r="1221" spans="1:37" x14ac:dyDescent="0.2">
      <c r="A1221">
        <v>60606</v>
      </c>
      <c r="B1221" t="s">
        <v>37</v>
      </c>
      <c r="C1221" t="s">
        <v>38</v>
      </c>
      <c r="D1221" t="s">
        <v>674</v>
      </c>
      <c r="E1221" t="s">
        <v>40</v>
      </c>
      <c r="G1221" s="4">
        <v>43947.508865740741</v>
      </c>
      <c r="H1221" s="4">
        <v>43947.509513888889</v>
      </c>
      <c r="I1221" t="s">
        <v>1205</v>
      </c>
      <c r="J1221" s="5">
        <v>55.99999999999999999999999999999999999999</v>
      </c>
      <c r="K1221" t="s">
        <v>38</v>
      </c>
      <c r="M1221">
        <v>60607</v>
      </c>
      <c r="N1221" t="s">
        <v>705</v>
      </c>
      <c r="O1221" t="s">
        <v>706</v>
      </c>
      <c r="P1221" t="s">
        <v>38</v>
      </c>
      <c r="Q1221" t="s">
        <v>300</v>
      </c>
      <c r="R1221">
        <v>10.00000000000000000000000000000000000002</v>
      </c>
      <c r="S1221" t="s">
        <v>45</v>
      </c>
      <c r="T122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1">
        <v>60608</v>
      </c>
      <c r="V1221" t="s">
        <v>38</v>
      </c>
      <c r="W1221" t="s">
        <v>300</v>
      </c>
      <c r="X1221">
        <v>10.00000000000000000000000000000000000002</v>
      </c>
      <c r="Y1221">
        <v>0</v>
      </c>
      <c r="Z1221" t="s">
        <v>46</v>
      </c>
      <c r="AA1221">
        <v>61629</v>
      </c>
      <c r="AB1221" t="s">
        <v>1293</v>
      </c>
      <c r="AC1221" t="s">
        <v>103</v>
      </c>
      <c r="AD1221" t="s">
        <v>38</v>
      </c>
      <c r="AE1221" t="s">
        <v>49</v>
      </c>
      <c r="AF1221" t="s">
        <v>50</v>
      </c>
      <c r="AG1221">
        <v>0</v>
      </c>
      <c r="AH1221">
        <v>0</v>
      </c>
      <c r="AI1221" t="s">
        <v>51</v>
      </c>
      <c r="AJ1221" t="s">
        <v>51</v>
      </c>
      <c r="AK1221" t="s">
        <v>51</v>
      </c>
    </row>
    <row r="1222" spans="1:37" x14ac:dyDescent="0.2">
      <c r="A1222">
        <v>60606</v>
      </c>
      <c r="B1222" t="s">
        <v>37</v>
      </c>
      <c r="C1222" t="s">
        <v>38</v>
      </c>
      <c r="D1222" t="s">
        <v>674</v>
      </c>
      <c r="E1222" t="s">
        <v>40</v>
      </c>
      <c r="G1222" s="4">
        <v>43947.508865740741</v>
      </c>
      <c r="H1222" s="4">
        <v>43947.509513888889</v>
      </c>
      <c r="I1222" t="s">
        <v>1205</v>
      </c>
      <c r="J1222" s="5">
        <v>55.99999999999999999999999999999999999999</v>
      </c>
      <c r="K1222" t="s">
        <v>38</v>
      </c>
      <c r="M1222">
        <v>60607</v>
      </c>
      <c r="N1222" t="s">
        <v>705</v>
      </c>
      <c r="O1222" t="s">
        <v>706</v>
      </c>
      <c r="P1222" t="s">
        <v>38</v>
      </c>
      <c r="Q1222" t="s">
        <v>300</v>
      </c>
      <c r="R1222">
        <v>10.00000000000000000000000000000000000002</v>
      </c>
      <c r="S1222" t="s">
        <v>45</v>
      </c>
      <c r="T122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2">
        <v>60608</v>
      </c>
      <c r="V1222" t="s">
        <v>38</v>
      </c>
      <c r="W1222" t="s">
        <v>300</v>
      </c>
      <c r="X1222">
        <v>10.00000000000000000000000000000000000002</v>
      </c>
      <c r="Y1222">
        <v>0</v>
      </c>
      <c r="Z1222" t="s">
        <v>46</v>
      </c>
      <c r="AA1222">
        <v>61628</v>
      </c>
      <c r="AB1222" t="s">
        <v>1294</v>
      </c>
      <c r="AC1222" t="s">
        <v>103</v>
      </c>
      <c r="AD1222" t="s">
        <v>38</v>
      </c>
      <c r="AE1222" t="s">
        <v>49</v>
      </c>
      <c r="AF1222" t="s">
        <v>50</v>
      </c>
      <c r="AG1222">
        <v>0</v>
      </c>
      <c r="AH1222">
        <v>0</v>
      </c>
      <c r="AI1222" t="s">
        <v>51</v>
      </c>
      <c r="AJ1222" t="s">
        <v>51</v>
      </c>
      <c r="AK1222" t="s">
        <v>51</v>
      </c>
    </row>
    <row r="1223" spans="1:37" x14ac:dyDescent="0.2">
      <c r="A1223">
        <v>60606</v>
      </c>
      <c r="B1223" t="s">
        <v>37</v>
      </c>
      <c r="C1223" t="s">
        <v>38</v>
      </c>
      <c r="D1223" t="s">
        <v>674</v>
      </c>
      <c r="E1223" t="s">
        <v>40</v>
      </c>
      <c r="G1223" s="4">
        <v>43947.508865740741</v>
      </c>
      <c r="H1223" s="4">
        <v>43947.509513888889</v>
      </c>
      <c r="I1223" t="s">
        <v>1205</v>
      </c>
      <c r="J1223" s="5">
        <v>55.99999999999999999999999999999999999999</v>
      </c>
      <c r="K1223" t="s">
        <v>38</v>
      </c>
      <c r="M1223">
        <v>60607</v>
      </c>
      <c r="N1223" t="s">
        <v>705</v>
      </c>
      <c r="O1223" t="s">
        <v>706</v>
      </c>
      <c r="P1223" t="s">
        <v>38</v>
      </c>
      <c r="Q1223" t="s">
        <v>300</v>
      </c>
      <c r="R1223">
        <v>10.00000000000000000000000000000000000002</v>
      </c>
      <c r="S1223" t="s">
        <v>45</v>
      </c>
      <c r="T122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3">
        <v>60608</v>
      </c>
      <c r="V1223" t="s">
        <v>38</v>
      </c>
      <c r="W1223" t="s">
        <v>300</v>
      </c>
      <c r="X1223">
        <v>10.00000000000000000000000000000000000002</v>
      </c>
      <c r="Y1223">
        <v>0</v>
      </c>
      <c r="Z1223" t="s">
        <v>46</v>
      </c>
      <c r="AA1223">
        <v>61627</v>
      </c>
      <c r="AB1223" t="s">
        <v>1295</v>
      </c>
      <c r="AC1223" t="s">
        <v>103</v>
      </c>
      <c r="AD1223" t="s">
        <v>38</v>
      </c>
      <c r="AE1223" t="s">
        <v>49</v>
      </c>
      <c r="AF1223" t="s">
        <v>50</v>
      </c>
      <c r="AG1223">
        <v>0</v>
      </c>
      <c r="AH1223">
        <v>0</v>
      </c>
      <c r="AI1223" t="s">
        <v>51</v>
      </c>
      <c r="AJ1223" t="s">
        <v>51</v>
      </c>
      <c r="AK1223" t="s">
        <v>51</v>
      </c>
    </row>
    <row r="1224" spans="1:37" x14ac:dyDescent="0.2">
      <c r="A1224">
        <v>60606</v>
      </c>
      <c r="B1224" t="s">
        <v>37</v>
      </c>
      <c r="C1224" t="s">
        <v>38</v>
      </c>
      <c r="D1224" t="s">
        <v>674</v>
      </c>
      <c r="E1224" t="s">
        <v>40</v>
      </c>
      <c r="G1224" s="4">
        <v>43947.508865740741</v>
      </c>
      <c r="H1224" s="4">
        <v>43947.509513888889</v>
      </c>
      <c r="I1224" t="s">
        <v>1205</v>
      </c>
      <c r="J1224" s="5">
        <v>55.99999999999999999999999999999999999999</v>
      </c>
      <c r="K1224" t="s">
        <v>38</v>
      </c>
      <c r="M1224">
        <v>60607</v>
      </c>
      <c r="N1224" t="s">
        <v>705</v>
      </c>
      <c r="O1224" t="s">
        <v>706</v>
      </c>
      <c r="P1224" t="s">
        <v>38</v>
      </c>
      <c r="Q1224" t="s">
        <v>300</v>
      </c>
      <c r="R1224">
        <v>10.00000000000000000000000000000000000002</v>
      </c>
      <c r="S1224" t="s">
        <v>45</v>
      </c>
      <c r="T122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4">
        <v>60608</v>
      </c>
      <c r="V1224" t="s">
        <v>38</v>
      </c>
      <c r="W1224" t="s">
        <v>300</v>
      </c>
      <c r="X1224">
        <v>10.00000000000000000000000000000000000002</v>
      </c>
      <c r="Y1224">
        <v>0</v>
      </c>
      <c r="Z1224" t="s">
        <v>46</v>
      </c>
      <c r="AA1224">
        <v>61626</v>
      </c>
      <c r="AB1224" t="s">
        <v>1296</v>
      </c>
      <c r="AC1224" t="s">
        <v>103</v>
      </c>
      <c r="AD1224" t="s">
        <v>38</v>
      </c>
      <c r="AE1224" t="s">
        <v>49</v>
      </c>
      <c r="AF1224" t="s">
        <v>50</v>
      </c>
      <c r="AG1224">
        <v>0</v>
      </c>
      <c r="AH1224">
        <v>0</v>
      </c>
      <c r="AI1224" t="s">
        <v>51</v>
      </c>
      <c r="AJ1224" t="s">
        <v>51</v>
      </c>
      <c r="AK1224" t="s">
        <v>51</v>
      </c>
    </row>
    <row r="1225" spans="1:37" x14ac:dyDescent="0.2">
      <c r="A1225">
        <v>60606</v>
      </c>
      <c r="B1225" t="s">
        <v>37</v>
      </c>
      <c r="C1225" t="s">
        <v>38</v>
      </c>
      <c r="D1225" t="s">
        <v>674</v>
      </c>
      <c r="E1225" t="s">
        <v>40</v>
      </c>
      <c r="G1225" s="4">
        <v>43947.508865740741</v>
      </c>
      <c r="H1225" s="4">
        <v>43947.509513888889</v>
      </c>
      <c r="I1225" t="s">
        <v>1205</v>
      </c>
      <c r="J1225" s="5">
        <v>55.99999999999999999999999999999999999999</v>
      </c>
      <c r="K1225" t="s">
        <v>38</v>
      </c>
      <c r="M1225">
        <v>60607</v>
      </c>
      <c r="N1225" t="s">
        <v>705</v>
      </c>
      <c r="O1225" t="s">
        <v>706</v>
      </c>
      <c r="P1225" t="s">
        <v>38</v>
      </c>
      <c r="Q1225" t="s">
        <v>300</v>
      </c>
      <c r="R1225">
        <v>10.00000000000000000000000000000000000002</v>
      </c>
      <c r="S1225" t="s">
        <v>45</v>
      </c>
      <c r="T122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5">
        <v>60608</v>
      </c>
      <c r="V1225" t="s">
        <v>38</v>
      </c>
      <c r="W1225" t="s">
        <v>300</v>
      </c>
      <c r="X1225">
        <v>10.00000000000000000000000000000000000002</v>
      </c>
      <c r="Y1225">
        <v>0</v>
      </c>
      <c r="Z1225" t="s">
        <v>46</v>
      </c>
      <c r="AA1225">
        <v>61625</v>
      </c>
      <c r="AB1225" t="s">
        <v>1297</v>
      </c>
      <c r="AC1225" t="s">
        <v>103</v>
      </c>
      <c r="AD1225" t="s">
        <v>38</v>
      </c>
      <c r="AE1225" t="s">
        <v>49</v>
      </c>
      <c r="AF1225" t="s">
        <v>50</v>
      </c>
      <c r="AG1225">
        <v>0</v>
      </c>
      <c r="AH1225">
        <v>0</v>
      </c>
      <c r="AI1225" t="s">
        <v>51</v>
      </c>
      <c r="AJ1225" t="s">
        <v>51</v>
      </c>
      <c r="AK1225" t="s">
        <v>51</v>
      </c>
    </row>
    <row r="1226" spans="1:37" x14ac:dyDescent="0.2">
      <c r="A1226">
        <v>60606</v>
      </c>
      <c r="B1226" t="s">
        <v>37</v>
      </c>
      <c r="C1226" t="s">
        <v>38</v>
      </c>
      <c r="D1226" t="s">
        <v>674</v>
      </c>
      <c r="E1226" t="s">
        <v>40</v>
      </c>
      <c r="G1226" s="4">
        <v>43947.508865740741</v>
      </c>
      <c r="H1226" s="4">
        <v>43947.509513888889</v>
      </c>
      <c r="I1226" t="s">
        <v>1205</v>
      </c>
      <c r="J1226" s="5">
        <v>55.99999999999999999999999999999999999999</v>
      </c>
      <c r="K1226" t="s">
        <v>38</v>
      </c>
      <c r="M1226">
        <v>60607</v>
      </c>
      <c r="N1226" t="s">
        <v>705</v>
      </c>
      <c r="O1226" t="s">
        <v>706</v>
      </c>
      <c r="P1226" t="s">
        <v>38</v>
      </c>
      <c r="Q1226" t="s">
        <v>300</v>
      </c>
      <c r="R1226">
        <v>10.00000000000000000000000000000000000002</v>
      </c>
      <c r="S1226" t="s">
        <v>45</v>
      </c>
      <c r="T122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6">
        <v>60608</v>
      </c>
      <c r="V1226" t="s">
        <v>38</v>
      </c>
      <c r="W1226" t="s">
        <v>300</v>
      </c>
      <c r="X1226">
        <v>10.00000000000000000000000000000000000002</v>
      </c>
      <c r="Y1226">
        <v>0</v>
      </c>
      <c r="Z1226" t="s">
        <v>46</v>
      </c>
      <c r="AA1226">
        <v>61624</v>
      </c>
      <c r="AB1226" t="s">
        <v>1298</v>
      </c>
      <c r="AC1226" t="s">
        <v>103</v>
      </c>
      <c r="AD1226" t="s">
        <v>38</v>
      </c>
      <c r="AE1226" t="s">
        <v>49</v>
      </c>
      <c r="AF1226" t="s">
        <v>50</v>
      </c>
      <c r="AG1226">
        <v>0</v>
      </c>
      <c r="AH1226">
        <v>0</v>
      </c>
      <c r="AI1226" t="s">
        <v>51</v>
      </c>
      <c r="AJ1226" t="s">
        <v>51</v>
      </c>
      <c r="AK1226" t="s">
        <v>51</v>
      </c>
    </row>
    <row r="1227" spans="1:37" x14ac:dyDescent="0.2">
      <c r="A1227">
        <v>60606</v>
      </c>
      <c r="B1227" t="s">
        <v>37</v>
      </c>
      <c r="C1227" t="s">
        <v>38</v>
      </c>
      <c r="D1227" t="s">
        <v>674</v>
      </c>
      <c r="E1227" t="s">
        <v>40</v>
      </c>
      <c r="G1227" s="4">
        <v>43947.508865740741</v>
      </c>
      <c r="H1227" s="4">
        <v>43947.509513888889</v>
      </c>
      <c r="I1227" t="s">
        <v>1205</v>
      </c>
      <c r="J1227" s="5">
        <v>55.99999999999999999999999999999999999999</v>
      </c>
      <c r="K1227" t="s">
        <v>38</v>
      </c>
      <c r="M1227">
        <v>60607</v>
      </c>
      <c r="N1227" t="s">
        <v>705</v>
      </c>
      <c r="O1227" t="s">
        <v>706</v>
      </c>
      <c r="P1227" t="s">
        <v>38</v>
      </c>
      <c r="Q1227" t="s">
        <v>300</v>
      </c>
      <c r="R1227">
        <v>10.00000000000000000000000000000000000002</v>
      </c>
      <c r="S1227" t="s">
        <v>45</v>
      </c>
      <c r="T122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7">
        <v>60608</v>
      </c>
      <c r="V1227" t="s">
        <v>38</v>
      </c>
      <c r="W1227" t="s">
        <v>300</v>
      </c>
      <c r="X1227">
        <v>10.00000000000000000000000000000000000002</v>
      </c>
      <c r="Y1227">
        <v>0</v>
      </c>
      <c r="Z1227" t="s">
        <v>46</v>
      </c>
      <c r="AA1227">
        <v>61623</v>
      </c>
      <c r="AB1227" t="s">
        <v>1299</v>
      </c>
      <c r="AC1227" t="s">
        <v>103</v>
      </c>
      <c r="AD1227" t="s">
        <v>38</v>
      </c>
      <c r="AE1227" t="s">
        <v>49</v>
      </c>
      <c r="AF1227" t="s">
        <v>50</v>
      </c>
      <c r="AG1227">
        <v>0</v>
      </c>
      <c r="AH1227">
        <v>0</v>
      </c>
      <c r="AI1227" t="s">
        <v>51</v>
      </c>
      <c r="AJ1227" t="s">
        <v>51</v>
      </c>
      <c r="AK1227" t="s">
        <v>51</v>
      </c>
    </row>
    <row r="1228" spans="1:37" x14ac:dyDescent="0.2">
      <c r="A1228">
        <v>60606</v>
      </c>
      <c r="B1228" t="s">
        <v>37</v>
      </c>
      <c r="C1228" t="s">
        <v>38</v>
      </c>
      <c r="D1228" t="s">
        <v>674</v>
      </c>
      <c r="E1228" t="s">
        <v>40</v>
      </c>
      <c r="G1228" s="4">
        <v>43947.508865740741</v>
      </c>
      <c r="H1228" s="4">
        <v>43947.509513888889</v>
      </c>
      <c r="I1228" t="s">
        <v>1205</v>
      </c>
      <c r="J1228" s="5">
        <v>55.99999999999999999999999999999999999999</v>
      </c>
      <c r="K1228" t="s">
        <v>38</v>
      </c>
      <c r="M1228">
        <v>60607</v>
      </c>
      <c r="N1228" t="s">
        <v>705</v>
      </c>
      <c r="O1228" t="s">
        <v>706</v>
      </c>
      <c r="P1228" t="s">
        <v>38</v>
      </c>
      <c r="Q1228" t="s">
        <v>300</v>
      </c>
      <c r="R1228">
        <v>10.00000000000000000000000000000000000002</v>
      </c>
      <c r="S1228" t="s">
        <v>45</v>
      </c>
      <c r="T122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8">
        <v>60608</v>
      </c>
      <c r="V1228" t="s">
        <v>38</v>
      </c>
      <c r="W1228" t="s">
        <v>300</v>
      </c>
      <c r="X1228">
        <v>10.00000000000000000000000000000000000002</v>
      </c>
      <c r="Y1228">
        <v>0</v>
      </c>
      <c r="Z1228" t="s">
        <v>46</v>
      </c>
      <c r="AA1228">
        <v>61622</v>
      </c>
      <c r="AB1228" t="s">
        <v>1300</v>
      </c>
      <c r="AC1228" t="s">
        <v>103</v>
      </c>
      <c r="AD1228" t="s">
        <v>38</v>
      </c>
      <c r="AE1228" t="s">
        <v>49</v>
      </c>
      <c r="AF1228" t="s">
        <v>50</v>
      </c>
      <c r="AG1228">
        <v>0</v>
      </c>
      <c r="AH1228">
        <v>0</v>
      </c>
      <c r="AI1228" t="s">
        <v>51</v>
      </c>
      <c r="AJ1228" t="s">
        <v>51</v>
      </c>
      <c r="AK1228" t="s">
        <v>51</v>
      </c>
    </row>
    <row r="1229" spans="1:37" x14ac:dyDescent="0.2">
      <c r="A1229">
        <v>60606</v>
      </c>
      <c r="B1229" t="s">
        <v>37</v>
      </c>
      <c r="C1229" t="s">
        <v>38</v>
      </c>
      <c r="D1229" t="s">
        <v>674</v>
      </c>
      <c r="E1229" t="s">
        <v>40</v>
      </c>
      <c r="G1229" s="4">
        <v>43947.508865740741</v>
      </c>
      <c r="H1229" s="4">
        <v>43947.509513888889</v>
      </c>
      <c r="I1229" t="s">
        <v>1205</v>
      </c>
      <c r="J1229" s="5">
        <v>55.99999999999999999999999999999999999999</v>
      </c>
      <c r="K1229" t="s">
        <v>38</v>
      </c>
      <c r="M1229">
        <v>60607</v>
      </c>
      <c r="N1229" t="s">
        <v>705</v>
      </c>
      <c r="O1229" t="s">
        <v>706</v>
      </c>
      <c r="P1229" t="s">
        <v>38</v>
      </c>
      <c r="Q1229" t="s">
        <v>300</v>
      </c>
      <c r="R1229">
        <v>10.00000000000000000000000000000000000002</v>
      </c>
      <c r="S1229" t="s">
        <v>45</v>
      </c>
      <c r="T122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29">
        <v>60608</v>
      </c>
      <c r="V1229" t="s">
        <v>38</v>
      </c>
      <c r="W1229" t="s">
        <v>300</v>
      </c>
      <c r="X1229">
        <v>10.00000000000000000000000000000000000002</v>
      </c>
      <c r="Y1229">
        <v>0</v>
      </c>
      <c r="Z1229" t="s">
        <v>46</v>
      </c>
      <c r="AA1229">
        <v>61621</v>
      </c>
      <c r="AB1229" t="s">
        <v>1301</v>
      </c>
      <c r="AC1229" t="s">
        <v>103</v>
      </c>
      <c r="AD1229" t="s">
        <v>38</v>
      </c>
      <c r="AE1229" t="s">
        <v>49</v>
      </c>
      <c r="AF1229" t="s">
        <v>50</v>
      </c>
      <c r="AG1229">
        <v>0</v>
      </c>
      <c r="AH1229">
        <v>0</v>
      </c>
      <c r="AI1229" t="s">
        <v>51</v>
      </c>
      <c r="AJ1229" t="s">
        <v>51</v>
      </c>
      <c r="AK1229" t="s">
        <v>51</v>
      </c>
    </row>
    <row r="1230" spans="1:37" x14ac:dyDescent="0.2">
      <c r="A1230">
        <v>60606</v>
      </c>
      <c r="B1230" t="s">
        <v>37</v>
      </c>
      <c r="C1230" t="s">
        <v>38</v>
      </c>
      <c r="D1230" t="s">
        <v>674</v>
      </c>
      <c r="E1230" t="s">
        <v>40</v>
      </c>
      <c r="G1230" s="4">
        <v>43947.508865740741</v>
      </c>
      <c r="H1230" s="4">
        <v>43947.509513888889</v>
      </c>
      <c r="I1230" t="s">
        <v>1205</v>
      </c>
      <c r="J1230" s="5">
        <v>55.99999999999999999999999999999999999999</v>
      </c>
      <c r="K1230" t="s">
        <v>38</v>
      </c>
      <c r="M1230">
        <v>60607</v>
      </c>
      <c r="N1230" t="s">
        <v>705</v>
      </c>
      <c r="O1230" t="s">
        <v>706</v>
      </c>
      <c r="P1230" t="s">
        <v>38</v>
      </c>
      <c r="Q1230" t="s">
        <v>300</v>
      </c>
      <c r="R1230">
        <v>10.00000000000000000000000000000000000002</v>
      </c>
      <c r="S1230" t="s">
        <v>45</v>
      </c>
      <c r="T123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0">
        <v>60608</v>
      </c>
      <c r="V1230" t="s">
        <v>38</v>
      </c>
      <c r="W1230" t="s">
        <v>300</v>
      </c>
      <c r="X1230">
        <v>10.00000000000000000000000000000000000002</v>
      </c>
      <c r="Y1230">
        <v>0</v>
      </c>
      <c r="Z1230" t="s">
        <v>46</v>
      </c>
      <c r="AA1230">
        <v>61620</v>
      </c>
      <c r="AB1230" t="s">
        <v>1302</v>
      </c>
      <c r="AC1230" t="s">
        <v>103</v>
      </c>
      <c r="AD1230" t="s">
        <v>38</v>
      </c>
      <c r="AE1230" t="s">
        <v>49</v>
      </c>
      <c r="AF1230" t="s">
        <v>50</v>
      </c>
      <c r="AG1230">
        <v>0</v>
      </c>
      <c r="AH1230">
        <v>0</v>
      </c>
      <c r="AI1230" t="s">
        <v>51</v>
      </c>
      <c r="AJ1230" t="s">
        <v>51</v>
      </c>
      <c r="AK1230" t="s">
        <v>51</v>
      </c>
    </row>
    <row r="1231" spans="1:37" x14ac:dyDescent="0.2">
      <c r="A1231">
        <v>60606</v>
      </c>
      <c r="B1231" t="s">
        <v>37</v>
      </c>
      <c r="C1231" t="s">
        <v>38</v>
      </c>
      <c r="D1231" t="s">
        <v>674</v>
      </c>
      <c r="E1231" t="s">
        <v>40</v>
      </c>
      <c r="G1231" s="4">
        <v>43947.508865740741</v>
      </c>
      <c r="H1231" s="4">
        <v>43947.509513888889</v>
      </c>
      <c r="I1231" t="s">
        <v>1205</v>
      </c>
      <c r="J1231" s="5">
        <v>55.99999999999999999999999999999999999999</v>
      </c>
      <c r="K1231" t="s">
        <v>38</v>
      </c>
      <c r="M1231">
        <v>60607</v>
      </c>
      <c r="N1231" t="s">
        <v>705</v>
      </c>
      <c r="O1231" t="s">
        <v>706</v>
      </c>
      <c r="P1231" t="s">
        <v>38</v>
      </c>
      <c r="Q1231" t="s">
        <v>300</v>
      </c>
      <c r="R1231">
        <v>10.00000000000000000000000000000000000002</v>
      </c>
      <c r="S1231" t="s">
        <v>45</v>
      </c>
      <c r="T123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1">
        <v>60608</v>
      </c>
      <c r="V1231" t="s">
        <v>38</v>
      </c>
      <c r="W1231" t="s">
        <v>300</v>
      </c>
      <c r="X1231">
        <v>10.00000000000000000000000000000000000002</v>
      </c>
      <c r="Y1231">
        <v>0</v>
      </c>
      <c r="Z1231" t="s">
        <v>46</v>
      </c>
      <c r="AA1231">
        <v>61619</v>
      </c>
      <c r="AB1231" t="s">
        <v>1303</v>
      </c>
      <c r="AC1231" t="s">
        <v>103</v>
      </c>
      <c r="AD1231" t="s">
        <v>38</v>
      </c>
      <c r="AE1231" t="s">
        <v>49</v>
      </c>
      <c r="AF1231" t="s">
        <v>50</v>
      </c>
      <c r="AG1231">
        <v>0</v>
      </c>
      <c r="AH1231">
        <v>0</v>
      </c>
      <c r="AI1231" t="s">
        <v>51</v>
      </c>
      <c r="AJ1231" t="s">
        <v>51</v>
      </c>
      <c r="AK1231" t="s">
        <v>51</v>
      </c>
    </row>
    <row r="1232" spans="1:37" x14ac:dyDescent="0.2">
      <c r="A1232">
        <v>60606</v>
      </c>
      <c r="B1232" t="s">
        <v>37</v>
      </c>
      <c r="C1232" t="s">
        <v>38</v>
      </c>
      <c r="D1232" t="s">
        <v>674</v>
      </c>
      <c r="E1232" t="s">
        <v>40</v>
      </c>
      <c r="G1232" s="4">
        <v>43947.508865740741</v>
      </c>
      <c r="H1232" s="4">
        <v>43947.509513888889</v>
      </c>
      <c r="I1232" t="s">
        <v>1205</v>
      </c>
      <c r="J1232" s="5">
        <v>55.99999999999999999999999999999999999999</v>
      </c>
      <c r="K1232" t="s">
        <v>38</v>
      </c>
      <c r="M1232">
        <v>60607</v>
      </c>
      <c r="N1232" t="s">
        <v>705</v>
      </c>
      <c r="O1232" t="s">
        <v>706</v>
      </c>
      <c r="P1232" t="s">
        <v>38</v>
      </c>
      <c r="Q1232" t="s">
        <v>300</v>
      </c>
      <c r="R1232">
        <v>10.00000000000000000000000000000000000002</v>
      </c>
      <c r="S1232" t="s">
        <v>45</v>
      </c>
      <c r="T123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2">
        <v>60608</v>
      </c>
      <c r="V1232" t="s">
        <v>38</v>
      </c>
      <c r="W1232" t="s">
        <v>300</v>
      </c>
      <c r="X1232">
        <v>10.00000000000000000000000000000000000002</v>
      </c>
      <c r="Y1232">
        <v>0</v>
      </c>
      <c r="Z1232" t="s">
        <v>46</v>
      </c>
      <c r="AA1232">
        <v>61618</v>
      </c>
      <c r="AB1232" t="s">
        <v>1304</v>
      </c>
      <c r="AC1232" t="s">
        <v>103</v>
      </c>
      <c r="AD1232" t="s">
        <v>38</v>
      </c>
      <c r="AE1232" t="s">
        <v>49</v>
      </c>
      <c r="AF1232" t="s">
        <v>50</v>
      </c>
      <c r="AG1232">
        <v>0</v>
      </c>
      <c r="AH1232">
        <v>0</v>
      </c>
      <c r="AI1232" t="s">
        <v>51</v>
      </c>
      <c r="AJ1232" t="s">
        <v>51</v>
      </c>
      <c r="AK1232" t="s">
        <v>51</v>
      </c>
    </row>
    <row r="1233" spans="1:37" x14ac:dyDescent="0.2">
      <c r="A1233">
        <v>60606</v>
      </c>
      <c r="B1233" t="s">
        <v>37</v>
      </c>
      <c r="C1233" t="s">
        <v>38</v>
      </c>
      <c r="D1233" t="s">
        <v>674</v>
      </c>
      <c r="E1233" t="s">
        <v>40</v>
      </c>
      <c r="G1233" s="4">
        <v>43947.508865740741</v>
      </c>
      <c r="H1233" s="4">
        <v>43947.509513888889</v>
      </c>
      <c r="I1233" t="s">
        <v>1205</v>
      </c>
      <c r="J1233" s="5">
        <v>55.99999999999999999999999999999999999999</v>
      </c>
      <c r="K1233" t="s">
        <v>38</v>
      </c>
      <c r="M1233">
        <v>60607</v>
      </c>
      <c r="N1233" t="s">
        <v>705</v>
      </c>
      <c r="O1233" t="s">
        <v>706</v>
      </c>
      <c r="P1233" t="s">
        <v>38</v>
      </c>
      <c r="Q1233" t="s">
        <v>300</v>
      </c>
      <c r="R1233">
        <v>10.00000000000000000000000000000000000002</v>
      </c>
      <c r="S1233" t="s">
        <v>45</v>
      </c>
      <c r="T123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3">
        <v>60608</v>
      </c>
      <c r="V1233" t="s">
        <v>38</v>
      </c>
      <c r="W1233" t="s">
        <v>300</v>
      </c>
      <c r="X1233">
        <v>10.00000000000000000000000000000000000002</v>
      </c>
      <c r="Y1233">
        <v>0</v>
      </c>
      <c r="Z1233" t="s">
        <v>46</v>
      </c>
      <c r="AA1233">
        <v>61617</v>
      </c>
      <c r="AB1233" t="s">
        <v>1305</v>
      </c>
      <c r="AC1233" t="s">
        <v>103</v>
      </c>
      <c r="AD1233" t="s">
        <v>38</v>
      </c>
      <c r="AE1233" t="s">
        <v>49</v>
      </c>
      <c r="AF1233" t="s">
        <v>50</v>
      </c>
      <c r="AG1233">
        <v>0</v>
      </c>
      <c r="AH1233">
        <v>0</v>
      </c>
      <c r="AI1233" t="s">
        <v>51</v>
      </c>
      <c r="AJ1233" t="s">
        <v>51</v>
      </c>
      <c r="AK1233" t="s">
        <v>51</v>
      </c>
    </row>
    <row r="1234" spans="1:37" x14ac:dyDescent="0.2">
      <c r="A1234">
        <v>60606</v>
      </c>
      <c r="B1234" t="s">
        <v>37</v>
      </c>
      <c r="C1234" t="s">
        <v>38</v>
      </c>
      <c r="D1234" t="s">
        <v>674</v>
      </c>
      <c r="E1234" t="s">
        <v>40</v>
      </c>
      <c r="G1234" s="4">
        <v>43947.508865740741</v>
      </c>
      <c r="H1234" s="4">
        <v>43947.509513888889</v>
      </c>
      <c r="I1234" t="s">
        <v>1205</v>
      </c>
      <c r="J1234" s="5">
        <v>55.99999999999999999999999999999999999999</v>
      </c>
      <c r="K1234" t="s">
        <v>38</v>
      </c>
      <c r="M1234">
        <v>60607</v>
      </c>
      <c r="N1234" t="s">
        <v>705</v>
      </c>
      <c r="O1234" t="s">
        <v>706</v>
      </c>
      <c r="P1234" t="s">
        <v>38</v>
      </c>
      <c r="Q1234" t="s">
        <v>300</v>
      </c>
      <c r="R1234">
        <v>10.00000000000000000000000000000000000002</v>
      </c>
      <c r="S1234" t="s">
        <v>45</v>
      </c>
      <c r="T123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4">
        <v>60608</v>
      </c>
      <c r="V1234" t="s">
        <v>38</v>
      </c>
      <c r="W1234" t="s">
        <v>300</v>
      </c>
      <c r="X1234">
        <v>10.00000000000000000000000000000000000002</v>
      </c>
      <c r="Y1234">
        <v>0</v>
      </c>
      <c r="Z1234" t="s">
        <v>46</v>
      </c>
      <c r="AA1234">
        <v>61616</v>
      </c>
      <c r="AB1234" t="s">
        <v>1306</v>
      </c>
      <c r="AC1234" t="s">
        <v>103</v>
      </c>
      <c r="AD1234" t="s">
        <v>38</v>
      </c>
      <c r="AE1234" t="s">
        <v>49</v>
      </c>
      <c r="AF1234" t="s">
        <v>50</v>
      </c>
      <c r="AG1234">
        <v>0</v>
      </c>
      <c r="AH1234">
        <v>0</v>
      </c>
      <c r="AI1234" t="s">
        <v>51</v>
      </c>
      <c r="AJ1234" t="s">
        <v>51</v>
      </c>
      <c r="AK1234" t="s">
        <v>51</v>
      </c>
    </row>
    <row r="1235" spans="1:37" x14ac:dyDescent="0.2">
      <c r="A1235">
        <v>60606</v>
      </c>
      <c r="B1235" t="s">
        <v>37</v>
      </c>
      <c r="C1235" t="s">
        <v>38</v>
      </c>
      <c r="D1235" t="s">
        <v>674</v>
      </c>
      <c r="E1235" t="s">
        <v>40</v>
      </c>
      <c r="G1235" s="4">
        <v>43947.508865740741</v>
      </c>
      <c r="H1235" s="4">
        <v>43947.509513888889</v>
      </c>
      <c r="I1235" t="s">
        <v>1205</v>
      </c>
      <c r="J1235" s="5">
        <v>55.99999999999999999999999999999999999999</v>
      </c>
      <c r="K1235" t="s">
        <v>38</v>
      </c>
      <c r="M1235">
        <v>60607</v>
      </c>
      <c r="N1235" t="s">
        <v>705</v>
      </c>
      <c r="O1235" t="s">
        <v>706</v>
      </c>
      <c r="P1235" t="s">
        <v>38</v>
      </c>
      <c r="Q1235" t="s">
        <v>300</v>
      </c>
      <c r="R1235">
        <v>10.00000000000000000000000000000000000002</v>
      </c>
      <c r="S1235" t="s">
        <v>45</v>
      </c>
      <c r="T123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5">
        <v>60608</v>
      </c>
      <c r="V1235" t="s">
        <v>38</v>
      </c>
      <c r="W1235" t="s">
        <v>300</v>
      </c>
      <c r="X1235">
        <v>10.00000000000000000000000000000000000002</v>
      </c>
      <c r="Y1235">
        <v>0</v>
      </c>
      <c r="Z1235" t="s">
        <v>46</v>
      </c>
      <c r="AA1235">
        <v>61615</v>
      </c>
      <c r="AB1235" t="s">
        <v>1307</v>
      </c>
      <c r="AC1235" t="s">
        <v>103</v>
      </c>
      <c r="AD1235" t="s">
        <v>38</v>
      </c>
      <c r="AE1235" t="s">
        <v>49</v>
      </c>
      <c r="AF1235" t="s">
        <v>50</v>
      </c>
      <c r="AG1235">
        <v>0</v>
      </c>
      <c r="AH1235">
        <v>0</v>
      </c>
      <c r="AI1235" t="s">
        <v>51</v>
      </c>
      <c r="AJ1235" t="s">
        <v>51</v>
      </c>
      <c r="AK1235" t="s">
        <v>51</v>
      </c>
    </row>
    <row r="1236" spans="1:37" x14ac:dyDescent="0.2">
      <c r="A1236">
        <v>60606</v>
      </c>
      <c r="B1236" t="s">
        <v>37</v>
      </c>
      <c r="C1236" t="s">
        <v>38</v>
      </c>
      <c r="D1236" t="s">
        <v>674</v>
      </c>
      <c r="E1236" t="s">
        <v>40</v>
      </c>
      <c r="G1236" s="4">
        <v>43947.508865740741</v>
      </c>
      <c r="H1236" s="4">
        <v>43947.509513888889</v>
      </c>
      <c r="I1236" t="s">
        <v>1205</v>
      </c>
      <c r="J1236" s="5">
        <v>55.99999999999999999999999999999999999999</v>
      </c>
      <c r="K1236" t="s">
        <v>38</v>
      </c>
      <c r="M1236">
        <v>60607</v>
      </c>
      <c r="N1236" t="s">
        <v>705</v>
      </c>
      <c r="O1236" t="s">
        <v>706</v>
      </c>
      <c r="P1236" t="s">
        <v>38</v>
      </c>
      <c r="Q1236" t="s">
        <v>300</v>
      </c>
      <c r="R1236">
        <v>10.00000000000000000000000000000000000002</v>
      </c>
      <c r="S1236" t="s">
        <v>45</v>
      </c>
      <c r="T123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6">
        <v>60608</v>
      </c>
      <c r="V1236" t="s">
        <v>38</v>
      </c>
      <c r="W1236" t="s">
        <v>300</v>
      </c>
      <c r="X1236">
        <v>10.00000000000000000000000000000000000002</v>
      </c>
      <c r="Y1236">
        <v>0</v>
      </c>
      <c r="Z1236" t="s">
        <v>46</v>
      </c>
      <c r="AA1236">
        <v>61614</v>
      </c>
      <c r="AB1236" t="s">
        <v>1308</v>
      </c>
      <c r="AC1236" t="s">
        <v>103</v>
      </c>
      <c r="AD1236" t="s">
        <v>38</v>
      </c>
      <c r="AE1236" t="s">
        <v>49</v>
      </c>
      <c r="AF1236" t="s">
        <v>50</v>
      </c>
      <c r="AG1236">
        <v>0</v>
      </c>
      <c r="AH1236">
        <v>0</v>
      </c>
      <c r="AI1236" t="s">
        <v>51</v>
      </c>
      <c r="AJ1236" t="s">
        <v>51</v>
      </c>
      <c r="AK1236" t="s">
        <v>51</v>
      </c>
    </row>
    <row r="1237" spans="1:37" x14ac:dyDescent="0.2">
      <c r="A1237">
        <v>60606</v>
      </c>
      <c r="B1237" t="s">
        <v>37</v>
      </c>
      <c r="C1237" t="s">
        <v>38</v>
      </c>
      <c r="D1237" t="s">
        <v>674</v>
      </c>
      <c r="E1237" t="s">
        <v>40</v>
      </c>
      <c r="G1237" s="4">
        <v>43947.508865740741</v>
      </c>
      <c r="H1237" s="4">
        <v>43947.509513888889</v>
      </c>
      <c r="I1237" t="s">
        <v>1205</v>
      </c>
      <c r="J1237" s="5">
        <v>55.99999999999999999999999999999999999999</v>
      </c>
      <c r="K1237" t="s">
        <v>38</v>
      </c>
      <c r="M1237">
        <v>60607</v>
      </c>
      <c r="N1237" t="s">
        <v>705</v>
      </c>
      <c r="O1237" t="s">
        <v>706</v>
      </c>
      <c r="P1237" t="s">
        <v>38</v>
      </c>
      <c r="Q1237" t="s">
        <v>300</v>
      </c>
      <c r="R1237">
        <v>10.00000000000000000000000000000000000002</v>
      </c>
      <c r="S1237" t="s">
        <v>45</v>
      </c>
      <c r="T123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7">
        <v>60608</v>
      </c>
      <c r="V1237" t="s">
        <v>38</v>
      </c>
      <c r="W1237" t="s">
        <v>300</v>
      </c>
      <c r="X1237">
        <v>10.00000000000000000000000000000000000002</v>
      </c>
      <c r="Y1237">
        <v>0</v>
      </c>
      <c r="Z1237" t="s">
        <v>46</v>
      </c>
      <c r="AA1237">
        <v>61613</v>
      </c>
      <c r="AB1237" t="s">
        <v>1309</v>
      </c>
      <c r="AC1237" t="s">
        <v>103</v>
      </c>
      <c r="AD1237" t="s">
        <v>38</v>
      </c>
      <c r="AE1237" t="s">
        <v>49</v>
      </c>
      <c r="AF1237" t="s">
        <v>50</v>
      </c>
      <c r="AG1237">
        <v>0</v>
      </c>
      <c r="AH1237">
        <v>0</v>
      </c>
      <c r="AI1237" t="s">
        <v>51</v>
      </c>
      <c r="AJ1237" t="s">
        <v>51</v>
      </c>
      <c r="AK1237" t="s">
        <v>51</v>
      </c>
    </row>
    <row r="1238" spans="1:37" x14ac:dyDescent="0.2">
      <c r="A1238">
        <v>60606</v>
      </c>
      <c r="B1238" t="s">
        <v>37</v>
      </c>
      <c r="C1238" t="s">
        <v>38</v>
      </c>
      <c r="D1238" t="s">
        <v>674</v>
      </c>
      <c r="E1238" t="s">
        <v>40</v>
      </c>
      <c r="G1238" s="4">
        <v>43947.508865740741</v>
      </c>
      <c r="H1238" s="4">
        <v>43947.509513888889</v>
      </c>
      <c r="I1238" t="s">
        <v>1205</v>
      </c>
      <c r="J1238" s="5">
        <v>55.99999999999999999999999999999999999999</v>
      </c>
      <c r="K1238" t="s">
        <v>38</v>
      </c>
      <c r="M1238">
        <v>60607</v>
      </c>
      <c r="N1238" t="s">
        <v>705</v>
      </c>
      <c r="O1238" t="s">
        <v>706</v>
      </c>
      <c r="P1238" t="s">
        <v>38</v>
      </c>
      <c r="Q1238" t="s">
        <v>300</v>
      </c>
      <c r="R1238">
        <v>10.00000000000000000000000000000000000002</v>
      </c>
      <c r="S1238" t="s">
        <v>45</v>
      </c>
      <c r="T123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8">
        <v>60608</v>
      </c>
      <c r="V1238" t="s">
        <v>38</v>
      </c>
      <c r="W1238" t="s">
        <v>300</v>
      </c>
      <c r="X1238">
        <v>10.00000000000000000000000000000000000002</v>
      </c>
      <c r="Y1238">
        <v>0</v>
      </c>
      <c r="Z1238" t="s">
        <v>46</v>
      </c>
      <c r="AA1238">
        <v>61612</v>
      </c>
      <c r="AB1238" t="s">
        <v>1310</v>
      </c>
      <c r="AC1238" t="s">
        <v>103</v>
      </c>
      <c r="AD1238" t="s">
        <v>38</v>
      </c>
      <c r="AE1238" t="s">
        <v>49</v>
      </c>
      <c r="AF1238" t="s">
        <v>50</v>
      </c>
      <c r="AG1238">
        <v>0</v>
      </c>
      <c r="AH1238">
        <v>0</v>
      </c>
      <c r="AI1238" t="s">
        <v>51</v>
      </c>
      <c r="AJ1238" t="s">
        <v>51</v>
      </c>
      <c r="AK1238" t="s">
        <v>51</v>
      </c>
    </row>
    <row r="1239" spans="1:37" x14ac:dyDescent="0.2">
      <c r="A1239">
        <v>60606</v>
      </c>
      <c r="B1239" t="s">
        <v>37</v>
      </c>
      <c r="C1239" t="s">
        <v>38</v>
      </c>
      <c r="D1239" t="s">
        <v>674</v>
      </c>
      <c r="E1239" t="s">
        <v>40</v>
      </c>
      <c r="G1239" s="4">
        <v>43947.508865740741</v>
      </c>
      <c r="H1239" s="4">
        <v>43947.509513888889</v>
      </c>
      <c r="I1239" t="s">
        <v>1205</v>
      </c>
      <c r="J1239" s="5">
        <v>55.99999999999999999999999999999999999999</v>
      </c>
      <c r="K1239" t="s">
        <v>38</v>
      </c>
      <c r="M1239">
        <v>60607</v>
      </c>
      <c r="N1239" t="s">
        <v>705</v>
      </c>
      <c r="O1239" t="s">
        <v>706</v>
      </c>
      <c r="P1239" t="s">
        <v>38</v>
      </c>
      <c r="Q1239" t="s">
        <v>300</v>
      </c>
      <c r="R1239">
        <v>10.00000000000000000000000000000000000002</v>
      </c>
      <c r="S1239" t="s">
        <v>45</v>
      </c>
      <c r="T123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39">
        <v>60608</v>
      </c>
      <c r="V1239" t="s">
        <v>38</v>
      </c>
      <c r="W1239" t="s">
        <v>300</v>
      </c>
      <c r="X1239">
        <v>10.00000000000000000000000000000000000002</v>
      </c>
      <c r="Y1239">
        <v>0</v>
      </c>
      <c r="Z1239" t="s">
        <v>46</v>
      </c>
      <c r="AA1239">
        <v>61611</v>
      </c>
      <c r="AB1239" t="s">
        <v>1311</v>
      </c>
      <c r="AC1239" t="s">
        <v>103</v>
      </c>
      <c r="AD1239" t="s">
        <v>38</v>
      </c>
      <c r="AE1239" t="s">
        <v>49</v>
      </c>
      <c r="AF1239" t="s">
        <v>50</v>
      </c>
      <c r="AG1239">
        <v>0</v>
      </c>
      <c r="AH1239">
        <v>0</v>
      </c>
      <c r="AI1239" t="s">
        <v>51</v>
      </c>
      <c r="AJ1239" t="s">
        <v>51</v>
      </c>
      <c r="AK1239" t="s">
        <v>51</v>
      </c>
    </row>
    <row r="1240" spans="1:37" x14ac:dyDescent="0.2">
      <c r="A1240">
        <v>60606</v>
      </c>
      <c r="B1240" t="s">
        <v>37</v>
      </c>
      <c r="C1240" t="s">
        <v>38</v>
      </c>
      <c r="D1240" t="s">
        <v>674</v>
      </c>
      <c r="E1240" t="s">
        <v>40</v>
      </c>
      <c r="G1240" s="4">
        <v>43947.508865740741</v>
      </c>
      <c r="H1240" s="4">
        <v>43947.509513888889</v>
      </c>
      <c r="I1240" t="s">
        <v>1205</v>
      </c>
      <c r="J1240" s="5">
        <v>55.99999999999999999999999999999999999999</v>
      </c>
      <c r="K1240" t="s">
        <v>38</v>
      </c>
      <c r="M1240">
        <v>60607</v>
      </c>
      <c r="N1240" t="s">
        <v>705</v>
      </c>
      <c r="O1240" t="s">
        <v>706</v>
      </c>
      <c r="P1240" t="s">
        <v>38</v>
      </c>
      <c r="Q1240" t="s">
        <v>300</v>
      </c>
      <c r="R1240">
        <v>10.00000000000000000000000000000000000002</v>
      </c>
      <c r="S1240" t="s">
        <v>45</v>
      </c>
      <c r="T124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0">
        <v>60608</v>
      </c>
      <c r="V1240" t="s">
        <v>38</v>
      </c>
      <c r="W1240" t="s">
        <v>300</v>
      </c>
      <c r="X1240">
        <v>10.00000000000000000000000000000000000002</v>
      </c>
      <c r="Y1240">
        <v>0</v>
      </c>
      <c r="Z1240" t="s">
        <v>46</v>
      </c>
      <c r="AA1240">
        <v>61610</v>
      </c>
      <c r="AB1240" t="s">
        <v>1312</v>
      </c>
      <c r="AC1240" t="s">
        <v>103</v>
      </c>
      <c r="AD1240" t="s">
        <v>38</v>
      </c>
      <c r="AE1240" t="s">
        <v>49</v>
      </c>
      <c r="AF1240" t="s">
        <v>50</v>
      </c>
      <c r="AG1240">
        <v>0</v>
      </c>
      <c r="AH1240">
        <v>0</v>
      </c>
      <c r="AI1240" t="s">
        <v>51</v>
      </c>
      <c r="AJ1240" t="s">
        <v>51</v>
      </c>
      <c r="AK1240" t="s">
        <v>51</v>
      </c>
    </row>
    <row r="1241" spans="1:37" x14ac:dyDescent="0.2">
      <c r="A1241">
        <v>60606</v>
      </c>
      <c r="B1241" t="s">
        <v>37</v>
      </c>
      <c r="C1241" t="s">
        <v>38</v>
      </c>
      <c r="D1241" t="s">
        <v>674</v>
      </c>
      <c r="E1241" t="s">
        <v>40</v>
      </c>
      <c r="G1241" s="4">
        <v>43947.508865740741</v>
      </c>
      <c r="H1241" s="4">
        <v>43947.509513888889</v>
      </c>
      <c r="I1241" t="s">
        <v>1205</v>
      </c>
      <c r="J1241" s="5">
        <v>55.99999999999999999999999999999999999999</v>
      </c>
      <c r="K1241" t="s">
        <v>38</v>
      </c>
      <c r="M1241">
        <v>60607</v>
      </c>
      <c r="N1241" t="s">
        <v>705</v>
      </c>
      <c r="O1241" t="s">
        <v>706</v>
      </c>
      <c r="P1241" t="s">
        <v>38</v>
      </c>
      <c r="Q1241" t="s">
        <v>300</v>
      </c>
      <c r="R1241">
        <v>10.00000000000000000000000000000000000002</v>
      </c>
      <c r="S1241" t="s">
        <v>45</v>
      </c>
      <c r="T124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1">
        <v>60608</v>
      </c>
      <c r="V1241" t="s">
        <v>38</v>
      </c>
      <c r="W1241" t="s">
        <v>300</v>
      </c>
      <c r="X1241">
        <v>10.00000000000000000000000000000000000002</v>
      </c>
      <c r="Y1241">
        <v>0</v>
      </c>
      <c r="Z1241" t="s">
        <v>46</v>
      </c>
      <c r="AA1241">
        <v>61609</v>
      </c>
      <c r="AB1241" t="s">
        <v>1313</v>
      </c>
      <c r="AC1241" t="s">
        <v>103</v>
      </c>
      <c r="AD1241" t="s">
        <v>38</v>
      </c>
      <c r="AE1241" t="s">
        <v>49</v>
      </c>
      <c r="AF1241" t="s">
        <v>50</v>
      </c>
      <c r="AG1241">
        <v>0</v>
      </c>
      <c r="AH1241">
        <v>0</v>
      </c>
      <c r="AI1241" t="s">
        <v>51</v>
      </c>
      <c r="AJ1241" t="s">
        <v>51</v>
      </c>
      <c r="AK1241" t="s">
        <v>51</v>
      </c>
    </row>
    <row r="1242" spans="1:37" x14ac:dyDescent="0.2">
      <c r="A1242">
        <v>60606</v>
      </c>
      <c r="B1242" t="s">
        <v>37</v>
      </c>
      <c r="C1242" t="s">
        <v>38</v>
      </c>
      <c r="D1242" t="s">
        <v>674</v>
      </c>
      <c r="E1242" t="s">
        <v>40</v>
      </c>
      <c r="G1242" s="4">
        <v>43947.508865740741</v>
      </c>
      <c r="H1242" s="4">
        <v>43947.509513888889</v>
      </c>
      <c r="I1242" t="s">
        <v>1205</v>
      </c>
      <c r="J1242" s="5">
        <v>55.99999999999999999999999999999999999999</v>
      </c>
      <c r="K1242" t="s">
        <v>38</v>
      </c>
      <c r="M1242">
        <v>60607</v>
      </c>
      <c r="N1242" t="s">
        <v>705</v>
      </c>
      <c r="O1242" t="s">
        <v>706</v>
      </c>
      <c r="P1242" t="s">
        <v>38</v>
      </c>
      <c r="Q1242" t="s">
        <v>300</v>
      </c>
      <c r="R1242">
        <v>10.00000000000000000000000000000000000002</v>
      </c>
      <c r="S1242" t="s">
        <v>45</v>
      </c>
      <c r="T124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2">
        <v>60608</v>
      </c>
      <c r="V1242" t="s">
        <v>38</v>
      </c>
      <c r="W1242" t="s">
        <v>300</v>
      </c>
      <c r="X1242">
        <v>10.00000000000000000000000000000000000002</v>
      </c>
      <c r="Y1242">
        <v>0</v>
      </c>
      <c r="Z1242" t="s">
        <v>46</v>
      </c>
      <c r="AA1242">
        <v>61608</v>
      </c>
      <c r="AB1242" t="s">
        <v>1314</v>
      </c>
      <c r="AC1242" t="s">
        <v>103</v>
      </c>
      <c r="AD1242" t="s">
        <v>38</v>
      </c>
      <c r="AE1242" t="s">
        <v>49</v>
      </c>
      <c r="AF1242" t="s">
        <v>50</v>
      </c>
      <c r="AG1242">
        <v>0</v>
      </c>
      <c r="AH1242">
        <v>0</v>
      </c>
      <c r="AI1242" t="s">
        <v>51</v>
      </c>
      <c r="AJ1242" t="s">
        <v>51</v>
      </c>
      <c r="AK1242" t="s">
        <v>51</v>
      </c>
    </row>
    <row r="1243" spans="1:37" x14ac:dyDescent="0.2">
      <c r="A1243">
        <v>60606</v>
      </c>
      <c r="B1243" t="s">
        <v>37</v>
      </c>
      <c r="C1243" t="s">
        <v>38</v>
      </c>
      <c r="D1243" t="s">
        <v>674</v>
      </c>
      <c r="E1243" t="s">
        <v>40</v>
      </c>
      <c r="G1243" s="4">
        <v>43947.508865740741</v>
      </c>
      <c r="H1243" s="4">
        <v>43947.509513888889</v>
      </c>
      <c r="I1243" t="s">
        <v>1205</v>
      </c>
      <c r="J1243" s="5">
        <v>55.99999999999999999999999999999999999999</v>
      </c>
      <c r="K1243" t="s">
        <v>38</v>
      </c>
      <c r="M1243">
        <v>60607</v>
      </c>
      <c r="N1243" t="s">
        <v>705</v>
      </c>
      <c r="O1243" t="s">
        <v>706</v>
      </c>
      <c r="P1243" t="s">
        <v>38</v>
      </c>
      <c r="Q1243" t="s">
        <v>300</v>
      </c>
      <c r="R1243">
        <v>10.00000000000000000000000000000000000002</v>
      </c>
      <c r="S1243" t="s">
        <v>45</v>
      </c>
      <c r="T124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3">
        <v>60608</v>
      </c>
      <c r="V1243" t="s">
        <v>38</v>
      </c>
      <c r="W1243" t="s">
        <v>300</v>
      </c>
      <c r="X1243">
        <v>10.00000000000000000000000000000000000002</v>
      </c>
      <c r="Y1243">
        <v>0</v>
      </c>
      <c r="Z1243" t="s">
        <v>46</v>
      </c>
      <c r="AA1243">
        <v>61607</v>
      </c>
      <c r="AB1243" t="s">
        <v>1315</v>
      </c>
      <c r="AC1243" t="s">
        <v>103</v>
      </c>
      <c r="AD1243" t="s">
        <v>38</v>
      </c>
      <c r="AE1243" t="s">
        <v>49</v>
      </c>
      <c r="AF1243" t="s">
        <v>50</v>
      </c>
      <c r="AG1243">
        <v>0</v>
      </c>
      <c r="AH1243">
        <v>0</v>
      </c>
      <c r="AI1243" t="s">
        <v>51</v>
      </c>
      <c r="AJ1243" t="s">
        <v>51</v>
      </c>
      <c r="AK1243" t="s">
        <v>51</v>
      </c>
    </row>
    <row r="1244" spans="1:37" x14ac:dyDescent="0.2">
      <c r="A1244">
        <v>60606</v>
      </c>
      <c r="B1244" t="s">
        <v>37</v>
      </c>
      <c r="C1244" t="s">
        <v>38</v>
      </c>
      <c r="D1244" t="s">
        <v>674</v>
      </c>
      <c r="E1244" t="s">
        <v>40</v>
      </c>
      <c r="G1244" s="4">
        <v>43947.508865740741</v>
      </c>
      <c r="H1244" s="4">
        <v>43947.509513888889</v>
      </c>
      <c r="I1244" t="s">
        <v>1205</v>
      </c>
      <c r="J1244" s="5">
        <v>55.99999999999999999999999999999999999999</v>
      </c>
      <c r="K1244" t="s">
        <v>38</v>
      </c>
      <c r="M1244">
        <v>60607</v>
      </c>
      <c r="N1244" t="s">
        <v>705</v>
      </c>
      <c r="O1244" t="s">
        <v>706</v>
      </c>
      <c r="P1244" t="s">
        <v>38</v>
      </c>
      <c r="Q1244" t="s">
        <v>300</v>
      </c>
      <c r="R1244">
        <v>10.00000000000000000000000000000000000002</v>
      </c>
      <c r="S1244" t="s">
        <v>45</v>
      </c>
      <c r="T124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4">
        <v>60608</v>
      </c>
      <c r="V1244" t="s">
        <v>38</v>
      </c>
      <c r="W1244" t="s">
        <v>300</v>
      </c>
      <c r="X1244">
        <v>10.00000000000000000000000000000000000002</v>
      </c>
      <c r="Y1244">
        <v>0</v>
      </c>
      <c r="Z1244" t="s">
        <v>46</v>
      </c>
      <c r="AA1244">
        <v>61606</v>
      </c>
      <c r="AB1244" t="s">
        <v>1316</v>
      </c>
      <c r="AC1244" t="s">
        <v>103</v>
      </c>
      <c r="AD1244" t="s">
        <v>38</v>
      </c>
      <c r="AE1244" t="s">
        <v>49</v>
      </c>
      <c r="AF1244" t="s">
        <v>50</v>
      </c>
      <c r="AG1244">
        <v>0</v>
      </c>
      <c r="AH1244">
        <v>0</v>
      </c>
      <c r="AI1244" t="s">
        <v>51</v>
      </c>
      <c r="AJ1244" t="s">
        <v>51</v>
      </c>
      <c r="AK1244" t="s">
        <v>51</v>
      </c>
    </row>
    <row r="1245" spans="1:37" x14ac:dyDescent="0.2">
      <c r="A1245">
        <v>60606</v>
      </c>
      <c r="B1245" t="s">
        <v>37</v>
      </c>
      <c r="C1245" t="s">
        <v>38</v>
      </c>
      <c r="D1245" t="s">
        <v>674</v>
      </c>
      <c r="E1245" t="s">
        <v>40</v>
      </c>
      <c r="G1245" s="4">
        <v>43947.508865740741</v>
      </c>
      <c r="H1245" s="4">
        <v>43947.509513888889</v>
      </c>
      <c r="I1245" t="s">
        <v>1205</v>
      </c>
      <c r="J1245" s="5">
        <v>55.99999999999999999999999999999999999999</v>
      </c>
      <c r="K1245" t="s">
        <v>38</v>
      </c>
      <c r="M1245">
        <v>60607</v>
      </c>
      <c r="N1245" t="s">
        <v>705</v>
      </c>
      <c r="O1245" t="s">
        <v>706</v>
      </c>
      <c r="P1245" t="s">
        <v>38</v>
      </c>
      <c r="Q1245" t="s">
        <v>300</v>
      </c>
      <c r="R1245">
        <v>10.00000000000000000000000000000000000002</v>
      </c>
      <c r="S1245" t="s">
        <v>45</v>
      </c>
      <c r="T124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5">
        <v>60608</v>
      </c>
      <c r="V1245" t="s">
        <v>38</v>
      </c>
      <c r="W1245" t="s">
        <v>300</v>
      </c>
      <c r="X1245">
        <v>10.00000000000000000000000000000000000002</v>
      </c>
      <c r="Y1245">
        <v>0</v>
      </c>
      <c r="Z1245" t="s">
        <v>46</v>
      </c>
      <c r="AA1245">
        <v>61605</v>
      </c>
      <c r="AB1245" t="s">
        <v>1317</v>
      </c>
      <c r="AC1245" t="s">
        <v>103</v>
      </c>
      <c r="AD1245" t="s">
        <v>38</v>
      </c>
      <c r="AE1245" t="s">
        <v>49</v>
      </c>
      <c r="AF1245" t="s">
        <v>50</v>
      </c>
      <c r="AG1245">
        <v>0</v>
      </c>
      <c r="AH1245">
        <v>0</v>
      </c>
      <c r="AI1245" t="s">
        <v>51</v>
      </c>
      <c r="AJ1245" t="s">
        <v>51</v>
      </c>
      <c r="AK1245" t="s">
        <v>51</v>
      </c>
    </row>
    <row r="1246" spans="1:37" x14ac:dyDescent="0.2">
      <c r="A1246">
        <v>60606</v>
      </c>
      <c r="B1246" t="s">
        <v>37</v>
      </c>
      <c r="C1246" t="s">
        <v>38</v>
      </c>
      <c r="D1246" t="s">
        <v>674</v>
      </c>
      <c r="E1246" t="s">
        <v>40</v>
      </c>
      <c r="G1246" s="4">
        <v>43947.508865740741</v>
      </c>
      <c r="H1246" s="4">
        <v>43947.509513888889</v>
      </c>
      <c r="I1246" t="s">
        <v>1205</v>
      </c>
      <c r="J1246" s="5">
        <v>55.99999999999999999999999999999999999999</v>
      </c>
      <c r="K1246" t="s">
        <v>38</v>
      </c>
      <c r="M1246">
        <v>60607</v>
      </c>
      <c r="N1246" t="s">
        <v>705</v>
      </c>
      <c r="O1246" t="s">
        <v>706</v>
      </c>
      <c r="P1246" t="s">
        <v>38</v>
      </c>
      <c r="Q1246" t="s">
        <v>300</v>
      </c>
      <c r="R1246">
        <v>10.00000000000000000000000000000000000002</v>
      </c>
      <c r="S1246" t="s">
        <v>45</v>
      </c>
      <c r="T124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6">
        <v>60608</v>
      </c>
      <c r="V1246" t="s">
        <v>38</v>
      </c>
      <c r="W1246" t="s">
        <v>300</v>
      </c>
      <c r="X1246">
        <v>10.00000000000000000000000000000000000002</v>
      </c>
      <c r="Y1246">
        <v>0</v>
      </c>
      <c r="Z1246" t="s">
        <v>46</v>
      </c>
      <c r="AA1246">
        <v>61604</v>
      </c>
      <c r="AB1246" t="s">
        <v>1318</v>
      </c>
      <c r="AC1246" t="s">
        <v>103</v>
      </c>
      <c r="AD1246" t="s">
        <v>38</v>
      </c>
      <c r="AE1246" t="s">
        <v>49</v>
      </c>
      <c r="AF1246" t="s">
        <v>50</v>
      </c>
      <c r="AG1246">
        <v>0</v>
      </c>
      <c r="AH1246">
        <v>0</v>
      </c>
      <c r="AI1246" t="s">
        <v>51</v>
      </c>
      <c r="AJ1246" t="s">
        <v>51</v>
      </c>
      <c r="AK1246" t="s">
        <v>51</v>
      </c>
    </row>
    <row r="1247" spans="1:37" x14ac:dyDescent="0.2">
      <c r="A1247">
        <v>60606</v>
      </c>
      <c r="B1247" t="s">
        <v>37</v>
      </c>
      <c r="C1247" t="s">
        <v>38</v>
      </c>
      <c r="D1247" t="s">
        <v>674</v>
      </c>
      <c r="E1247" t="s">
        <v>40</v>
      </c>
      <c r="G1247" s="4">
        <v>43947.508865740741</v>
      </c>
      <c r="H1247" s="4">
        <v>43947.509513888889</v>
      </c>
      <c r="I1247" t="s">
        <v>1205</v>
      </c>
      <c r="J1247" s="5">
        <v>55.99999999999999999999999999999999999999</v>
      </c>
      <c r="K1247" t="s">
        <v>38</v>
      </c>
      <c r="M1247">
        <v>60607</v>
      </c>
      <c r="N1247" t="s">
        <v>705</v>
      </c>
      <c r="O1247" t="s">
        <v>706</v>
      </c>
      <c r="P1247" t="s">
        <v>38</v>
      </c>
      <c r="Q1247" t="s">
        <v>300</v>
      </c>
      <c r="R1247">
        <v>10.00000000000000000000000000000000000002</v>
      </c>
      <c r="S1247" t="s">
        <v>45</v>
      </c>
      <c r="T124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7">
        <v>60608</v>
      </c>
      <c r="V1247" t="s">
        <v>38</v>
      </c>
      <c r="W1247" t="s">
        <v>300</v>
      </c>
      <c r="X1247">
        <v>10.00000000000000000000000000000000000002</v>
      </c>
      <c r="Y1247">
        <v>0</v>
      </c>
      <c r="Z1247" t="s">
        <v>46</v>
      </c>
      <c r="AA1247">
        <v>61603</v>
      </c>
      <c r="AB1247" t="s">
        <v>1319</v>
      </c>
      <c r="AC1247" t="s">
        <v>103</v>
      </c>
      <c r="AD1247" t="s">
        <v>38</v>
      </c>
      <c r="AE1247" t="s">
        <v>49</v>
      </c>
      <c r="AF1247" t="s">
        <v>50</v>
      </c>
      <c r="AG1247">
        <v>0</v>
      </c>
      <c r="AH1247">
        <v>0</v>
      </c>
      <c r="AI1247" t="s">
        <v>51</v>
      </c>
      <c r="AJ1247" t="s">
        <v>51</v>
      </c>
      <c r="AK1247" t="s">
        <v>51</v>
      </c>
    </row>
    <row r="1248" spans="1:37" x14ac:dyDescent="0.2">
      <c r="A1248">
        <v>60606</v>
      </c>
      <c r="B1248" t="s">
        <v>37</v>
      </c>
      <c r="C1248" t="s">
        <v>38</v>
      </c>
      <c r="D1248" t="s">
        <v>674</v>
      </c>
      <c r="E1248" t="s">
        <v>40</v>
      </c>
      <c r="G1248" s="4">
        <v>43947.508865740741</v>
      </c>
      <c r="H1248" s="4">
        <v>43947.509513888889</v>
      </c>
      <c r="I1248" t="s">
        <v>1205</v>
      </c>
      <c r="J1248" s="5">
        <v>55.99999999999999999999999999999999999999</v>
      </c>
      <c r="K1248" t="s">
        <v>38</v>
      </c>
      <c r="M1248">
        <v>60607</v>
      </c>
      <c r="N1248" t="s">
        <v>705</v>
      </c>
      <c r="O1248" t="s">
        <v>706</v>
      </c>
      <c r="P1248" t="s">
        <v>38</v>
      </c>
      <c r="Q1248" t="s">
        <v>300</v>
      </c>
      <c r="R1248">
        <v>10.00000000000000000000000000000000000002</v>
      </c>
      <c r="S1248" t="s">
        <v>45</v>
      </c>
      <c r="T124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8">
        <v>60608</v>
      </c>
      <c r="V1248" t="s">
        <v>38</v>
      </c>
      <c r="W1248" t="s">
        <v>300</v>
      </c>
      <c r="X1248">
        <v>10.00000000000000000000000000000000000002</v>
      </c>
      <c r="Y1248">
        <v>0</v>
      </c>
      <c r="Z1248" t="s">
        <v>46</v>
      </c>
      <c r="AA1248">
        <v>61602</v>
      </c>
      <c r="AB1248" t="s">
        <v>1320</v>
      </c>
      <c r="AC1248" t="s">
        <v>103</v>
      </c>
      <c r="AD1248" t="s">
        <v>38</v>
      </c>
      <c r="AE1248" t="s">
        <v>49</v>
      </c>
      <c r="AF1248" t="s">
        <v>50</v>
      </c>
      <c r="AG1248">
        <v>0</v>
      </c>
      <c r="AH1248">
        <v>0</v>
      </c>
      <c r="AI1248" t="s">
        <v>51</v>
      </c>
      <c r="AJ1248" t="s">
        <v>51</v>
      </c>
      <c r="AK1248" t="s">
        <v>51</v>
      </c>
    </row>
    <row r="1249" spans="1:37" x14ac:dyDescent="0.2">
      <c r="A1249">
        <v>60606</v>
      </c>
      <c r="B1249" t="s">
        <v>37</v>
      </c>
      <c r="C1249" t="s">
        <v>38</v>
      </c>
      <c r="D1249" t="s">
        <v>674</v>
      </c>
      <c r="E1249" t="s">
        <v>40</v>
      </c>
      <c r="G1249" s="4">
        <v>43947.508865740741</v>
      </c>
      <c r="H1249" s="4">
        <v>43947.509513888889</v>
      </c>
      <c r="I1249" t="s">
        <v>1205</v>
      </c>
      <c r="J1249" s="5">
        <v>55.99999999999999999999999999999999999999</v>
      </c>
      <c r="K1249" t="s">
        <v>38</v>
      </c>
      <c r="M1249">
        <v>60607</v>
      </c>
      <c r="N1249" t="s">
        <v>705</v>
      </c>
      <c r="O1249" t="s">
        <v>706</v>
      </c>
      <c r="P1249" t="s">
        <v>38</v>
      </c>
      <c r="Q1249" t="s">
        <v>300</v>
      </c>
      <c r="R1249">
        <v>10.00000000000000000000000000000000000002</v>
      </c>
      <c r="S1249" t="s">
        <v>45</v>
      </c>
      <c r="T124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49">
        <v>60608</v>
      </c>
      <c r="V1249" t="s">
        <v>38</v>
      </c>
      <c r="W1249" t="s">
        <v>300</v>
      </c>
      <c r="X1249">
        <v>10.00000000000000000000000000000000000002</v>
      </c>
      <c r="Y1249">
        <v>0</v>
      </c>
      <c r="Z1249" t="s">
        <v>46</v>
      </c>
      <c r="AA1249">
        <v>61601</v>
      </c>
      <c r="AB1249" t="s">
        <v>1321</v>
      </c>
      <c r="AC1249" t="s">
        <v>103</v>
      </c>
      <c r="AD1249" t="s">
        <v>38</v>
      </c>
      <c r="AE1249" t="s">
        <v>49</v>
      </c>
      <c r="AF1249" t="s">
        <v>50</v>
      </c>
      <c r="AG1249">
        <v>0</v>
      </c>
      <c r="AH1249">
        <v>0</v>
      </c>
      <c r="AI1249" t="s">
        <v>51</v>
      </c>
      <c r="AJ1249" t="s">
        <v>51</v>
      </c>
      <c r="AK1249" t="s">
        <v>51</v>
      </c>
    </row>
    <row r="1250" spans="1:37" x14ac:dyDescent="0.2">
      <c r="A1250">
        <v>60606</v>
      </c>
      <c r="B1250" t="s">
        <v>37</v>
      </c>
      <c r="C1250" t="s">
        <v>38</v>
      </c>
      <c r="D1250" t="s">
        <v>674</v>
      </c>
      <c r="E1250" t="s">
        <v>40</v>
      </c>
      <c r="G1250" s="4">
        <v>43947.508865740741</v>
      </c>
      <c r="H1250" s="4">
        <v>43947.509513888889</v>
      </c>
      <c r="I1250" t="s">
        <v>1205</v>
      </c>
      <c r="J1250" s="5">
        <v>55.99999999999999999999999999999999999999</v>
      </c>
      <c r="K1250" t="s">
        <v>38</v>
      </c>
      <c r="M1250">
        <v>60607</v>
      </c>
      <c r="N1250" t="s">
        <v>705</v>
      </c>
      <c r="O1250" t="s">
        <v>706</v>
      </c>
      <c r="P1250" t="s">
        <v>38</v>
      </c>
      <c r="Q1250" t="s">
        <v>300</v>
      </c>
      <c r="R1250">
        <v>10.00000000000000000000000000000000000002</v>
      </c>
      <c r="S1250" t="s">
        <v>45</v>
      </c>
      <c r="T125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0">
        <v>60608</v>
      </c>
      <c r="V1250" t="s">
        <v>38</v>
      </c>
      <c r="W1250" t="s">
        <v>300</v>
      </c>
      <c r="X1250">
        <v>10.00000000000000000000000000000000000002</v>
      </c>
      <c r="Y1250">
        <v>0</v>
      </c>
      <c r="Z1250" t="s">
        <v>46</v>
      </c>
      <c r="AA1250">
        <v>60650</v>
      </c>
      <c r="AB1250" t="s">
        <v>1322</v>
      </c>
      <c r="AC1250" t="s">
        <v>103</v>
      </c>
      <c r="AD1250" t="s">
        <v>38</v>
      </c>
      <c r="AE1250" t="s">
        <v>49</v>
      </c>
      <c r="AF1250" t="s">
        <v>50</v>
      </c>
      <c r="AG1250">
        <v>0</v>
      </c>
      <c r="AH1250">
        <v>0</v>
      </c>
      <c r="AI1250" t="s">
        <v>51</v>
      </c>
      <c r="AJ1250" t="s">
        <v>51</v>
      </c>
      <c r="AK1250" t="s">
        <v>51</v>
      </c>
    </row>
    <row r="1251" spans="1:37" x14ac:dyDescent="0.2">
      <c r="A1251">
        <v>60606</v>
      </c>
      <c r="B1251" t="s">
        <v>37</v>
      </c>
      <c r="C1251" t="s">
        <v>38</v>
      </c>
      <c r="D1251" t="s">
        <v>674</v>
      </c>
      <c r="E1251" t="s">
        <v>40</v>
      </c>
      <c r="G1251" s="4">
        <v>43947.508865740741</v>
      </c>
      <c r="H1251" s="4">
        <v>43947.509513888889</v>
      </c>
      <c r="I1251" t="s">
        <v>1205</v>
      </c>
      <c r="J1251" s="5">
        <v>55.99999999999999999999999999999999999999</v>
      </c>
      <c r="K1251" t="s">
        <v>38</v>
      </c>
      <c r="M1251">
        <v>60607</v>
      </c>
      <c r="N1251" t="s">
        <v>705</v>
      </c>
      <c r="O1251" t="s">
        <v>706</v>
      </c>
      <c r="P1251" t="s">
        <v>38</v>
      </c>
      <c r="Q1251" t="s">
        <v>300</v>
      </c>
      <c r="R1251">
        <v>10.00000000000000000000000000000000000002</v>
      </c>
      <c r="S1251" t="s">
        <v>45</v>
      </c>
      <c r="T125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1">
        <v>60608</v>
      </c>
      <c r="V1251" t="s">
        <v>38</v>
      </c>
      <c r="W1251" t="s">
        <v>300</v>
      </c>
      <c r="X1251">
        <v>10.00000000000000000000000000000000000002</v>
      </c>
      <c r="Y1251">
        <v>0</v>
      </c>
      <c r="Z1251" t="s">
        <v>46</v>
      </c>
      <c r="AA1251">
        <v>60649</v>
      </c>
      <c r="AB1251" t="s">
        <v>1323</v>
      </c>
      <c r="AC1251" t="s">
        <v>103</v>
      </c>
      <c r="AD1251" t="s">
        <v>38</v>
      </c>
      <c r="AE1251" t="s">
        <v>49</v>
      </c>
      <c r="AF1251" t="s">
        <v>50</v>
      </c>
      <c r="AG1251">
        <v>0</v>
      </c>
      <c r="AH1251">
        <v>0</v>
      </c>
      <c r="AI1251" t="s">
        <v>51</v>
      </c>
      <c r="AJ1251" t="s">
        <v>51</v>
      </c>
      <c r="AK1251" t="s">
        <v>51</v>
      </c>
    </row>
    <row r="1252" spans="1:37" x14ac:dyDescent="0.2">
      <c r="A1252">
        <v>60606</v>
      </c>
      <c r="B1252" t="s">
        <v>37</v>
      </c>
      <c r="C1252" t="s">
        <v>38</v>
      </c>
      <c r="D1252" t="s">
        <v>674</v>
      </c>
      <c r="E1252" t="s">
        <v>40</v>
      </c>
      <c r="G1252" s="4">
        <v>43947.508865740741</v>
      </c>
      <c r="H1252" s="4">
        <v>43947.509513888889</v>
      </c>
      <c r="I1252" t="s">
        <v>1205</v>
      </c>
      <c r="J1252" s="5">
        <v>55.99999999999999999999999999999999999999</v>
      </c>
      <c r="K1252" t="s">
        <v>38</v>
      </c>
      <c r="M1252">
        <v>60607</v>
      </c>
      <c r="N1252" t="s">
        <v>705</v>
      </c>
      <c r="O1252" t="s">
        <v>706</v>
      </c>
      <c r="P1252" t="s">
        <v>38</v>
      </c>
      <c r="Q1252" t="s">
        <v>300</v>
      </c>
      <c r="R1252">
        <v>10.00000000000000000000000000000000000002</v>
      </c>
      <c r="S1252" t="s">
        <v>45</v>
      </c>
      <c r="T125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2">
        <v>60608</v>
      </c>
      <c r="V1252" t="s">
        <v>38</v>
      </c>
      <c r="W1252" t="s">
        <v>300</v>
      </c>
      <c r="X1252">
        <v>10.00000000000000000000000000000000000002</v>
      </c>
      <c r="Y1252">
        <v>0</v>
      </c>
      <c r="Z1252" t="s">
        <v>46</v>
      </c>
      <c r="AA1252">
        <v>60648</v>
      </c>
      <c r="AB1252" t="s">
        <v>1324</v>
      </c>
      <c r="AC1252" t="s">
        <v>103</v>
      </c>
      <c r="AD1252" t="s">
        <v>38</v>
      </c>
      <c r="AE1252" t="s">
        <v>49</v>
      </c>
      <c r="AF1252" t="s">
        <v>50</v>
      </c>
      <c r="AG1252">
        <v>0</v>
      </c>
      <c r="AH1252">
        <v>0</v>
      </c>
      <c r="AI1252" t="s">
        <v>51</v>
      </c>
      <c r="AJ1252" t="s">
        <v>51</v>
      </c>
      <c r="AK1252" t="s">
        <v>51</v>
      </c>
    </row>
    <row r="1253" spans="1:37" x14ac:dyDescent="0.2">
      <c r="A1253">
        <v>60606</v>
      </c>
      <c r="B1253" t="s">
        <v>37</v>
      </c>
      <c r="C1253" t="s">
        <v>38</v>
      </c>
      <c r="D1253" t="s">
        <v>674</v>
      </c>
      <c r="E1253" t="s">
        <v>40</v>
      </c>
      <c r="G1253" s="4">
        <v>43947.508865740741</v>
      </c>
      <c r="H1253" s="4">
        <v>43947.509513888889</v>
      </c>
      <c r="I1253" t="s">
        <v>1205</v>
      </c>
      <c r="J1253" s="5">
        <v>55.99999999999999999999999999999999999999</v>
      </c>
      <c r="K1253" t="s">
        <v>38</v>
      </c>
      <c r="M1253">
        <v>60607</v>
      </c>
      <c r="N1253" t="s">
        <v>705</v>
      </c>
      <c r="O1253" t="s">
        <v>706</v>
      </c>
      <c r="P1253" t="s">
        <v>38</v>
      </c>
      <c r="Q1253" t="s">
        <v>300</v>
      </c>
      <c r="R1253">
        <v>10.00000000000000000000000000000000000002</v>
      </c>
      <c r="S1253" t="s">
        <v>45</v>
      </c>
      <c r="T125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3">
        <v>60608</v>
      </c>
      <c r="V1253" t="s">
        <v>38</v>
      </c>
      <c r="W1253" t="s">
        <v>300</v>
      </c>
      <c r="X1253">
        <v>10.00000000000000000000000000000000000002</v>
      </c>
      <c r="Y1253">
        <v>0</v>
      </c>
      <c r="Z1253" t="s">
        <v>46</v>
      </c>
      <c r="AA1253">
        <v>60647</v>
      </c>
      <c r="AB1253" t="s">
        <v>1325</v>
      </c>
      <c r="AC1253" t="s">
        <v>103</v>
      </c>
      <c r="AD1253" t="s">
        <v>38</v>
      </c>
      <c r="AE1253" t="s">
        <v>49</v>
      </c>
      <c r="AF1253" t="s">
        <v>50</v>
      </c>
      <c r="AG1253">
        <v>0</v>
      </c>
      <c r="AH1253">
        <v>0</v>
      </c>
      <c r="AI1253" t="s">
        <v>51</v>
      </c>
      <c r="AJ1253" t="s">
        <v>51</v>
      </c>
      <c r="AK1253" t="s">
        <v>51</v>
      </c>
    </row>
    <row r="1254" spans="1:37" x14ac:dyDescent="0.2">
      <c r="A1254">
        <v>60606</v>
      </c>
      <c r="B1254" t="s">
        <v>37</v>
      </c>
      <c r="C1254" t="s">
        <v>38</v>
      </c>
      <c r="D1254" t="s">
        <v>674</v>
      </c>
      <c r="E1254" t="s">
        <v>40</v>
      </c>
      <c r="G1254" s="4">
        <v>43947.508865740741</v>
      </c>
      <c r="H1254" s="4">
        <v>43947.509513888889</v>
      </c>
      <c r="I1254" t="s">
        <v>1205</v>
      </c>
      <c r="J1254" s="5">
        <v>55.99999999999999999999999999999999999999</v>
      </c>
      <c r="K1254" t="s">
        <v>38</v>
      </c>
      <c r="M1254">
        <v>60607</v>
      </c>
      <c r="N1254" t="s">
        <v>705</v>
      </c>
      <c r="O1254" t="s">
        <v>706</v>
      </c>
      <c r="P1254" t="s">
        <v>38</v>
      </c>
      <c r="Q1254" t="s">
        <v>300</v>
      </c>
      <c r="R1254">
        <v>10.00000000000000000000000000000000000002</v>
      </c>
      <c r="S1254" t="s">
        <v>45</v>
      </c>
      <c r="T125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4">
        <v>60608</v>
      </c>
      <c r="V1254" t="s">
        <v>38</v>
      </c>
      <c r="W1254" t="s">
        <v>300</v>
      </c>
      <c r="X1254">
        <v>10.00000000000000000000000000000000000002</v>
      </c>
      <c r="Y1254">
        <v>0</v>
      </c>
      <c r="Z1254" t="s">
        <v>46</v>
      </c>
      <c r="AA1254">
        <v>60646</v>
      </c>
      <c r="AB1254" t="s">
        <v>1326</v>
      </c>
      <c r="AC1254" t="s">
        <v>103</v>
      </c>
      <c r="AD1254" t="s">
        <v>38</v>
      </c>
      <c r="AE1254" t="s">
        <v>49</v>
      </c>
      <c r="AF1254" t="s">
        <v>50</v>
      </c>
      <c r="AG1254">
        <v>0</v>
      </c>
      <c r="AH1254">
        <v>0</v>
      </c>
      <c r="AI1254" t="s">
        <v>51</v>
      </c>
      <c r="AJ1254" t="s">
        <v>51</v>
      </c>
      <c r="AK1254" t="s">
        <v>51</v>
      </c>
    </row>
    <row r="1255" spans="1:37" x14ac:dyDescent="0.2">
      <c r="A1255">
        <v>60606</v>
      </c>
      <c r="B1255" t="s">
        <v>37</v>
      </c>
      <c r="C1255" t="s">
        <v>38</v>
      </c>
      <c r="D1255" t="s">
        <v>674</v>
      </c>
      <c r="E1255" t="s">
        <v>40</v>
      </c>
      <c r="G1255" s="4">
        <v>43947.508865740741</v>
      </c>
      <c r="H1255" s="4">
        <v>43947.509513888889</v>
      </c>
      <c r="I1255" t="s">
        <v>1205</v>
      </c>
      <c r="J1255" s="5">
        <v>55.99999999999999999999999999999999999999</v>
      </c>
      <c r="K1255" t="s">
        <v>38</v>
      </c>
      <c r="M1255">
        <v>60607</v>
      </c>
      <c r="N1255" t="s">
        <v>705</v>
      </c>
      <c r="O1255" t="s">
        <v>706</v>
      </c>
      <c r="P1255" t="s">
        <v>38</v>
      </c>
      <c r="Q1255" t="s">
        <v>300</v>
      </c>
      <c r="R1255">
        <v>10.00000000000000000000000000000000000002</v>
      </c>
      <c r="S1255" t="s">
        <v>45</v>
      </c>
      <c r="T125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5">
        <v>60608</v>
      </c>
      <c r="V1255" t="s">
        <v>38</v>
      </c>
      <c r="W1255" t="s">
        <v>300</v>
      </c>
      <c r="X1255">
        <v>10.00000000000000000000000000000000000002</v>
      </c>
      <c r="Y1255">
        <v>0</v>
      </c>
      <c r="Z1255" t="s">
        <v>46</v>
      </c>
      <c r="AA1255">
        <v>60645</v>
      </c>
      <c r="AB1255" t="s">
        <v>1327</v>
      </c>
      <c r="AC1255" t="s">
        <v>103</v>
      </c>
      <c r="AD1255" t="s">
        <v>38</v>
      </c>
      <c r="AE1255" t="s">
        <v>49</v>
      </c>
      <c r="AF1255" t="s">
        <v>50</v>
      </c>
      <c r="AG1255">
        <v>0</v>
      </c>
      <c r="AH1255">
        <v>0</v>
      </c>
      <c r="AI1255" t="s">
        <v>51</v>
      </c>
      <c r="AJ1255" t="s">
        <v>51</v>
      </c>
      <c r="AK1255" t="s">
        <v>51</v>
      </c>
    </row>
    <row r="1256" spans="1:37" x14ac:dyDescent="0.2">
      <c r="A1256">
        <v>60606</v>
      </c>
      <c r="B1256" t="s">
        <v>37</v>
      </c>
      <c r="C1256" t="s">
        <v>38</v>
      </c>
      <c r="D1256" t="s">
        <v>674</v>
      </c>
      <c r="E1256" t="s">
        <v>40</v>
      </c>
      <c r="G1256" s="4">
        <v>43947.508865740741</v>
      </c>
      <c r="H1256" s="4">
        <v>43947.509513888889</v>
      </c>
      <c r="I1256" t="s">
        <v>1205</v>
      </c>
      <c r="J1256" s="5">
        <v>55.99999999999999999999999999999999999999</v>
      </c>
      <c r="K1256" t="s">
        <v>38</v>
      </c>
      <c r="M1256">
        <v>60607</v>
      </c>
      <c r="N1256" t="s">
        <v>705</v>
      </c>
      <c r="O1256" t="s">
        <v>706</v>
      </c>
      <c r="P1256" t="s">
        <v>38</v>
      </c>
      <c r="Q1256" t="s">
        <v>300</v>
      </c>
      <c r="R1256">
        <v>10.00000000000000000000000000000000000002</v>
      </c>
      <c r="S1256" t="s">
        <v>45</v>
      </c>
      <c r="T125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6">
        <v>60608</v>
      </c>
      <c r="V1256" t="s">
        <v>38</v>
      </c>
      <c r="W1256" t="s">
        <v>300</v>
      </c>
      <c r="X1256">
        <v>10.00000000000000000000000000000000000002</v>
      </c>
      <c r="Y1256">
        <v>0</v>
      </c>
      <c r="Z1256" t="s">
        <v>46</v>
      </c>
      <c r="AA1256">
        <v>60644</v>
      </c>
      <c r="AB1256" t="s">
        <v>1328</v>
      </c>
      <c r="AC1256" t="s">
        <v>103</v>
      </c>
      <c r="AD1256" t="s">
        <v>38</v>
      </c>
      <c r="AE1256" t="s">
        <v>49</v>
      </c>
      <c r="AF1256" t="s">
        <v>50</v>
      </c>
      <c r="AG1256">
        <v>0</v>
      </c>
      <c r="AH1256">
        <v>0</v>
      </c>
      <c r="AI1256" t="s">
        <v>51</v>
      </c>
      <c r="AJ1256" t="s">
        <v>51</v>
      </c>
      <c r="AK1256" t="s">
        <v>51</v>
      </c>
    </row>
    <row r="1257" spans="1:37" x14ac:dyDescent="0.2">
      <c r="A1257">
        <v>60606</v>
      </c>
      <c r="B1257" t="s">
        <v>37</v>
      </c>
      <c r="C1257" t="s">
        <v>38</v>
      </c>
      <c r="D1257" t="s">
        <v>674</v>
      </c>
      <c r="E1257" t="s">
        <v>40</v>
      </c>
      <c r="G1257" s="4">
        <v>43947.508865740741</v>
      </c>
      <c r="H1257" s="4">
        <v>43947.509513888889</v>
      </c>
      <c r="I1257" t="s">
        <v>1205</v>
      </c>
      <c r="J1257" s="5">
        <v>55.99999999999999999999999999999999999999</v>
      </c>
      <c r="K1257" t="s">
        <v>38</v>
      </c>
      <c r="M1257">
        <v>60607</v>
      </c>
      <c r="N1257" t="s">
        <v>705</v>
      </c>
      <c r="O1257" t="s">
        <v>706</v>
      </c>
      <c r="P1257" t="s">
        <v>38</v>
      </c>
      <c r="Q1257" t="s">
        <v>300</v>
      </c>
      <c r="R1257">
        <v>10.00000000000000000000000000000000000002</v>
      </c>
      <c r="S1257" t="s">
        <v>45</v>
      </c>
      <c r="T125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7">
        <v>60608</v>
      </c>
      <c r="V1257" t="s">
        <v>38</v>
      </c>
      <c r="W1257" t="s">
        <v>300</v>
      </c>
      <c r="X1257">
        <v>10.00000000000000000000000000000000000002</v>
      </c>
      <c r="Y1257">
        <v>0</v>
      </c>
      <c r="Z1257" t="s">
        <v>46</v>
      </c>
      <c r="AA1257">
        <v>60643</v>
      </c>
      <c r="AB1257" t="s">
        <v>1329</v>
      </c>
      <c r="AC1257" t="s">
        <v>103</v>
      </c>
      <c r="AD1257" t="s">
        <v>38</v>
      </c>
      <c r="AE1257" t="s">
        <v>49</v>
      </c>
      <c r="AF1257" t="s">
        <v>50</v>
      </c>
      <c r="AG1257">
        <v>0</v>
      </c>
      <c r="AH1257">
        <v>0</v>
      </c>
      <c r="AI1257" t="s">
        <v>51</v>
      </c>
      <c r="AJ1257" t="s">
        <v>51</v>
      </c>
      <c r="AK1257" t="s">
        <v>51</v>
      </c>
    </row>
    <row r="1258" spans="1:37" x14ac:dyDescent="0.2">
      <c r="A1258">
        <v>60606</v>
      </c>
      <c r="B1258" t="s">
        <v>37</v>
      </c>
      <c r="C1258" t="s">
        <v>38</v>
      </c>
      <c r="D1258" t="s">
        <v>674</v>
      </c>
      <c r="E1258" t="s">
        <v>40</v>
      </c>
      <c r="G1258" s="4">
        <v>43947.508865740741</v>
      </c>
      <c r="H1258" s="4">
        <v>43947.509513888889</v>
      </c>
      <c r="I1258" t="s">
        <v>1205</v>
      </c>
      <c r="J1258" s="5">
        <v>55.99999999999999999999999999999999999999</v>
      </c>
      <c r="K1258" t="s">
        <v>38</v>
      </c>
      <c r="M1258">
        <v>60607</v>
      </c>
      <c r="N1258" t="s">
        <v>705</v>
      </c>
      <c r="O1258" t="s">
        <v>706</v>
      </c>
      <c r="P1258" t="s">
        <v>38</v>
      </c>
      <c r="Q1258" t="s">
        <v>300</v>
      </c>
      <c r="R1258">
        <v>10.00000000000000000000000000000000000002</v>
      </c>
      <c r="S1258" t="s">
        <v>45</v>
      </c>
      <c r="T125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8">
        <v>60608</v>
      </c>
      <c r="V1258" t="s">
        <v>38</v>
      </c>
      <c r="W1258" t="s">
        <v>300</v>
      </c>
      <c r="X1258">
        <v>10.00000000000000000000000000000000000002</v>
      </c>
      <c r="Y1258">
        <v>0</v>
      </c>
      <c r="Z1258" t="s">
        <v>46</v>
      </c>
      <c r="AA1258">
        <v>60642</v>
      </c>
      <c r="AB1258" t="s">
        <v>1330</v>
      </c>
      <c r="AC1258" t="s">
        <v>103</v>
      </c>
      <c r="AD1258" t="s">
        <v>38</v>
      </c>
      <c r="AE1258" t="s">
        <v>49</v>
      </c>
      <c r="AF1258" t="s">
        <v>50</v>
      </c>
      <c r="AG1258">
        <v>0</v>
      </c>
      <c r="AH1258">
        <v>0</v>
      </c>
      <c r="AI1258" t="s">
        <v>51</v>
      </c>
      <c r="AJ1258" t="s">
        <v>51</v>
      </c>
      <c r="AK1258" t="s">
        <v>51</v>
      </c>
    </row>
    <row r="1259" spans="1:37" x14ac:dyDescent="0.2">
      <c r="A1259">
        <v>60606</v>
      </c>
      <c r="B1259" t="s">
        <v>37</v>
      </c>
      <c r="C1259" t="s">
        <v>38</v>
      </c>
      <c r="D1259" t="s">
        <v>674</v>
      </c>
      <c r="E1259" t="s">
        <v>40</v>
      </c>
      <c r="G1259" s="4">
        <v>43947.508865740741</v>
      </c>
      <c r="H1259" s="4">
        <v>43947.509513888889</v>
      </c>
      <c r="I1259" t="s">
        <v>1205</v>
      </c>
      <c r="J1259" s="5">
        <v>55.99999999999999999999999999999999999999</v>
      </c>
      <c r="K1259" t="s">
        <v>38</v>
      </c>
      <c r="M1259">
        <v>60607</v>
      </c>
      <c r="N1259" t="s">
        <v>705</v>
      </c>
      <c r="O1259" t="s">
        <v>706</v>
      </c>
      <c r="P1259" t="s">
        <v>38</v>
      </c>
      <c r="Q1259" t="s">
        <v>300</v>
      </c>
      <c r="R1259">
        <v>10.00000000000000000000000000000000000002</v>
      </c>
      <c r="S1259" t="s">
        <v>45</v>
      </c>
      <c r="T125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59">
        <v>60608</v>
      </c>
      <c r="V1259" t="s">
        <v>38</v>
      </c>
      <c r="W1259" t="s">
        <v>300</v>
      </c>
      <c r="X1259">
        <v>10.00000000000000000000000000000000000002</v>
      </c>
      <c r="Y1259">
        <v>0</v>
      </c>
      <c r="Z1259" t="s">
        <v>46</v>
      </c>
      <c r="AA1259">
        <v>60641</v>
      </c>
      <c r="AB1259" t="s">
        <v>1331</v>
      </c>
      <c r="AC1259" t="s">
        <v>103</v>
      </c>
      <c r="AD1259" t="s">
        <v>38</v>
      </c>
      <c r="AE1259" t="s">
        <v>49</v>
      </c>
      <c r="AF1259" t="s">
        <v>50</v>
      </c>
      <c r="AG1259">
        <v>0</v>
      </c>
      <c r="AH1259">
        <v>0</v>
      </c>
      <c r="AI1259" t="s">
        <v>51</v>
      </c>
      <c r="AJ1259" t="s">
        <v>51</v>
      </c>
      <c r="AK1259" t="s">
        <v>51</v>
      </c>
    </row>
    <row r="1260" spans="1:37" x14ac:dyDescent="0.2">
      <c r="A1260">
        <v>60606</v>
      </c>
      <c r="B1260" t="s">
        <v>37</v>
      </c>
      <c r="C1260" t="s">
        <v>38</v>
      </c>
      <c r="D1260" t="s">
        <v>674</v>
      </c>
      <c r="E1260" t="s">
        <v>40</v>
      </c>
      <c r="G1260" s="4">
        <v>43947.508865740741</v>
      </c>
      <c r="H1260" s="4">
        <v>43947.509513888889</v>
      </c>
      <c r="I1260" t="s">
        <v>1205</v>
      </c>
      <c r="J1260" s="5">
        <v>55.99999999999999999999999999999999999999</v>
      </c>
      <c r="K1260" t="s">
        <v>38</v>
      </c>
      <c r="M1260">
        <v>60607</v>
      </c>
      <c r="N1260" t="s">
        <v>705</v>
      </c>
      <c r="O1260" t="s">
        <v>706</v>
      </c>
      <c r="P1260" t="s">
        <v>38</v>
      </c>
      <c r="Q1260" t="s">
        <v>300</v>
      </c>
      <c r="R1260">
        <v>10.00000000000000000000000000000000000002</v>
      </c>
      <c r="S1260" t="s">
        <v>45</v>
      </c>
      <c r="T126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0">
        <v>60608</v>
      </c>
      <c r="V1260" t="s">
        <v>38</v>
      </c>
      <c r="W1260" t="s">
        <v>300</v>
      </c>
      <c r="X1260">
        <v>10.00000000000000000000000000000000000002</v>
      </c>
      <c r="Y1260">
        <v>0</v>
      </c>
      <c r="Z1260" t="s">
        <v>46</v>
      </c>
      <c r="AA1260">
        <v>60640</v>
      </c>
      <c r="AB1260" t="s">
        <v>1332</v>
      </c>
      <c r="AC1260" t="s">
        <v>103</v>
      </c>
      <c r="AD1260" t="s">
        <v>38</v>
      </c>
      <c r="AE1260" t="s">
        <v>49</v>
      </c>
      <c r="AF1260" t="s">
        <v>50</v>
      </c>
      <c r="AG1260">
        <v>0</v>
      </c>
      <c r="AH1260">
        <v>0</v>
      </c>
      <c r="AI1260" t="s">
        <v>51</v>
      </c>
      <c r="AJ1260" t="s">
        <v>51</v>
      </c>
      <c r="AK1260" t="s">
        <v>51</v>
      </c>
    </row>
    <row r="1261" spans="1:37" x14ac:dyDescent="0.2">
      <c r="A1261">
        <v>60606</v>
      </c>
      <c r="B1261" t="s">
        <v>37</v>
      </c>
      <c r="C1261" t="s">
        <v>38</v>
      </c>
      <c r="D1261" t="s">
        <v>674</v>
      </c>
      <c r="E1261" t="s">
        <v>40</v>
      </c>
      <c r="G1261" s="4">
        <v>43947.508865740741</v>
      </c>
      <c r="H1261" s="4">
        <v>43947.509513888889</v>
      </c>
      <c r="I1261" t="s">
        <v>1205</v>
      </c>
      <c r="J1261" s="5">
        <v>55.99999999999999999999999999999999999999</v>
      </c>
      <c r="K1261" t="s">
        <v>38</v>
      </c>
      <c r="M1261">
        <v>60607</v>
      </c>
      <c r="N1261" t="s">
        <v>705</v>
      </c>
      <c r="O1261" t="s">
        <v>706</v>
      </c>
      <c r="P1261" t="s">
        <v>38</v>
      </c>
      <c r="Q1261" t="s">
        <v>300</v>
      </c>
      <c r="R1261">
        <v>10.00000000000000000000000000000000000002</v>
      </c>
      <c r="S1261" t="s">
        <v>45</v>
      </c>
      <c r="T126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1">
        <v>60608</v>
      </c>
      <c r="V1261" t="s">
        <v>38</v>
      </c>
      <c r="W1261" t="s">
        <v>300</v>
      </c>
      <c r="X1261">
        <v>10.00000000000000000000000000000000000002</v>
      </c>
      <c r="Y1261">
        <v>0</v>
      </c>
      <c r="Z1261" t="s">
        <v>46</v>
      </c>
      <c r="AA1261">
        <v>60639</v>
      </c>
      <c r="AB1261" t="s">
        <v>1333</v>
      </c>
      <c r="AC1261" t="s">
        <v>103</v>
      </c>
      <c r="AD1261" t="s">
        <v>38</v>
      </c>
      <c r="AE1261" t="s">
        <v>49</v>
      </c>
      <c r="AF1261" t="s">
        <v>50</v>
      </c>
      <c r="AG1261">
        <v>.9999999999999999999999999999999999999996</v>
      </c>
      <c r="AH1261">
        <v>0</v>
      </c>
      <c r="AI1261" t="s">
        <v>51</v>
      </c>
      <c r="AJ1261" t="s">
        <v>51</v>
      </c>
      <c r="AK1261" t="s">
        <v>51</v>
      </c>
    </row>
    <row r="1262" spans="1:37" x14ac:dyDescent="0.2">
      <c r="A1262">
        <v>60606</v>
      </c>
      <c r="B1262" t="s">
        <v>37</v>
      </c>
      <c r="C1262" t="s">
        <v>38</v>
      </c>
      <c r="D1262" t="s">
        <v>674</v>
      </c>
      <c r="E1262" t="s">
        <v>40</v>
      </c>
      <c r="G1262" s="4">
        <v>43947.508865740741</v>
      </c>
      <c r="H1262" s="4">
        <v>43947.509513888889</v>
      </c>
      <c r="I1262" t="s">
        <v>1205</v>
      </c>
      <c r="J1262" s="5">
        <v>55.99999999999999999999999999999999999999</v>
      </c>
      <c r="K1262" t="s">
        <v>38</v>
      </c>
      <c r="M1262">
        <v>60607</v>
      </c>
      <c r="N1262" t="s">
        <v>705</v>
      </c>
      <c r="O1262" t="s">
        <v>706</v>
      </c>
      <c r="P1262" t="s">
        <v>38</v>
      </c>
      <c r="Q1262" t="s">
        <v>300</v>
      </c>
      <c r="R1262">
        <v>10.00000000000000000000000000000000000002</v>
      </c>
      <c r="S1262" t="s">
        <v>45</v>
      </c>
      <c r="T126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2">
        <v>60608</v>
      </c>
      <c r="V1262" t="s">
        <v>38</v>
      </c>
      <c r="W1262" t="s">
        <v>300</v>
      </c>
      <c r="X1262">
        <v>10.00000000000000000000000000000000000002</v>
      </c>
      <c r="Y1262">
        <v>0</v>
      </c>
      <c r="Z1262" t="s">
        <v>46</v>
      </c>
      <c r="AA1262">
        <v>60638</v>
      </c>
      <c r="AB1262" t="s">
        <v>1334</v>
      </c>
      <c r="AC1262" t="s">
        <v>103</v>
      </c>
      <c r="AD1262" t="s">
        <v>38</v>
      </c>
      <c r="AE1262" t="s">
        <v>49</v>
      </c>
      <c r="AF1262" t="s">
        <v>50</v>
      </c>
      <c r="AG1262">
        <v>0</v>
      </c>
      <c r="AH1262">
        <v>0</v>
      </c>
      <c r="AI1262" t="s">
        <v>51</v>
      </c>
      <c r="AJ1262" t="s">
        <v>51</v>
      </c>
      <c r="AK1262" t="s">
        <v>51</v>
      </c>
    </row>
    <row r="1263" spans="1:37" x14ac:dyDescent="0.2">
      <c r="A1263">
        <v>60606</v>
      </c>
      <c r="B1263" t="s">
        <v>37</v>
      </c>
      <c r="C1263" t="s">
        <v>38</v>
      </c>
      <c r="D1263" t="s">
        <v>674</v>
      </c>
      <c r="E1263" t="s">
        <v>40</v>
      </c>
      <c r="G1263" s="4">
        <v>43947.508865740741</v>
      </c>
      <c r="H1263" s="4">
        <v>43947.509513888889</v>
      </c>
      <c r="I1263" t="s">
        <v>1205</v>
      </c>
      <c r="J1263" s="5">
        <v>55.99999999999999999999999999999999999999</v>
      </c>
      <c r="K1263" t="s">
        <v>38</v>
      </c>
      <c r="M1263">
        <v>60607</v>
      </c>
      <c r="N1263" t="s">
        <v>705</v>
      </c>
      <c r="O1263" t="s">
        <v>706</v>
      </c>
      <c r="P1263" t="s">
        <v>38</v>
      </c>
      <c r="Q1263" t="s">
        <v>300</v>
      </c>
      <c r="R1263">
        <v>10.00000000000000000000000000000000000002</v>
      </c>
      <c r="S1263" t="s">
        <v>45</v>
      </c>
      <c r="T126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3">
        <v>60608</v>
      </c>
      <c r="V1263" t="s">
        <v>38</v>
      </c>
      <c r="W1263" t="s">
        <v>300</v>
      </c>
      <c r="X1263">
        <v>10.00000000000000000000000000000000000002</v>
      </c>
      <c r="Y1263">
        <v>0</v>
      </c>
      <c r="Z1263" t="s">
        <v>46</v>
      </c>
      <c r="AA1263">
        <v>60637</v>
      </c>
      <c r="AB1263" t="s">
        <v>1335</v>
      </c>
      <c r="AC1263" t="s">
        <v>103</v>
      </c>
      <c r="AD1263" t="s">
        <v>38</v>
      </c>
      <c r="AE1263" t="s">
        <v>49</v>
      </c>
      <c r="AF1263" t="s">
        <v>50</v>
      </c>
      <c r="AG1263">
        <v>0</v>
      </c>
      <c r="AH1263">
        <v>0</v>
      </c>
      <c r="AI1263" t="s">
        <v>51</v>
      </c>
      <c r="AJ1263" t="s">
        <v>51</v>
      </c>
      <c r="AK1263" t="s">
        <v>51</v>
      </c>
    </row>
    <row r="1264" spans="1:37" x14ac:dyDescent="0.2">
      <c r="A1264">
        <v>60606</v>
      </c>
      <c r="B1264" t="s">
        <v>37</v>
      </c>
      <c r="C1264" t="s">
        <v>38</v>
      </c>
      <c r="D1264" t="s">
        <v>674</v>
      </c>
      <c r="E1264" t="s">
        <v>40</v>
      </c>
      <c r="G1264" s="4">
        <v>43947.508865740741</v>
      </c>
      <c r="H1264" s="4">
        <v>43947.509513888889</v>
      </c>
      <c r="I1264" t="s">
        <v>1205</v>
      </c>
      <c r="J1264" s="5">
        <v>55.99999999999999999999999999999999999999</v>
      </c>
      <c r="K1264" t="s">
        <v>38</v>
      </c>
      <c r="M1264">
        <v>60607</v>
      </c>
      <c r="N1264" t="s">
        <v>705</v>
      </c>
      <c r="O1264" t="s">
        <v>706</v>
      </c>
      <c r="P1264" t="s">
        <v>38</v>
      </c>
      <c r="Q1264" t="s">
        <v>300</v>
      </c>
      <c r="R1264">
        <v>10.00000000000000000000000000000000000002</v>
      </c>
      <c r="S1264" t="s">
        <v>45</v>
      </c>
      <c r="T126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4">
        <v>60608</v>
      </c>
      <c r="V1264" t="s">
        <v>38</v>
      </c>
      <c r="W1264" t="s">
        <v>300</v>
      </c>
      <c r="X1264">
        <v>10.00000000000000000000000000000000000002</v>
      </c>
      <c r="Y1264">
        <v>0</v>
      </c>
      <c r="Z1264" t="s">
        <v>46</v>
      </c>
      <c r="AA1264">
        <v>60636</v>
      </c>
      <c r="AB1264" t="s">
        <v>1336</v>
      </c>
      <c r="AC1264" t="s">
        <v>103</v>
      </c>
      <c r="AD1264" t="s">
        <v>38</v>
      </c>
      <c r="AE1264" t="s">
        <v>49</v>
      </c>
      <c r="AF1264" t="s">
        <v>50</v>
      </c>
      <c r="AG1264">
        <v>0</v>
      </c>
      <c r="AH1264">
        <v>0</v>
      </c>
      <c r="AI1264" t="s">
        <v>51</v>
      </c>
      <c r="AJ1264" t="s">
        <v>51</v>
      </c>
      <c r="AK1264" t="s">
        <v>51</v>
      </c>
    </row>
    <row r="1265" spans="1:37" x14ac:dyDescent="0.2">
      <c r="A1265">
        <v>60606</v>
      </c>
      <c r="B1265" t="s">
        <v>37</v>
      </c>
      <c r="C1265" t="s">
        <v>38</v>
      </c>
      <c r="D1265" t="s">
        <v>674</v>
      </c>
      <c r="E1265" t="s">
        <v>40</v>
      </c>
      <c r="G1265" s="4">
        <v>43947.508865740741</v>
      </c>
      <c r="H1265" s="4">
        <v>43947.509513888889</v>
      </c>
      <c r="I1265" t="s">
        <v>1205</v>
      </c>
      <c r="J1265" s="5">
        <v>55.99999999999999999999999999999999999999</v>
      </c>
      <c r="K1265" t="s">
        <v>38</v>
      </c>
      <c r="M1265">
        <v>60607</v>
      </c>
      <c r="N1265" t="s">
        <v>705</v>
      </c>
      <c r="O1265" t="s">
        <v>706</v>
      </c>
      <c r="P1265" t="s">
        <v>38</v>
      </c>
      <c r="Q1265" t="s">
        <v>300</v>
      </c>
      <c r="R1265">
        <v>10.00000000000000000000000000000000000002</v>
      </c>
      <c r="S1265" t="s">
        <v>45</v>
      </c>
      <c r="T126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5">
        <v>60608</v>
      </c>
      <c r="V1265" t="s">
        <v>38</v>
      </c>
      <c r="W1265" t="s">
        <v>300</v>
      </c>
      <c r="X1265">
        <v>10.00000000000000000000000000000000000002</v>
      </c>
      <c r="Y1265">
        <v>0</v>
      </c>
      <c r="Z1265" t="s">
        <v>46</v>
      </c>
      <c r="AA1265">
        <v>60635</v>
      </c>
      <c r="AB1265" t="s">
        <v>1337</v>
      </c>
      <c r="AC1265" t="s">
        <v>103</v>
      </c>
      <c r="AD1265" t="s">
        <v>38</v>
      </c>
      <c r="AE1265" t="s">
        <v>49</v>
      </c>
      <c r="AF1265" t="s">
        <v>50</v>
      </c>
      <c r="AG1265">
        <v>0</v>
      </c>
      <c r="AH1265">
        <v>0</v>
      </c>
      <c r="AI1265" t="s">
        <v>51</v>
      </c>
      <c r="AJ1265" t="s">
        <v>51</v>
      </c>
      <c r="AK1265" t="s">
        <v>51</v>
      </c>
    </row>
    <row r="1266" spans="1:37" x14ac:dyDescent="0.2">
      <c r="A1266">
        <v>60606</v>
      </c>
      <c r="B1266" t="s">
        <v>37</v>
      </c>
      <c r="C1266" t="s">
        <v>38</v>
      </c>
      <c r="D1266" t="s">
        <v>674</v>
      </c>
      <c r="E1266" t="s">
        <v>40</v>
      </c>
      <c r="G1266" s="4">
        <v>43947.508865740741</v>
      </c>
      <c r="H1266" s="4">
        <v>43947.509513888889</v>
      </c>
      <c r="I1266" t="s">
        <v>1205</v>
      </c>
      <c r="J1266" s="5">
        <v>55.99999999999999999999999999999999999999</v>
      </c>
      <c r="K1266" t="s">
        <v>38</v>
      </c>
      <c r="M1266">
        <v>60607</v>
      </c>
      <c r="N1266" t="s">
        <v>705</v>
      </c>
      <c r="O1266" t="s">
        <v>706</v>
      </c>
      <c r="P1266" t="s">
        <v>38</v>
      </c>
      <c r="Q1266" t="s">
        <v>300</v>
      </c>
      <c r="R1266">
        <v>10.00000000000000000000000000000000000002</v>
      </c>
      <c r="S1266" t="s">
        <v>45</v>
      </c>
      <c r="T126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6">
        <v>60608</v>
      </c>
      <c r="V1266" t="s">
        <v>38</v>
      </c>
      <c r="W1266" t="s">
        <v>300</v>
      </c>
      <c r="X1266">
        <v>10.00000000000000000000000000000000000002</v>
      </c>
      <c r="Y1266">
        <v>0</v>
      </c>
      <c r="Z1266" t="s">
        <v>46</v>
      </c>
      <c r="AA1266">
        <v>60634</v>
      </c>
      <c r="AB1266" t="s">
        <v>1338</v>
      </c>
      <c r="AC1266" t="s">
        <v>103</v>
      </c>
      <c r="AD1266" t="s">
        <v>38</v>
      </c>
      <c r="AE1266" t="s">
        <v>49</v>
      </c>
      <c r="AF1266" t="s">
        <v>50</v>
      </c>
      <c r="AG1266">
        <v>0</v>
      </c>
      <c r="AH1266">
        <v>0</v>
      </c>
      <c r="AI1266" t="s">
        <v>51</v>
      </c>
      <c r="AJ1266" t="s">
        <v>51</v>
      </c>
      <c r="AK1266" t="s">
        <v>51</v>
      </c>
    </row>
    <row r="1267" spans="1:37" x14ac:dyDescent="0.2">
      <c r="A1267">
        <v>60606</v>
      </c>
      <c r="B1267" t="s">
        <v>37</v>
      </c>
      <c r="C1267" t="s">
        <v>38</v>
      </c>
      <c r="D1267" t="s">
        <v>674</v>
      </c>
      <c r="E1267" t="s">
        <v>40</v>
      </c>
      <c r="G1267" s="4">
        <v>43947.508865740741</v>
      </c>
      <c r="H1267" s="4">
        <v>43947.509513888889</v>
      </c>
      <c r="I1267" t="s">
        <v>1205</v>
      </c>
      <c r="J1267" s="5">
        <v>55.99999999999999999999999999999999999999</v>
      </c>
      <c r="K1267" t="s">
        <v>38</v>
      </c>
      <c r="M1267">
        <v>60607</v>
      </c>
      <c r="N1267" t="s">
        <v>705</v>
      </c>
      <c r="O1267" t="s">
        <v>706</v>
      </c>
      <c r="P1267" t="s">
        <v>38</v>
      </c>
      <c r="Q1267" t="s">
        <v>300</v>
      </c>
      <c r="R1267">
        <v>10.00000000000000000000000000000000000002</v>
      </c>
      <c r="S1267" t="s">
        <v>45</v>
      </c>
      <c r="T126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7">
        <v>60608</v>
      </c>
      <c r="V1267" t="s">
        <v>38</v>
      </c>
      <c r="W1267" t="s">
        <v>300</v>
      </c>
      <c r="X1267">
        <v>10.00000000000000000000000000000000000002</v>
      </c>
      <c r="Y1267">
        <v>0</v>
      </c>
      <c r="Z1267" t="s">
        <v>46</v>
      </c>
      <c r="AA1267">
        <v>60633</v>
      </c>
      <c r="AB1267" t="s">
        <v>1339</v>
      </c>
      <c r="AC1267" t="s">
        <v>103</v>
      </c>
      <c r="AD1267" t="s">
        <v>38</v>
      </c>
      <c r="AE1267" t="s">
        <v>49</v>
      </c>
      <c r="AF1267" t="s">
        <v>50</v>
      </c>
      <c r="AG1267">
        <v>0</v>
      </c>
      <c r="AH1267">
        <v>0</v>
      </c>
      <c r="AI1267" t="s">
        <v>51</v>
      </c>
      <c r="AJ1267" t="s">
        <v>51</v>
      </c>
      <c r="AK1267" t="s">
        <v>51</v>
      </c>
    </row>
    <row r="1268" spans="1:37" x14ac:dyDescent="0.2">
      <c r="A1268">
        <v>60606</v>
      </c>
      <c r="B1268" t="s">
        <v>37</v>
      </c>
      <c r="C1268" t="s">
        <v>38</v>
      </c>
      <c r="D1268" t="s">
        <v>674</v>
      </c>
      <c r="E1268" t="s">
        <v>40</v>
      </c>
      <c r="G1268" s="4">
        <v>43947.508865740741</v>
      </c>
      <c r="H1268" s="4">
        <v>43947.509513888889</v>
      </c>
      <c r="I1268" t="s">
        <v>1205</v>
      </c>
      <c r="J1268" s="5">
        <v>55.99999999999999999999999999999999999999</v>
      </c>
      <c r="K1268" t="s">
        <v>38</v>
      </c>
      <c r="M1268">
        <v>60607</v>
      </c>
      <c r="N1268" t="s">
        <v>705</v>
      </c>
      <c r="O1268" t="s">
        <v>706</v>
      </c>
      <c r="P1268" t="s">
        <v>38</v>
      </c>
      <c r="Q1268" t="s">
        <v>300</v>
      </c>
      <c r="R1268">
        <v>10.00000000000000000000000000000000000002</v>
      </c>
      <c r="S1268" t="s">
        <v>45</v>
      </c>
      <c r="T126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8">
        <v>60608</v>
      </c>
      <c r="V1268" t="s">
        <v>38</v>
      </c>
      <c r="W1268" t="s">
        <v>300</v>
      </c>
      <c r="X1268">
        <v>10.00000000000000000000000000000000000002</v>
      </c>
      <c r="Y1268">
        <v>0</v>
      </c>
      <c r="Z1268" t="s">
        <v>46</v>
      </c>
      <c r="AA1268">
        <v>60632</v>
      </c>
      <c r="AB1268" t="s">
        <v>1340</v>
      </c>
      <c r="AC1268" t="s">
        <v>103</v>
      </c>
      <c r="AD1268" t="s">
        <v>38</v>
      </c>
      <c r="AE1268" t="s">
        <v>49</v>
      </c>
      <c r="AF1268" t="s">
        <v>50</v>
      </c>
      <c r="AG1268">
        <v>0</v>
      </c>
      <c r="AH1268">
        <v>0</v>
      </c>
      <c r="AI1268" t="s">
        <v>51</v>
      </c>
      <c r="AJ1268" t="s">
        <v>51</v>
      </c>
      <c r="AK1268" t="s">
        <v>51</v>
      </c>
    </row>
    <row r="1269" spans="1:37" x14ac:dyDescent="0.2">
      <c r="A1269">
        <v>60606</v>
      </c>
      <c r="B1269" t="s">
        <v>37</v>
      </c>
      <c r="C1269" t="s">
        <v>38</v>
      </c>
      <c r="D1269" t="s">
        <v>674</v>
      </c>
      <c r="E1269" t="s">
        <v>40</v>
      </c>
      <c r="G1269" s="4">
        <v>43947.508865740741</v>
      </c>
      <c r="H1269" s="4">
        <v>43947.509513888889</v>
      </c>
      <c r="I1269" t="s">
        <v>1205</v>
      </c>
      <c r="J1269" s="5">
        <v>55.99999999999999999999999999999999999999</v>
      </c>
      <c r="K1269" t="s">
        <v>38</v>
      </c>
      <c r="M1269">
        <v>60607</v>
      </c>
      <c r="N1269" t="s">
        <v>705</v>
      </c>
      <c r="O1269" t="s">
        <v>706</v>
      </c>
      <c r="P1269" t="s">
        <v>38</v>
      </c>
      <c r="Q1269" t="s">
        <v>300</v>
      </c>
      <c r="R1269">
        <v>10.00000000000000000000000000000000000002</v>
      </c>
      <c r="S1269" t="s">
        <v>45</v>
      </c>
      <c r="T126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69">
        <v>60608</v>
      </c>
      <c r="V1269" t="s">
        <v>38</v>
      </c>
      <c r="W1269" t="s">
        <v>300</v>
      </c>
      <c r="X1269">
        <v>10.00000000000000000000000000000000000002</v>
      </c>
      <c r="Y1269">
        <v>0</v>
      </c>
      <c r="Z1269" t="s">
        <v>46</v>
      </c>
      <c r="AA1269">
        <v>60631</v>
      </c>
      <c r="AB1269" t="s">
        <v>1341</v>
      </c>
      <c r="AC1269" t="s">
        <v>103</v>
      </c>
      <c r="AD1269" t="s">
        <v>38</v>
      </c>
      <c r="AE1269" t="s">
        <v>49</v>
      </c>
      <c r="AF1269" t="s">
        <v>50</v>
      </c>
      <c r="AG1269">
        <v>0</v>
      </c>
      <c r="AH1269">
        <v>0</v>
      </c>
      <c r="AI1269" t="s">
        <v>51</v>
      </c>
      <c r="AJ1269" t="s">
        <v>51</v>
      </c>
      <c r="AK1269" t="s">
        <v>51</v>
      </c>
    </row>
    <row r="1270" spans="1:37" x14ac:dyDescent="0.2">
      <c r="A1270">
        <v>60606</v>
      </c>
      <c r="B1270" t="s">
        <v>37</v>
      </c>
      <c r="C1270" t="s">
        <v>38</v>
      </c>
      <c r="D1270" t="s">
        <v>674</v>
      </c>
      <c r="E1270" t="s">
        <v>40</v>
      </c>
      <c r="G1270" s="4">
        <v>43947.508865740741</v>
      </c>
      <c r="H1270" s="4">
        <v>43947.509513888889</v>
      </c>
      <c r="I1270" t="s">
        <v>1205</v>
      </c>
      <c r="J1270" s="5">
        <v>55.99999999999999999999999999999999999999</v>
      </c>
      <c r="K1270" t="s">
        <v>38</v>
      </c>
      <c r="M1270">
        <v>60607</v>
      </c>
      <c r="N1270" t="s">
        <v>705</v>
      </c>
      <c r="O1270" t="s">
        <v>706</v>
      </c>
      <c r="P1270" t="s">
        <v>38</v>
      </c>
      <c r="Q1270" t="s">
        <v>300</v>
      </c>
      <c r="R1270">
        <v>10.00000000000000000000000000000000000002</v>
      </c>
      <c r="S1270" t="s">
        <v>45</v>
      </c>
      <c r="T127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0">
        <v>60608</v>
      </c>
      <c r="V1270" t="s">
        <v>38</v>
      </c>
      <c r="W1270" t="s">
        <v>300</v>
      </c>
      <c r="X1270">
        <v>10.00000000000000000000000000000000000002</v>
      </c>
      <c r="Y1270">
        <v>0</v>
      </c>
      <c r="Z1270" t="s">
        <v>46</v>
      </c>
      <c r="AA1270">
        <v>60630</v>
      </c>
      <c r="AB1270" t="s">
        <v>1342</v>
      </c>
      <c r="AC1270" t="s">
        <v>103</v>
      </c>
      <c r="AD1270" t="s">
        <v>38</v>
      </c>
      <c r="AE1270" t="s">
        <v>49</v>
      </c>
      <c r="AF1270" t="s">
        <v>50</v>
      </c>
      <c r="AG1270">
        <v>0</v>
      </c>
      <c r="AH1270">
        <v>0</v>
      </c>
      <c r="AI1270" t="s">
        <v>51</v>
      </c>
      <c r="AJ1270" t="s">
        <v>51</v>
      </c>
      <c r="AK1270" t="s">
        <v>51</v>
      </c>
    </row>
    <row r="1271" spans="1:37" x14ac:dyDescent="0.2">
      <c r="A1271">
        <v>60606</v>
      </c>
      <c r="B1271" t="s">
        <v>37</v>
      </c>
      <c r="C1271" t="s">
        <v>38</v>
      </c>
      <c r="D1271" t="s">
        <v>674</v>
      </c>
      <c r="E1271" t="s">
        <v>40</v>
      </c>
      <c r="G1271" s="4">
        <v>43947.508865740741</v>
      </c>
      <c r="H1271" s="4">
        <v>43947.509513888889</v>
      </c>
      <c r="I1271" t="s">
        <v>1205</v>
      </c>
      <c r="J1271" s="5">
        <v>55.99999999999999999999999999999999999999</v>
      </c>
      <c r="K1271" t="s">
        <v>38</v>
      </c>
      <c r="M1271">
        <v>60607</v>
      </c>
      <c r="N1271" t="s">
        <v>705</v>
      </c>
      <c r="O1271" t="s">
        <v>706</v>
      </c>
      <c r="P1271" t="s">
        <v>38</v>
      </c>
      <c r="Q1271" t="s">
        <v>300</v>
      </c>
      <c r="R1271">
        <v>10.00000000000000000000000000000000000002</v>
      </c>
      <c r="S1271" t="s">
        <v>45</v>
      </c>
      <c r="T127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1">
        <v>60608</v>
      </c>
      <c r="V1271" t="s">
        <v>38</v>
      </c>
      <c r="W1271" t="s">
        <v>300</v>
      </c>
      <c r="X1271">
        <v>10.00000000000000000000000000000000000002</v>
      </c>
      <c r="Y1271">
        <v>0</v>
      </c>
      <c r="Z1271" t="s">
        <v>46</v>
      </c>
      <c r="AA1271">
        <v>60629</v>
      </c>
      <c r="AB1271" t="s">
        <v>1343</v>
      </c>
      <c r="AC1271" t="s">
        <v>103</v>
      </c>
      <c r="AD1271" t="s">
        <v>38</v>
      </c>
      <c r="AE1271" t="s">
        <v>49</v>
      </c>
      <c r="AF1271" t="s">
        <v>50</v>
      </c>
      <c r="AG1271">
        <v>0</v>
      </c>
      <c r="AH1271">
        <v>0</v>
      </c>
      <c r="AI1271" t="s">
        <v>51</v>
      </c>
      <c r="AJ1271" t="s">
        <v>51</v>
      </c>
      <c r="AK1271" t="s">
        <v>51</v>
      </c>
    </row>
    <row r="1272" spans="1:37" x14ac:dyDescent="0.2">
      <c r="A1272">
        <v>60606</v>
      </c>
      <c r="B1272" t="s">
        <v>37</v>
      </c>
      <c r="C1272" t="s">
        <v>38</v>
      </c>
      <c r="D1272" t="s">
        <v>674</v>
      </c>
      <c r="E1272" t="s">
        <v>40</v>
      </c>
      <c r="G1272" s="4">
        <v>43947.508865740741</v>
      </c>
      <c r="H1272" s="4">
        <v>43947.509513888889</v>
      </c>
      <c r="I1272" t="s">
        <v>1205</v>
      </c>
      <c r="J1272" s="5">
        <v>55.99999999999999999999999999999999999999</v>
      </c>
      <c r="K1272" t="s">
        <v>38</v>
      </c>
      <c r="M1272">
        <v>60607</v>
      </c>
      <c r="N1272" t="s">
        <v>705</v>
      </c>
      <c r="O1272" t="s">
        <v>706</v>
      </c>
      <c r="P1272" t="s">
        <v>38</v>
      </c>
      <c r="Q1272" t="s">
        <v>300</v>
      </c>
      <c r="R1272">
        <v>10.00000000000000000000000000000000000002</v>
      </c>
      <c r="S1272" t="s">
        <v>45</v>
      </c>
      <c r="T127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2">
        <v>60608</v>
      </c>
      <c r="V1272" t="s">
        <v>38</v>
      </c>
      <c r="W1272" t="s">
        <v>300</v>
      </c>
      <c r="X1272">
        <v>10.00000000000000000000000000000000000002</v>
      </c>
      <c r="Y1272">
        <v>0</v>
      </c>
      <c r="Z1272" t="s">
        <v>46</v>
      </c>
      <c r="AA1272">
        <v>60628</v>
      </c>
      <c r="AB1272" t="s">
        <v>1344</v>
      </c>
      <c r="AC1272" t="s">
        <v>103</v>
      </c>
      <c r="AD1272" t="s">
        <v>38</v>
      </c>
      <c r="AE1272" t="s">
        <v>49</v>
      </c>
      <c r="AF1272" t="s">
        <v>50</v>
      </c>
      <c r="AG1272">
        <v>0</v>
      </c>
      <c r="AH1272">
        <v>0</v>
      </c>
      <c r="AI1272" t="s">
        <v>51</v>
      </c>
      <c r="AJ1272" t="s">
        <v>51</v>
      </c>
      <c r="AK1272" t="s">
        <v>51</v>
      </c>
    </row>
    <row r="1273" spans="1:37" x14ac:dyDescent="0.2">
      <c r="A1273">
        <v>60606</v>
      </c>
      <c r="B1273" t="s">
        <v>37</v>
      </c>
      <c r="C1273" t="s">
        <v>38</v>
      </c>
      <c r="D1273" t="s">
        <v>674</v>
      </c>
      <c r="E1273" t="s">
        <v>40</v>
      </c>
      <c r="G1273" s="4">
        <v>43947.508865740741</v>
      </c>
      <c r="H1273" s="4">
        <v>43947.509513888889</v>
      </c>
      <c r="I1273" t="s">
        <v>1205</v>
      </c>
      <c r="J1273" s="5">
        <v>55.99999999999999999999999999999999999999</v>
      </c>
      <c r="K1273" t="s">
        <v>38</v>
      </c>
      <c r="M1273">
        <v>60607</v>
      </c>
      <c r="N1273" t="s">
        <v>705</v>
      </c>
      <c r="O1273" t="s">
        <v>706</v>
      </c>
      <c r="P1273" t="s">
        <v>38</v>
      </c>
      <c r="Q1273" t="s">
        <v>300</v>
      </c>
      <c r="R1273">
        <v>10.00000000000000000000000000000000000002</v>
      </c>
      <c r="S1273" t="s">
        <v>45</v>
      </c>
      <c r="T127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3">
        <v>60608</v>
      </c>
      <c r="V1273" t="s">
        <v>38</v>
      </c>
      <c r="W1273" t="s">
        <v>300</v>
      </c>
      <c r="X1273">
        <v>10.00000000000000000000000000000000000002</v>
      </c>
      <c r="Y1273">
        <v>0</v>
      </c>
      <c r="Z1273" t="s">
        <v>46</v>
      </c>
      <c r="AA1273">
        <v>60627</v>
      </c>
      <c r="AB1273" t="s">
        <v>1345</v>
      </c>
      <c r="AC1273" t="s">
        <v>103</v>
      </c>
      <c r="AD1273" t="s">
        <v>38</v>
      </c>
      <c r="AE1273" t="s">
        <v>49</v>
      </c>
      <c r="AF1273" t="s">
        <v>50</v>
      </c>
      <c r="AG1273">
        <v>0</v>
      </c>
      <c r="AH1273">
        <v>0</v>
      </c>
      <c r="AI1273" t="s">
        <v>51</v>
      </c>
      <c r="AJ1273" t="s">
        <v>51</v>
      </c>
      <c r="AK1273" t="s">
        <v>51</v>
      </c>
    </row>
    <row r="1274" spans="1:37" x14ac:dyDescent="0.2">
      <c r="A1274">
        <v>60606</v>
      </c>
      <c r="B1274" t="s">
        <v>37</v>
      </c>
      <c r="C1274" t="s">
        <v>38</v>
      </c>
      <c r="D1274" t="s">
        <v>674</v>
      </c>
      <c r="E1274" t="s">
        <v>40</v>
      </c>
      <c r="G1274" s="4">
        <v>43947.508865740741</v>
      </c>
      <c r="H1274" s="4">
        <v>43947.509513888889</v>
      </c>
      <c r="I1274" t="s">
        <v>1205</v>
      </c>
      <c r="J1274" s="5">
        <v>55.99999999999999999999999999999999999999</v>
      </c>
      <c r="K1274" t="s">
        <v>38</v>
      </c>
      <c r="M1274">
        <v>60607</v>
      </c>
      <c r="N1274" t="s">
        <v>705</v>
      </c>
      <c r="O1274" t="s">
        <v>706</v>
      </c>
      <c r="P1274" t="s">
        <v>38</v>
      </c>
      <c r="Q1274" t="s">
        <v>300</v>
      </c>
      <c r="R1274">
        <v>10.00000000000000000000000000000000000002</v>
      </c>
      <c r="S1274" t="s">
        <v>45</v>
      </c>
      <c r="T127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4">
        <v>60608</v>
      </c>
      <c r="V1274" t="s">
        <v>38</v>
      </c>
      <c r="W1274" t="s">
        <v>300</v>
      </c>
      <c r="X1274">
        <v>10.00000000000000000000000000000000000002</v>
      </c>
      <c r="Y1274">
        <v>0</v>
      </c>
      <c r="Z1274" t="s">
        <v>46</v>
      </c>
      <c r="AA1274">
        <v>60626</v>
      </c>
      <c r="AB1274" t="s">
        <v>1346</v>
      </c>
      <c r="AC1274" t="s">
        <v>103</v>
      </c>
      <c r="AD1274" t="s">
        <v>38</v>
      </c>
      <c r="AE1274" t="s">
        <v>49</v>
      </c>
      <c r="AF1274" t="s">
        <v>50</v>
      </c>
      <c r="AG1274">
        <v>0</v>
      </c>
      <c r="AH1274">
        <v>0</v>
      </c>
      <c r="AI1274" t="s">
        <v>51</v>
      </c>
      <c r="AJ1274" t="s">
        <v>51</v>
      </c>
      <c r="AK1274" t="s">
        <v>51</v>
      </c>
    </row>
    <row r="1275" spans="1:37" x14ac:dyDescent="0.2">
      <c r="A1275">
        <v>60606</v>
      </c>
      <c r="B1275" t="s">
        <v>37</v>
      </c>
      <c r="C1275" t="s">
        <v>38</v>
      </c>
      <c r="D1275" t="s">
        <v>674</v>
      </c>
      <c r="E1275" t="s">
        <v>40</v>
      </c>
      <c r="G1275" s="4">
        <v>43947.508865740741</v>
      </c>
      <c r="H1275" s="4">
        <v>43947.509513888889</v>
      </c>
      <c r="I1275" t="s">
        <v>1205</v>
      </c>
      <c r="J1275" s="5">
        <v>55.99999999999999999999999999999999999999</v>
      </c>
      <c r="K1275" t="s">
        <v>38</v>
      </c>
      <c r="M1275">
        <v>60607</v>
      </c>
      <c r="N1275" t="s">
        <v>705</v>
      </c>
      <c r="O1275" t="s">
        <v>706</v>
      </c>
      <c r="P1275" t="s">
        <v>38</v>
      </c>
      <c r="Q1275" t="s">
        <v>300</v>
      </c>
      <c r="R1275">
        <v>10.00000000000000000000000000000000000002</v>
      </c>
      <c r="S1275" t="s">
        <v>45</v>
      </c>
      <c r="T127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5">
        <v>60608</v>
      </c>
      <c r="V1275" t="s">
        <v>38</v>
      </c>
      <c r="W1275" t="s">
        <v>300</v>
      </c>
      <c r="X1275">
        <v>10.00000000000000000000000000000000000002</v>
      </c>
      <c r="Y1275">
        <v>0</v>
      </c>
      <c r="Z1275" t="s">
        <v>46</v>
      </c>
      <c r="AA1275">
        <v>60625</v>
      </c>
      <c r="AB1275" t="s">
        <v>1347</v>
      </c>
      <c r="AC1275" t="s">
        <v>103</v>
      </c>
      <c r="AD1275" t="s">
        <v>38</v>
      </c>
      <c r="AE1275" t="s">
        <v>49</v>
      </c>
      <c r="AF1275" t="s">
        <v>50</v>
      </c>
      <c r="AG1275">
        <v>0</v>
      </c>
      <c r="AH1275">
        <v>0</v>
      </c>
      <c r="AI1275" t="s">
        <v>51</v>
      </c>
      <c r="AJ1275" t="s">
        <v>51</v>
      </c>
      <c r="AK1275" t="s">
        <v>51</v>
      </c>
    </row>
    <row r="1276" spans="1:37" x14ac:dyDescent="0.2">
      <c r="A1276">
        <v>60606</v>
      </c>
      <c r="B1276" t="s">
        <v>37</v>
      </c>
      <c r="C1276" t="s">
        <v>38</v>
      </c>
      <c r="D1276" t="s">
        <v>674</v>
      </c>
      <c r="E1276" t="s">
        <v>40</v>
      </c>
      <c r="G1276" s="4">
        <v>43947.508865740741</v>
      </c>
      <c r="H1276" s="4">
        <v>43947.509513888889</v>
      </c>
      <c r="I1276" t="s">
        <v>1205</v>
      </c>
      <c r="J1276" s="5">
        <v>55.99999999999999999999999999999999999999</v>
      </c>
      <c r="K1276" t="s">
        <v>38</v>
      </c>
      <c r="M1276">
        <v>60607</v>
      </c>
      <c r="N1276" t="s">
        <v>705</v>
      </c>
      <c r="O1276" t="s">
        <v>706</v>
      </c>
      <c r="P1276" t="s">
        <v>38</v>
      </c>
      <c r="Q1276" t="s">
        <v>300</v>
      </c>
      <c r="R1276">
        <v>10.00000000000000000000000000000000000002</v>
      </c>
      <c r="S1276" t="s">
        <v>45</v>
      </c>
      <c r="T127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6">
        <v>60608</v>
      </c>
      <c r="V1276" t="s">
        <v>38</v>
      </c>
      <c r="W1276" t="s">
        <v>300</v>
      </c>
      <c r="X1276">
        <v>10.00000000000000000000000000000000000002</v>
      </c>
      <c r="Y1276">
        <v>0</v>
      </c>
      <c r="Z1276" t="s">
        <v>46</v>
      </c>
      <c r="AA1276">
        <v>60624</v>
      </c>
      <c r="AB1276" t="s">
        <v>1348</v>
      </c>
      <c r="AC1276" t="s">
        <v>103</v>
      </c>
      <c r="AD1276" t="s">
        <v>38</v>
      </c>
      <c r="AE1276" t="s">
        <v>49</v>
      </c>
      <c r="AF1276" t="s">
        <v>50</v>
      </c>
      <c r="AG1276">
        <v>0</v>
      </c>
      <c r="AH1276">
        <v>0</v>
      </c>
      <c r="AI1276" t="s">
        <v>51</v>
      </c>
      <c r="AJ1276" t="s">
        <v>51</v>
      </c>
      <c r="AK1276" t="s">
        <v>51</v>
      </c>
    </row>
    <row r="1277" spans="1:37" x14ac:dyDescent="0.2">
      <c r="A1277">
        <v>60606</v>
      </c>
      <c r="B1277" t="s">
        <v>37</v>
      </c>
      <c r="C1277" t="s">
        <v>38</v>
      </c>
      <c r="D1277" t="s">
        <v>674</v>
      </c>
      <c r="E1277" t="s">
        <v>40</v>
      </c>
      <c r="G1277" s="4">
        <v>43947.508865740741</v>
      </c>
      <c r="H1277" s="4">
        <v>43947.509513888889</v>
      </c>
      <c r="I1277" t="s">
        <v>1205</v>
      </c>
      <c r="J1277" s="5">
        <v>55.99999999999999999999999999999999999999</v>
      </c>
      <c r="K1277" t="s">
        <v>38</v>
      </c>
      <c r="M1277">
        <v>60607</v>
      </c>
      <c r="N1277" t="s">
        <v>705</v>
      </c>
      <c r="O1277" t="s">
        <v>706</v>
      </c>
      <c r="P1277" t="s">
        <v>38</v>
      </c>
      <c r="Q1277" t="s">
        <v>300</v>
      </c>
      <c r="R1277">
        <v>10.00000000000000000000000000000000000002</v>
      </c>
      <c r="S1277" t="s">
        <v>45</v>
      </c>
      <c r="T127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7">
        <v>60608</v>
      </c>
      <c r="V1277" t="s">
        <v>38</v>
      </c>
      <c r="W1277" t="s">
        <v>300</v>
      </c>
      <c r="X1277">
        <v>10.00000000000000000000000000000000000002</v>
      </c>
      <c r="Y1277">
        <v>0</v>
      </c>
      <c r="Z1277" t="s">
        <v>46</v>
      </c>
      <c r="AA1277">
        <v>60623</v>
      </c>
      <c r="AB1277" t="s">
        <v>1349</v>
      </c>
      <c r="AC1277" t="s">
        <v>103</v>
      </c>
      <c r="AD1277" t="s">
        <v>38</v>
      </c>
      <c r="AE1277" t="s">
        <v>49</v>
      </c>
      <c r="AF1277" t="s">
        <v>50</v>
      </c>
      <c r="AG1277">
        <v>0</v>
      </c>
      <c r="AH1277">
        <v>0</v>
      </c>
      <c r="AI1277" t="s">
        <v>51</v>
      </c>
      <c r="AJ1277" t="s">
        <v>51</v>
      </c>
      <c r="AK1277" t="s">
        <v>51</v>
      </c>
    </row>
    <row r="1278" spans="1:37" x14ac:dyDescent="0.2">
      <c r="A1278">
        <v>60606</v>
      </c>
      <c r="B1278" t="s">
        <v>37</v>
      </c>
      <c r="C1278" t="s">
        <v>38</v>
      </c>
      <c r="D1278" t="s">
        <v>674</v>
      </c>
      <c r="E1278" t="s">
        <v>40</v>
      </c>
      <c r="G1278" s="4">
        <v>43947.508865740741</v>
      </c>
      <c r="H1278" s="4">
        <v>43947.509513888889</v>
      </c>
      <c r="I1278" t="s">
        <v>1205</v>
      </c>
      <c r="J1278" s="5">
        <v>55.99999999999999999999999999999999999999</v>
      </c>
      <c r="K1278" t="s">
        <v>38</v>
      </c>
      <c r="M1278">
        <v>60607</v>
      </c>
      <c r="N1278" t="s">
        <v>705</v>
      </c>
      <c r="O1278" t="s">
        <v>706</v>
      </c>
      <c r="P1278" t="s">
        <v>38</v>
      </c>
      <c r="Q1278" t="s">
        <v>300</v>
      </c>
      <c r="R1278">
        <v>10.00000000000000000000000000000000000002</v>
      </c>
      <c r="S1278" t="s">
        <v>45</v>
      </c>
      <c r="T127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8">
        <v>60608</v>
      </c>
      <c r="V1278" t="s">
        <v>38</v>
      </c>
      <c r="W1278" t="s">
        <v>300</v>
      </c>
      <c r="X1278">
        <v>10.00000000000000000000000000000000000002</v>
      </c>
      <c r="Y1278">
        <v>0</v>
      </c>
      <c r="Z1278" t="s">
        <v>46</v>
      </c>
      <c r="AA1278">
        <v>60622</v>
      </c>
      <c r="AB1278" t="s">
        <v>1350</v>
      </c>
      <c r="AC1278" t="s">
        <v>103</v>
      </c>
      <c r="AD1278" t="s">
        <v>38</v>
      </c>
      <c r="AE1278" t="s">
        <v>49</v>
      </c>
      <c r="AF1278" t="s">
        <v>50</v>
      </c>
      <c r="AG1278">
        <v>0</v>
      </c>
      <c r="AH1278">
        <v>0</v>
      </c>
      <c r="AI1278" t="s">
        <v>51</v>
      </c>
      <c r="AJ1278" t="s">
        <v>51</v>
      </c>
      <c r="AK1278" t="s">
        <v>51</v>
      </c>
    </row>
    <row r="1279" spans="1:37" x14ac:dyDescent="0.2">
      <c r="A1279">
        <v>60606</v>
      </c>
      <c r="B1279" t="s">
        <v>37</v>
      </c>
      <c r="C1279" t="s">
        <v>38</v>
      </c>
      <c r="D1279" t="s">
        <v>674</v>
      </c>
      <c r="E1279" t="s">
        <v>40</v>
      </c>
      <c r="G1279" s="4">
        <v>43947.508865740741</v>
      </c>
      <c r="H1279" s="4">
        <v>43947.509513888889</v>
      </c>
      <c r="I1279" t="s">
        <v>1205</v>
      </c>
      <c r="J1279" s="5">
        <v>55.99999999999999999999999999999999999999</v>
      </c>
      <c r="K1279" t="s">
        <v>38</v>
      </c>
      <c r="M1279">
        <v>60607</v>
      </c>
      <c r="N1279" t="s">
        <v>705</v>
      </c>
      <c r="O1279" t="s">
        <v>706</v>
      </c>
      <c r="P1279" t="s">
        <v>38</v>
      </c>
      <c r="Q1279" t="s">
        <v>300</v>
      </c>
      <c r="R1279">
        <v>10.00000000000000000000000000000000000002</v>
      </c>
      <c r="S1279" t="s">
        <v>45</v>
      </c>
      <c r="T127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79">
        <v>60608</v>
      </c>
      <c r="V1279" t="s">
        <v>38</v>
      </c>
      <c r="W1279" t="s">
        <v>300</v>
      </c>
      <c r="X1279">
        <v>10.00000000000000000000000000000000000002</v>
      </c>
      <c r="Y1279">
        <v>0</v>
      </c>
      <c r="Z1279" t="s">
        <v>46</v>
      </c>
      <c r="AA1279">
        <v>60621</v>
      </c>
      <c r="AB1279" t="s">
        <v>1351</v>
      </c>
      <c r="AC1279" t="s">
        <v>103</v>
      </c>
      <c r="AD1279" t="s">
        <v>38</v>
      </c>
      <c r="AE1279" t="s">
        <v>49</v>
      </c>
      <c r="AF1279" t="s">
        <v>50</v>
      </c>
      <c r="AG1279">
        <v>0</v>
      </c>
      <c r="AH1279">
        <v>0</v>
      </c>
      <c r="AI1279" t="s">
        <v>51</v>
      </c>
      <c r="AJ1279" t="s">
        <v>51</v>
      </c>
      <c r="AK1279" t="s">
        <v>51</v>
      </c>
    </row>
    <row r="1280" spans="1:37" x14ac:dyDescent="0.2">
      <c r="A1280">
        <v>60606</v>
      </c>
      <c r="B1280" t="s">
        <v>37</v>
      </c>
      <c r="C1280" t="s">
        <v>38</v>
      </c>
      <c r="D1280" t="s">
        <v>674</v>
      </c>
      <c r="E1280" t="s">
        <v>40</v>
      </c>
      <c r="G1280" s="4">
        <v>43947.508865740741</v>
      </c>
      <c r="H1280" s="4">
        <v>43947.509513888889</v>
      </c>
      <c r="I1280" t="s">
        <v>1205</v>
      </c>
      <c r="J1280" s="5">
        <v>55.99999999999999999999999999999999999999</v>
      </c>
      <c r="K1280" t="s">
        <v>38</v>
      </c>
      <c r="M1280">
        <v>60607</v>
      </c>
      <c r="N1280" t="s">
        <v>705</v>
      </c>
      <c r="O1280" t="s">
        <v>706</v>
      </c>
      <c r="P1280" t="s">
        <v>38</v>
      </c>
      <c r="Q1280" t="s">
        <v>300</v>
      </c>
      <c r="R1280">
        <v>10.00000000000000000000000000000000000002</v>
      </c>
      <c r="S1280" t="s">
        <v>45</v>
      </c>
      <c r="T128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0">
        <v>60608</v>
      </c>
      <c r="V1280" t="s">
        <v>38</v>
      </c>
      <c r="W1280" t="s">
        <v>300</v>
      </c>
      <c r="X1280">
        <v>10.00000000000000000000000000000000000002</v>
      </c>
      <c r="Y1280">
        <v>0</v>
      </c>
      <c r="Z1280" t="s">
        <v>46</v>
      </c>
      <c r="AA1280">
        <v>60620</v>
      </c>
      <c r="AB1280" t="s">
        <v>1352</v>
      </c>
      <c r="AC1280" t="s">
        <v>103</v>
      </c>
      <c r="AD1280" t="s">
        <v>38</v>
      </c>
      <c r="AE1280" t="s">
        <v>49</v>
      </c>
      <c r="AF1280" t="s">
        <v>50</v>
      </c>
      <c r="AG1280">
        <v>0</v>
      </c>
      <c r="AH1280">
        <v>0</v>
      </c>
      <c r="AI1280" t="s">
        <v>51</v>
      </c>
      <c r="AJ1280" t="s">
        <v>51</v>
      </c>
      <c r="AK1280" t="s">
        <v>51</v>
      </c>
    </row>
    <row r="1281" spans="1:37" x14ac:dyDescent="0.2">
      <c r="A1281">
        <v>60606</v>
      </c>
      <c r="B1281" t="s">
        <v>37</v>
      </c>
      <c r="C1281" t="s">
        <v>38</v>
      </c>
      <c r="D1281" t="s">
        <v>674</v>
      </c>
      <c r="E1281" t="s">
        <v>40</v>
      </c>
      <c r="G1281" s="4">
        <v>43947.508865740741</v>
      </c>
      <c r="H1281" s="4">
        <v>43947.509513888889</v>
      </c>
      <c r="I1281" t="s">
        <v>1205</v>
      </c>
      <c r="J1281" s="5">
        <v>55.99999999999999999999999999999999999999</v>
      </c>
      <c r="K1281" t="s">
        <v>38</v>
      </c>
      <c r="M1281">
        <v>60607</v>
      </c>
      <c r="N1281" t="s">
        <v>705</v>
      </c>
      <c r="O1281" t="s">
        <v>706</v>
      </c>
      <c r="P1281" t="s">
        <v>38</v>
      </c>
      <c r="Q1281" t="s">
        <v>300</v>
      </c>
      <c r="R1281">
        <v>10.00000000000000000000000000000000000002</v>
      </c>
      <c r="S1281" t="s">
        <v>45</v>
      </c>
      <c r="T128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1">
        <v>60608</v>
      </c>
      <c r="V1281" t="s">
        <v>38</v>
      </c>
      <c r="W1281" t="s">
        <v>300</v>
      </c>
      <c r="X1281">
        <v>10.00000000000000000000000000000000000002</v>
      </c>
      <c r="Y1281">
        <v>0</v>
      </c>
      <c r="Z1281" t="s">
        <v>46</v>
      </c>
      <c r="AA1281">
        <v>60619</v>
      </c>
      <c r="AB1281" t="s">
        <v>1353</v>
      </c>
      <c r="AC1281" t="s">
        <v>103</v>
      </c>
      <c r="AD1281" t="s">
        <v>38</v>
      </c>
      <c r="AE1281" t="s">
        <v>49</v>
      </c>
      <c r="AF1281" t="s">
        <v>50</v>
      </c>
      <c r="AG1281">
        <v>0</v>
      </c>
      <c r="AH1281">
        <v>0</v>
      </c>
      <c r="AI1281" t="s">
        <v>51</v>
      </c>
      <c r="AJ1281" t="s">
        <v>51</v>
      </c>
      <c r="AK1281" t="s">
        <v>51</v>
      </c>
    </row>
    <row r="1282" spans="1:37" x14ac:dyDescent="0.2">
      <c r="A1282">
        <v>60606</v>
      </c>
      <c r="B1282" t="s">
        <v>37</v>
      </c>
      <c r="C1282" t="s">
        <v>38</v>
      </c>
      <c r="D1282" t="s">
        <v>674</v>
      </c>
      <c r="E1282" t="s">
        <v>40</v>
      </c>
      <c r="G1282" s="4">
        <v>43947.508865740741</v>
      </c>
      <c r="H1282" s="4">
        <v>43947.509513888889</v>
      </c>
      <c r="I1282" t="s">
        <v>1205</v>
      </c>
      <c r="J1282" s="5">
        <v>55.99999999999999999999999999999999999999</v>
      </c>
      <c r="K1282" t="s">
        <v>38</v>
      </c>
      <c r="M1282">
        <v>60607</v>
      </c>
      <c r="N1282" t="s">
        <v>705</v>
      </c>
      <c r="O1282" t="s">
        <v>706</v>
      </c>
      <c r="P1282" t="s">
        <v>38</v>
      </c>
      <c r="Q1282" t="s">
        <v>300</v>
      </c>
      <c r="R1282">
        <v>10.00000000000000000000000000000000000002</v>
      </c>
      <c r="S1282" t="s">
        <v>45</v>
      </c>
      <c r="T1282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2">
        <v>60608</v>
      </c>
      <c r="V1282" t="s">
        <v>38</v>
      </c>
      <c r="W1282" t="s">
        <v>300</v>
      </c>
      <c r="X1282">
        <v>10.00000000000000000000000000000000000002</v>
      </c>
      <c r="Y1282">
        <v>0</v>
      </c>
      <c r="Z1282" t="s">
        <v>46</v>
      </c>
      <c r="AA1282">
        <v>60618</v>
      </c>
      <c r="AB1282" t="s">
        <v>1354</v>
      </c>
      <c r="AC1282" t="s">
        <v>103</v>
      </c>
      <c r="AD1282" t="s">
        <v>38</v>
      </c>
      <c r="AE1282" t="s">
        <v>49</v>
      </c>
      <c r="AF1282" t="s">
        <v>50</v>
      </c>
      <c r="AG1282">
        <v>0</v>
      </c>
      <c r="AH1282">
        <v>0</v>
      </c>
      <c r="AI1282" t="s">
        <v>51</v>
      </c>
      <c r="AJ1282" t="s">
        <v>51</v>
      </c>
      <c r="AK1282" t="s">
        <v>51</v>
      </c>
    </row>
    <row r="1283" spans="1:37" x14ac:dyDescent="0.2">
      <c r="A1283">
        <v>60606</v>
      </c>
      <c r="B1283" t="s">
        <v>37</v>
      </c>
      <c r="C1283" t="s">
        <v>38</v>
      </c>
      <c r="D1283" t="s">
        <v>674</v>
      </c>
      <c r="E1283" t="s">
        <v>40</v>
      </c>
      <c r="G1283" s="4">
        <v>43947.508865740741</v>
      </c>
      <c r="H1283" s="4">
        <v>43947.509513888889</v>
      </c>
      <c r="I1283" t="s">
        <v>1205</v>
      </c>
      <c r="J1283" s="5">
        <v>55.99999999999999999999999999999999999999</v>
      </c>
      <c r="K1283" t="s">
        <v>38</v>
      </c>
      <c r="M1283">
        <v>60607</v>
      </c>
      <c r="N1283" t="s">
        <v>705</v>
      </c>
      <c r="O1283" t="s">
        <v>706</v>
      </c>
      <c r="P1283" t="s">
        <v>38</v>
      </c>
      <c r="Q1283" t="s">
        <v>300</v>
      </c>
      <c r="R1283">
        <v>10.00000000000000000000000000000000000002</v>
      </c>
      <c r="S1283" t="s">
        <v>45</v>
      </c>
      <c r="T1283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3">
        <v>60608</v>
      </c>
      <c r="V1283" t="s">
        <v>38</v>
      </c>
      <c r="W1283" t="s">
        <v>300</v>
      </c>
      <c r="X1283">
        <v>10.00000000000000000000000000000000000002</v>
      </c>
      <c r="Y1283">
        <v>0</v>
      </c>
      <c r="Z1283" t="s">
        <v>46</v>
      </c>
      <c r="AA1283">
        <v>60617</v>
      </c>
      <c r="AB1283" t="s">
        <v>1355</v>
      </c>
      <c r="AC1283" t="s">
        <v>103</v>
      </c>
      <c r="AD1283" t="s">
        <v>38</v>
      </c>
      <c r="AE1283" t="s">
        <v>49</v>
      </c>
      <c r="AF1283" t="s">
        <v>50</v>
      </c>
      <c r="AG1283">
        <v>0</v>
      </c>
      <c r="AH1283">
        <v>0</v>
      </c>
      <c r="AI1283" t="s">
        <v>51</v>
      </c>
      <c r="AJ1283" t="s">
        <v>51</v>
      </c>
      <c r="AK1283" t="s">
        <v>51</v>
      </c>
    </row>
    <row r="1284" spans="1:37" x14ac:dyDescent="0.2">
      <c r="A1284">
        <v>60606</v>
      </c>
      <c r="B1284" t="s">
        <v>37</v>
      </c>
      <c r="C1284" t="s">
        <v>38</v>
      </c>
      <c r="D1284" t="s">
        <v>674</v>
      </c>
      <c r="E1284" t="s">
        <v>40</v>
      </c>
      <c r="G1284" s="4">
        <v>43947.508865740741</v>
      </c>
      <c r="H1284" s="4">
        <v>43947.509513888889</v>
      </c>
      <c r="I1284" t="s">
        <v>1205</v>
      </c>
      <c r="J1284" s="5">
        <v>55.99999999999999999999999999999999999999</v>
      </c>
      <c r="K1284" t="s">
        <v>38</v>
      </c>
      <c r="M1284">
        <v>60607</v>
      </c>
      <c r="N1284" t="s">
        <v>705</v>
      </c>
      <c r="O1284" t="s">
        <v>706</v>
      </c>
      <c r="P1284" t="s">
        <v>38</v>
      </c>
      <c r="Q1284" t="s">
        <v>300</v>
      </c>
      <c r="R1284">
        <v>10.00000000000000000000000000000000000002</v>
      </c>
      <c r="S1284" t="s">
        <v>45</v>
      </c>
      <c r="T1284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4">
        <v>60608</v>
      </c>
      <c r="V1284" t="s">
        <v>38</v>
      </c>
      <c r="W1284" t="s">
        <v>300</v>
      </c>
      <c r="X1284">
        <v>10.00000000000000000000000000000000000002</v>
      </c>
      <c r="Y1284">
        <v>0</v>
      </c>
      <c r="Z1284" t="s">
        <v>46</v>
      </c>
      <c r="AA1284">
        <v>60616</v>
      </c>
      <c r="AB1284" t="s">
        <v>1356</v>
      </c>
      <c r="AC1284" t="s">
        <v>103</v>
      </c>
      <c r="AD1284" t="s">
        <v>38</v>
      </c>
      <c r="AE1284" t="s">
        <v>49</v>
      </c>
      <c r="AF1284" t="s">
        <v>50</v>
      </c>
      <c r="AG1284">
        <v>0</v>
      </c>
      <c r="AH1284">
        <v>0</v>
      </c>
      <c r="AI1284" t="s">
        <v>51</v>
      </c>
      <c r="AJ1284" t="s">
        <v>51</v>
      </c>
      <c r="AK1284" t="s">
        <v>51</v>
      </c>
    </row>
    <row r="1285" spans="1:37" x14ac:dyDescent="0.2">
      <c r="A1285">
        <v>60606</v>
      </c>
      <c r="B1285" t="s">
        <v>37</v>
      </c>
      <c r="C1285" t="s">
        <v>38</v>
      </c>
      <c r="D1285" t="s">
        <v>674</v>
      </c>
      <c r="E1285" t="s">
        <v>40</v>
      </c>
      <c r="G1285" s="4">
        <v>43947.508865740741</v>
      </c>
      <c r="H1285" s="4">
        <v>43947.509513888889</v>
      </c>
      <c r="I1285" t="s">
        <v>1205</v>
      </c>
      <c r="J1285" s="5">
        <v>55.99999999999999999999999999999999999999</v>
      </c>
      <c r="K1285" t="s">
        <v>38</v>
      </c>
      <c r="M1285">
        <v>60607</v>
      </c>
      <c r="N1285" t="s">
        <v>705</v>
      </c>
      <c r="O1285" t="s">
        <v>706</v>
      </c>
      <c r="P1285" t="s">
        <v>38</v>
      </c>
      <c r="Q1285" t="s">
        <v>300</v>
      </c>
      <c r="R1285">
        <v>10.00000000000000000000000000000000000002</v>
      </c>
      <c r="S1285" t="s">
        <v>45</v>
      </c>
      <c r="T1285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5">
        <v>60608</v>
      </c>
      <c r="V1285" t="s">
        <v>38</v>
      </c>
      <c r="W1285" t="s">
        <v>300</v>
      </c>
      <c r="X1285">
        <v>10.00000000000000000000000000000000000002</v>
      </c>
      <c r="Y1285">
        <v>0</v>
      </c>
      <c r="Z1285" t="s">
        <v>46</v>
      </c>
      <c r="AA1285">
        <v>60615</v>
      </c>
      <c r="AB1285" t="s">
        <v>1357</v>
      </c>
      <c r="AC1285" t="s">
        <v>103</v>
      </c>
      <c r="AD1285" t="s">
        <v>38</v>
      </c>
      <c r="AE1285" t="s">
        <v>49</v>
      </c>
      <c r="AF1285" t="s">
        <v>50</v>
      </c>
      <c r="AG1285">
        <v>0</v>
      </c>
      <c r="AH1285">
        <v>0</v>
      </c>
      <c r="AI1285" t="s">
        <v>51</v>
      </c>
      <c r="AJ1285" t="s">
        <v>51</v>
      </c>
      <c r="AK1285" t="s">
        <v>51</v>
      </c>
    </row>
    <row r="1286" spans="1:37" x14ac:dyDescent="0.2">
      <c r="A1286">
        <v>60606</v>
      </c>
      <c r="B1286" t="s">
        <v>37</v>
      </c>
      <c r="C1286" t="s">
        <v>38</v>
      </c>
      <c r="D1286" t="s">
        <v>674</v>
      </c>
      <c r="E1286" t="s">
        <v>40</v>
      </c>
      <c r="G1286" s="4">
        <v>43947.508865740741</v>
      </c>
      <c r="H1286" s="4">
        <v>43947.509513888889</v>
      </c>
      <c r="I1286" t="s">
        <v>1205</v>
      </c>
      <c r="J1286" s="5">
        <v>55.99999999999999999999999999999999999999</v>
      </c>
      <c r="K1286" t="s">
        <v>38</v>
      </c>
      <c r="M1286">
        <v>60607</v>
      </c>
      <c r="N1286" t="s">
        <v>705</v>
      </c>
      <c r="O1286" t="s">
        <v>706</v>
      </c>
      <c r="P1286" t="s">
        <v>38</v>
      </c>
      <c r="Q1286" t="s">
        <v>300</v>
      </c>
      <c r="R1286">
        <v>10.00000000000000000000000000000000000002</v>
      </c>
      <c r="S1286" t="s">
        <v>45</v>
      </c>
      <c r="T1286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6">
        <v>60608</v>
      </c>
      <c r="V1286" t="s">
        <v>38</v>
      </c>
      <c r="W1286" t="s">
        <v>300</v>
      </c>
      <c r="X1286">
        <v>10.00000000000000000000000000000000000002</v>
      </c>
      <c r="Y1286">
        <v>0</v>
      </c>
      <c r="Z1286" t="s">
        <v>46</v>
      </c>
      <c r="AA1286">
        <v>60614</v>
      </c>
      <c r="AB1286" t="s">
        <v>1358</v>
      </c>
      <c r="AC1286" t="s">
        <v>103</v>
      </c>
      <c r="AD1286" t="s">
        <v>38</v>
      </c>
      <c r="AE1286" t="s">
        <v>49</v>
      </c>
      <c r="AF1286" t="s">
        <v>50</v>
      </c>
      <c r="AG1286">
        <v>0</v>
      </c>
      <c r="AH1286">
        <v>0</v>
      </c>
      <c r="AI1286" t="s">
        <v>51</v>
      </c>
      <c r="AJ1286" t="s">
        <v>51</v>
      </c>
      <c r="AK1286" t="s">
        <v>51</v>
      </c>
    </row>
    <row r="1287" spans="1:37" x14ac:dyDescent="0.2">
      <c r="A1287">
        <v>60606</v>
      </c>
      <c r="B1287" t="s">
        <v>37</v>
      </c>
      <c r="C1287" t="s">
        <v>38</v>
      </c>
      <c r="D1287" t="s">
        <v>674</v>
      </c>
      <c r="E1287" t="s">
        <v>40</v>
      </c>
      <c r="G1287" s="4">
        <v>43947.508865740741</v>
      </c>
      <c r="H1287" s="4">
        <v>43947.509513888889</v>
      </c>
      <c r="I1287" t="s">
        <v>1205</v>
      </c>
      <c r="J1287" s="5">
        <v>55.99999999999999999999999999999999999999</v>
      </c>
      <c r="K1287" t="s">
        <v>38</v>
      </c>
      <c r="M1287">
        <v>60607</v>
      </c>
      <c r="N1287" t="s">
        <v>705</v>
      </c>
      <c r="O1287" t="s">
        <v>706</v>
      </c>
      <c r="P1287" t="s">
        <v>38</v>
      </c>
      <c r="Q1287" t="s">
        <v>300</v>
      </c>
      <c r="R1287">
        <v>10.00000000000000000000000000000000000002</v>
      </c>
      <c r="S1287" t="s">
        <v>45</v>
      </c>
      <c r="T1287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7">
        <v>60608</v>
      </c>
      <c r="V1287" t="s">
        <v>38</v>
      </c>
      <c r="W1287" t="s">
        <v>300</v>
      </c>
      <c r="X1287">
        <v>10.00000000000000000000000000000000000002</v>
      </c>
      <c r="Y1287">
        <v>0</v>
      </c>
      <c r="Z1287" t="s">
        <v>46</v>
      </c>
      <c r="AA1287">
        <v>60613</v>
      </c>
      <c r="AB1287" t="s">
        <v>1359</v>
      </c>
      <c r="AC1287" t="s">
        <v>103</v>
      </c>
      <c r="AD1287" t="s">
        <v>38</v>
      </c>
      <c r="AE1287" t="s">
        <v>49</v>
      </c>
      <c r="AF1287" t="s">
        <v>50</v>
      </c>
      <c r="AG1287">
        <v>0</v>
      </c>
      <c r="AH1287">
        <v>0</v>
      </c>
      <c r="AI1287" t="s">
        <v>51</v>
      </c>
      <c r="AJ1287" t="s">
        <v>51</v>
      </c>
      <c r="AK1287" t="s">
        <v>51</v>
      </c>
    </row>
    <row r="1288" spans="1:37" x14ac:dyDescent="0.2">
      <c r="A1288">
        <v>60606</v>
      </c>
      <c r="B1288" t="s">
        <v>37</v>
      </c>
      <c r="C1288" t="s">
        <v>38</v>
      </c>
      <c r="D1288" t="s">
        <v>674</v>
      </c>
      <c r="E1288" t="s">
        <v>40</v>
      </c>
      <c r="G1288" s="4">
        <v>43947.508865740741</v>
      </c>
      <c r="H1288" s="4">
        <v>43947.509513888889</v>
      </c>
      <c r="I1288" t="s">
        <v>1205</v>
      </c>
      <c r="J1288" s="5">
        <v>55.99999999999999999999999999999999999999</v>
      </c>
      <c r="K1288" t="s">
        <v>38</v>
      </c>
      <c r="M1288">
        <v>60607</v>
      </c>
      <c r="N1288" t="s">
        <v>705</v>
      </c>
      <c r="O1288" t="s">
        <v>706</v>
      </c>
      <c r="P1288" t="s">
        <v>38</v>
      </c>
      <c r="Q1288" t="s">
        <v>300</v>
      </c>
      <c r="R1288">
        <v>10.00000000000000000000000000000000000002</v>
      </c>
      <c r="S1288" t="s">
        <v>45</v>
      </c>
      <c r="T1288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8">
        <v>60608</v>
      </c>
      <c r="V1288" t="s">
        <v>38</v>
      </c>
      <c r="W1288" t="s">
        <v>300</v>
      </c>
      <c r="X1288">
        <v>10.00000000000000000000000000000000000002</v>
      </c>
      <c r="Y1288">
        <v>0</v>
      </c>
      <c r="Z1288" t="s">
        <v>46</v>
      </c>
      <c r="AA1288">
        <v>60612</v>
      </c>
      <c r="AB1288" t="s">
        <v>1360</v>
      </c>
      <c r="AC1288" t="s">
        <v>103</v>
      </c>
      <c r="AD1288" t="s">
        <v>38</v>
      </c>
      <c r="AE1288" t="s">
        <v>49</v>
      </c>
      <c r="AF1288" t="s">
        <v>50</v>
      </c>
      <c r="AG1288">
        <v>.9999999999999999999999999999999999999996</v>
      </c>
      <c r="AH1288">
        <v>0</v>
      </c>
      <c r="AI1288" t="s">
        <v>51</v>
      </c>
      <c r="AJ1288" t="s">
        <v>51</v>
      </c>
      <c r="AK1288" t="s">
        <v>51</v>
      </c>
    </row>
    <row r="1289" spans="1:37" x14ac:dyDescent="0.2">
      <c r="A1289">
        <v>60606</v>
      </c>
      <c r="B1289" t="s">
        <v>37</v>
      </c>
      <c r="C1289" t="s">
        <v>38</v>
      </c>
      <c r="D1289" t="s">
        <v>674</v>
      </c>
      <c r="E1289" t="s">
        <v>40</v>
      </c>
      <c r="G1289" s="4">
        <v>43947.508865740741</v>
      </c>
      <c r="H1289" s="4">
        <v>43947.509513888889</v>
      </c>
      <c r="I1289" t="s">
        <v>1205</v>
      </c>
      <c r="J1289" s="5">
        <v>55.99999999999999999999999999999999999999</v>
      </c>
      <c r="K1289" t="s">
        <v>38</v>
      </c>
      <c r="M1289">
        <v>60607</v>
      </c>
      <c r="N1289" t="s">
        <v>705</v>
      </c>
      <c r="O1289" t="s">
        <v>706</v>
      </c>
      <c r="P1289" t="s">
        <v>38</v>
      </c>
      <c r="Q1289" t="s">
        <v>300</v>
      </c>
      <c r="R1289">
        <v>10.00000000000000000000000000000000000002</v>
      </c>
      <c r="S1289" t="s">
        <v>45</v>
      </c>
      <c r="T1289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89">
        <v>60608</v>
      </c>
      <c r="V1289" t="s">
        <v>38</v>
      </c>
      <c r="W1289" t="s">
        <v>300</v>
      </c>
      <c r="X1289">
        <v>10.00000000000000000000000000000000000002</v>
      </c>
      <c r="Y1289">
        <v>0</v>
      </c>
      <c r="Z1289" t="s">
        <v>46</v>
      </c>
      <c r="AA1289">
        <v>60611</v>
      </c>
      <c r="AB1289" t="s">
        <v>1361</v>
      </c>
      <c r="AC1289" t="s">
        <v>103</v>
      </c>
      <c r="AD1289" t="s">
        <v>38</v>
      </c>
      <c r="AE1289" t="s">
        <v>49</v>
      </c>
      <c r="AF1289" t="s">
        <v>78</v>
      </c>
      <c r="AG1289">
        <v>5</v>
      </c>
      <c r="AH1289">
        <v>5</v>
      </c>
      <c r="AI1289" t="s">
        <v>51</v>
      </c>
      <c r="AJ1289" t="s">
        <v>51</v>
      </c>
      <c r="AK1289" t="s">
        <v>51</v>
      </c>
    </row>
    <row r="1290" spans="1:37" x14ac:dyDescent="0.2">
      <c r="A1290">
        <v>60606</v>
      </c>
      <c r="B1290" t="s">
        <v>37</v>
      </c>
      <c r="C1290" t="s">
        <v>38</v>
      </c>
      <c r="D1290" t="s">
        <v>674</v>
      </c>
      <c r="E1290" t="s">
        <v>40</v>
      </c>
      <c r="G1290" s="4">
        <v>43947.508865740741</v>
      </c>
      <c r="H1290" s="4">
        <v>43947.509513888889</v>
      </c>
      <c r="I1290" t="s">
        <v>1205</v>
      </c>
      <c r="J1290" s="5">
        <v>55.99999999999999999999999999999999999999</v>
      </c>
      <c r="K1290" t="s">
        <v>38</v>
      </c>
      <c r="M1290">
        <v>60607</v>
      </c>
      <c r="N1290" t="s">
        <v>705</v>
      </c>
      <c r="O1290" t="s">
        <v>706</v>
      </c>
      <c r="P1290" t="s">
        <v>38</v>
      </c>
      <c r="Q1290" t="s">
        <v>300</v>
      </c>
      <c r="R1290">
        <v>10.00000000000000000000000000000000000002</v>
      </c>
      <c r="S1290" t="s">
        <v>45</v>
      </c>
      <c r="T1290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90">
        <v>60608</v>
      </c>
      <c r="V1290" t="s">
        <v>38</v>
      </c>
      <c r="W1290" t="s">
        <v>300</v>
      </c>
      <c r="X1290">
        <v>10.00000000000000000000000000000000000002</v>
      </c>
      <c r="Y1290">
        <v>0</v>
      </c>
      <c r="Z1290" t="s">
        <v>46</v>
      </c>
      <c r="AA1290">
        <v>60610</v>
      </c>
      <c r="AB1290" t="s">
        <v>1362</v>
      </c>
      <c r="AC1290" t="s">
        <v>48</v>
      </c>
      <c r="AD1290" t="s">
        <v>38</v>
      </c>
      <c r="AE1290" t="s">
        <v>49</v>
      </c>
      <c r="AF1290" t="s">
        <v>50</v>
      </c>
      <c r="AG1290">
        <v>0</v>
      </c>
      <c r="AH1290">
        <v>0</v>
      </c>
      <c r="AI1290" t="s">
        <v>51</v>
      </c>
      <c r="AJ1290" t="s">
        <v>51</v>
      </c>
      <c r="AK1290" t="s">
        <v>51</v>
      </c>
    </row>
    <row r="1291" spans="1:37" x14ac:dyDescent="0.2">
      <c r="A1291">
        <v>60606</v>
      </c>
      <c r="B1291" t="s">
        <v>37</v>
      </c>
      <c r="C1291" t="s">
        <v>38</v>
      </c>
      <c r="D1291" t="s">
        <v>674</v>
      </c>
      <c r="E1291" t="s">
        <v>40</v>
      </c>
      <c r="G1291" s="4">
        <v>43947.508865740741</v>
      </c>
      <c r="H1291" s="4">
        <v>43947.509513888889</v>
      </c>
      <c r="I1291" t="s">
        <v>1205</v>
      </c>
      <c r="J1291" s="5">
        <v>55.99999999999999999999999999999999999999</v>
      </c>
      <c r="K1291" t="s">
        <v>38</v>
      </c>
      <c r="M1291">
        <v>60607</v>
      </c>
      <c r="N1291" t="s">
        <v>705</v>
      </c>
      <c r="O1291" t="s">
        <v>706</v>
      </c>
      <c r="P1291" t="s">
        <v>38</v>
      </c>
      <c r="Q1291" t="s">
        <v>300</v>
      </c>
      <c r="R1291">
        <v>10.00000000000000000000000000000000000002</v>
      </c>
      <c r="S1291" t="s">
        <v>45</v>
      </c>
      <c r="T1291" t="str" s="2">
        <f>=HYPERLINK("http://demo.enginatics.com:80/ecc/user/applications/log/60606.log","http://demo.enginatics.com:80/ecc/user/applications/log/60606.log")</f>
        <v>"http://demo.enginatics.com:80/ecc/user/applications/log/60606.log")</v>
      </c>
      <c r="U1291">
        <v>60608</v>
      </c>
      <c r="V1291" t="s">
        <v>38</v>
      </c>
      <c r="W1291" t="s">
        <v>300</v>
      </c>
      <c r="X1291">
        <v>10.00000000000000000000000000000000000002</v>
      </c>
      <c r="Y1291">
        <v>0</v>
      </c>
      <c r="Z1291" t="s">
        <v>46</v>
      </c>
      <c r="AA1291">
        <v>60609</v>
      </c>
      <c r="AB1291" t="s">
        <v>859</v>
      </c>
      <c r="AC1291" t="s">
        <v>56</v>
      </c>
      <c r="AD1291" t="s">
        <v>38</v>
      </c>
      <c r="AE1291" t="s">
        <v>49</v>
      </c>
      <c r="AF1291" t="s">
        <v>50</v>
      </c>
      <c r="AG1291">
        <v>.9999999999999999999999999999999999999996</v>
      </c>
      <c r="AH1291">
        <v>0</v>
      </c>
      <c r="AI1291" t="s">
        <v>51</v>
      </c>
      <c r="AJ1291" t="s">
        <v>51</v>
      </c>
      <c r="AK1291" t="s">
        <v>51</v>
      </c>
    </row>
    <row r="1292" spans="1:37" x14ac:dyDescent="0.2">
      <c r="A1292">
        <v>60601</v>
      </c>
      <c r="B1292" t="s">
        <v>37</v>
      </c>
      <c r="C1292" t="s">
        <v>38</v>
      </c>
      <c r="D1292" t="s">
        <v>83</v>
      </c>
      <c r="E1292" t="s">
        <v>84</v>
      </c>
      <c r="G1292" s="4">
        <v>43947.456238425926</v>
      </c>
      <c r="H1292" s="4">
        <v>43947.456273148148</v>
      </c>
      <c r="I1292" t="s">
        <v>85</v>
      </c>
      <c r="J1292" s="5">
        <v>3</v>
      </c>
      <c r="K1292" t="s">
        <v>38</v>
      </c>
      <c r="M1292">
        <v>60602</v>
      </c>
      <c r="N1292" t="s">
        <v>84</v>
      </c>
      <c r="O1292" t="s">
        <v>86</v>
      </c>
      <c r="P1292" t="s">
        <v>38</v>
      </c>
      <c r="Q1292" t="s">
        <v>85</v>
      </c>
      <c r="R1292">
        <v>3</v>
      </c>
      <c r="S1292" t="s">
        <v>45</v>
      </c>
      <c r="T1292" t="str" s="2">
        <f>=HYPERLINK("http://demo.enginatics.com:80/ecc/user/applications/log/60601.log","http://demo.enginatics.com:80/ecc/user/applications/log/60601.log")</f>
        <v>"http://demo.enginatics.com:80/ecc/user/applications/log/60601.log")</v>
      </c>
      <c r="U1292">
        <v>60603</v>
      </c>
      <c r="V1292" t="s">
        <v>38</v>
      </c>
      <c r="W1292" t="s">
        <v>85</v>
      </c>
      <c r="X1292">
        <v>3</v>
      </c>
      <c r="Y1292">
        <v>0</v>
      </c>
      <c r="Z1292" t="s">
        <v>46</v>
      </c>
      <c r="AA1292">
        <v>60605</v>
      </c>
      <c r="AB1292" t="s">
        <v>1363</v>
      </c>
      <c r="AC1292" t="s">
        <v>68</v>
      </c>
      <c r="AD1292" t="s">
        <v>38</v>
      </c>
      <c r="AE1292" t="s">
        <v>49</v>
      </c>
      <c r="AF1292" t="s">
        <v>88</v>
      </c>
      <c r="AG1292">
        <v>2</v>
      </c>
      <c r="AH1292">
        <v>2</v>
      </c>
      <c r="AI1292" t="s">
        <v>51</v>
      </c>
      <c r="AJ1292" t="s">
        <v>51</v>
      </c>
      <c r="AK1292" t="s">
        <v>51</v>
      </c>
    </row>
    <row r="1293" spans="1:37" x14ac:dyDescent="0.2">
      <c r="A1293">
        <v>60601</v>
      </c>
      <c r="B1293" t="s">
        <v>37</v>
      </c>
      <c r="C1293" t="s">
        <v>38</v>
      </c>
      <c r="D1293" t="s">
        <v>83</v>
      </c>
      <c r="E1293" t="s">
        <v>84</v>
      </c>
      <c r="G1293" s="4">
        <v>43947.456238425926</v>
      </c>
      <c r="H1293" s="4">
        <v>43947.456273148148</v>
      </c>
      <c r="I1293" t="s">
        <v>85</v>
      </c>
      <c r="J1293" s="5">
        <v>3</v>
      </c>
      <c r="K1293" t="s">
        <v>38</v>
      </c>
      <c r="M1293">
        <v>60602</v>
      </c>
      <c r="N1293" t="s">
        <v>84</v>
      </c>
      <c r="O1293" t="s">
        <v>86</v>
      </c>
      <c r="P1293" t="s">
        <v>38</v>
      </c>
      <c r="Q1293" t="s">
        <v>85</v>
      </c>
      <c r="R1293">
        <v>3</v>
      </c>
      <c r="S1293" t="s">
        <v>45</v>
      </c>
      <c r="T1293" t="str" s="2">
        <f>=HYPERLINK("http://demo.enginatics.com:80/ecc/user/applications/log/60601.log","http://demo.enginatics.com:80/ecc/user/applications/log/60601.log")</f>
        <v>"http://demo.enginatics.com:80/ecc/user/applications/log/60601.log")</v>
      </c>
      <c r="U1293">
        <v>60603</v>
      </c>
      <c r="V1293" t="s">
        <v>38</v>
      </c>
      <c r="W1293" t="s">
        <v>85</v>
      </c>
      <c r="X1293">
        <v>3</v>
      </c>
      <c r="Y1293">
        <v>0</v>
      </c>
      <c r="Z1293" t="s">
        <v>46</v>
      </c>
      <c r="AA1293">
        <v>60604</v>
      </c>
      <c r="AB1293" t="s">
        <v>1364</v>
      </c>
      <c r="AC1293" t="s">
        <v>56</v>
      </c>
      <c r="AD1293" t="s">
        <v>38</v>
      </c>
      <c r="AE1293" t="s">
        <v>49</v>
      </c>
      <c r="AF1293" t="s">
        <v>50</v>
      </c>
      <c r="AG1293">
        <v>.9999999999999999999999999999999999999996</v>
      </c>
      <c r="AH1293">
        <v>0</v>
      </c>
      <c r="AI1293" t="s">
        <v>51</v>
      </c>
      <c r="AJ1293" t="s">
        <v>51</v>
      </c>
      <c r="AK1293" t="s">
        <v>51</v>
      </c>
    </row>
    <row r="1294" spans="1:37" x14ac:dyDescent="0.2">
      <c r="A1294">
        <v>60589</v>
      </c>
      <c r="B1294" t="s">
        <v>37</v>
      </c>
      <c r="C1294" t="s">
        <v>38</v>
      </c>
      <c r="D1294" t="s">
        <v>83</v>
      </c>
      <c r="E1294" t="s">
        <v>90</v>
      </c>
      <c r="G1294" s="4">
        <v>43947.438414351852</v>
      </c>
      <c r="H1294" s="4">
        <v>43947.438414351852</v>
      </c>
      <c r="I1294" t="s">
        <v>50</v>
      </c>
      <c r="J1294" s="5">
        <v>0</v>
      </c>
      <c r="K1294" t="s">
        <v>38</v>
      </c>
      <c r="M1294">
        <v>60590</v>
      </c>
      <c r="N1294" t="s">
        <v>90</v>
      </c>
      <c r="O1294" t="s">
        <v>91</v>
      </c>
      <c r="P1294" t="s">
        <v>38</v>
      </c>
      <c r="Q1294" t="s">
        <v>50</v>
      </c>
      <c r="R1294">
        <v>0</v>
      </c>
      <c r="S1294" t="s">
        <v>92</v>
      </c>
      <c r="T1294" t="str" s="2">
        <f>=HYPERLINK("http://demo.enginatics.com:80/ecc/user/applications/log/60589.log","http://demo.enginatics.com:80/ecc/user/applications/log/60589.log")</f>
        <v>"http://demo.enginatics.com:80/ecc/user/applications/log/60589.log")</v>
      </c>
    </row>
    <row r="1295" spans="1:37" x14ac:dyDescent="0.2">
      <c r="A1295">
        <v>60574</v>
      </c>
      <c r="B1295" t="s">
        <v>37</v>
      </c>
      <c r="C1295" t="s">
        <v>38</v>
      </c>
      <c r="D1295" t="s">
        <v>39</v>
      </c>
      <c r="E1295" t="s">
        <v>40</v>
      </c>
      <c r="G1295" s="4">
        <v>43947.435983796296</v>
      </c>
      <c r="H1295" s="4">
        <v>43947.45318287037</v>
      </c>
      <c r="I1295" t="s">
        <v>1365</v>
      </c>
      <c r="J1295" s="5">
        <v>1486.000000000000000000000000000000000002</v>
      </c>
      <c r="K1295" t="s">
        <v>38</v>
      </c>
      <c r="M1295">
        <v>60591</v>
      </c>
      <c r="N1295" t="s">
        <v>42</v>
      </c>
      <c r="O1295" t="s">
        <v>43</v>
      </c>
      <c r="P1295" t="s">
        <v>38</v>
      </c>
      <c r="Q1295" t="s">
        <v>85</v>
      </c>
      <c r="R1295">
        <v>3</v>
      </c>
      <c r="S1295" t="s">
        <v>45</v>
      </c>
      <c r="T1295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295">
        <v>60592</v>
      </c>
      <c r="V1295" t="s">
        <v>38</v>
      </c>
      <c r="W1295" t="s">
        <v>85</v>
      </c>
      <c r="X1295">
        <v>3</v>
      </c>
      <c r="Y1295">
        <v>0</v>
      </c>
      <c r="Z1295" t="s">
        <v>46</v>
      </c>
      <c r="AA1295">
        <v>60600</v>
      </c>
      <c r="AB1295" t="s">
        <v>1366</v>
      </c>
      <c r="AC1295" t="s">
        <v>48</v>
      </c>
      <c r="AD1295" t="s">
        <v>38</v>
      </c>
      <c r="AE1295" t="s">
        <v>49</v>
      </c>
      <c r="AF1295" t="s">
        <v>50</v>
      </c>
      <c r="AG1295">
        <v>0</v>
      </c>
      <c r="AH1295">
        <v>0</v>
      </c>
      <c r="AI1295" t="s">
        <v>51</v>
      </c>
      <c r="AJ1295" t="s">
        <v>51</v>
      </c>
      <c r="AK1295" t="s">
        <v>51</v>
      </c>
    </row>
    <row r="1296" spans="1:37" x14ac:dyDescent="0.2">
      <c r="A1296">
        <v>60574</v>
      </c>
      <c r="B1296" t="s">
        <v>37</v>
      </c>
      <c r="C1296" t="s">
        <v>38</v>
      </c>
      <c r="D1296" t="s">
        <v>39</v>
      </c>
      <c r="E1296" t="s">
        <v>40</v>
      </c>
      <c r="G1296" s="4">
        <v>43947.435983796296</v>
      </c>
      <c r="H1296" s="4">
        <v>43947.45318287037</v>
      </c>
      <c r="I1296" t="s">
        <v>1365</v>
      </c>
      <c r="J1296" s="5">
        <v>1486.000000000000000000000000000000000002</v>
      </c>
      <c r="K1296" t="s">
        <v>38</v>
      </c>
      <c r="M1296">
        <v>60591</v>
      </c>
      <c r="N1296" t="s">
        <v>42</v>
      </c>
      <c r="O1296" t="s">
        <v>43</v>
      </c>
      <c r="P1296" t="s">
        <v>38</v>
      </c>
      <c r="Q1296" t="s">
        <v>85</v>
      </c>
      <c r="R1296">
        <v>3</v>
      </c>
      <c r="S1296" t="s">
        <v>45</v>
      </c>
      <c r="T1296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296">
        <v>60592</v>
      </c>
      <c r="V1296" t="s">
        <v>38</v>
      </c>
      <c r="W1296" t="s">
        <v>85</v>
      </c>
      <c r="X1296">
        <v>3</v>
      </c>
      <c r="Y1296">
        <v>0</v>
      </c>
      <c r="Z1296" t="s">
        <v>46</v>
      </c>
      <c r="AA1296">
        <v>60599</v>
      </c>
      <c r="AB1296" t="s">
        <v>1367</v>
      </c>
      <c r="AC1296" t="s">
        <v>48</v>
      </c>
      <c r="AD1296" t="s">
        <v>38</v>
      </c>
      <c r="AE1296" t="s">
        <v>49</v>
      </c>
      <c r="AF1296" t="s">
        <v>50</v>
      </c>
      <c r="AG1296">
        <v>.9999999999999999999999999999999999999996</v>
      </c>
      <c r="AH1296">
        <v>0</v>
      </c>
      <c r="AI1296" t="s">
        <v>51</v>
      </c>
      <c r="AJ1296" t="s">
        <v>51</v>
      </c>
      <c r="AK1296" t="s">
        <v>51</v>
      </c>
    </row>
    <row r="1297" spans="1:37" x14ac:dyDescent="0.2">
      <c r="A1297">
        <v>60574</v>
      </c>
      <c r="B1297" t="s">
        <v>37</v>
      </c>
      <c r="C1297" t="s">
        <v>38</v>
      </c>
      <c r="D1297" t="s">
        <v>39</v>
      </c>
      <c r="E1297" t="s">
        <v>40</v>
      </c>
      <c r="G1297" s="4">
        <v>43947.435983796296</v>
      </c>
      <c r="H1297" s="4">
        <v>43947.45318287037</v>
      </c>
      <c r="I1297" t="s">
        <v>1365</v>
      </c>
      <c r="J1297" s="5">
        <v>1486.000000000000000000000000000000000002</v>
      </c>
      <c r="K1297" t="s">
        <v>38</v>
      </c>
      <c r="M1297">
        <v>60591</v>
      </c>
      <c r="N1297" t="s">
        <v>42</v>
      </c>
      <c r="O1297" t="s">
        <v>43</v>
      </c>
      <c r="P1297" t="s">
        <v>38</v>
      </c>
      <c r="Q1297" t="s">
        <v>85</v>
      </c>
      <c r="R1297">
        <v>3</v>
      </c>
      <c r="S1297" t="s">
        <v>45</v>
      </c>
      <c r="T1297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297">
        <v>60592</v>
      </c>
      <c r="V1297" t="s">
        <v>38</v>
      </c>
      <c r="W1297" t="s">
        <v>85</v>
      </c>
      <c r="X1297">
        <v>3</v>
      </c>
      <c r="Y1297">
        <v>0</v>
      </c>
      <c r="Z1297" t="s">
        <v>46</v>
      </c>
      <c r="AA1297">
        <v>60598</v>
      </c>
      <c r="AB1297" t="s">
        <v>1368</v>
      </c>
      <c r="AC1297" t="s">
        <v>48</v>
      </c>
      <c r="AD1297" t="s">
        <v>38</v>
      </c>
      <c r="AE1297" t="s">
        <v>49</v>
      </c>
      <c r="AF1297" t="s">
        <v>50</v>
      </c>
      <c r="AG1297">
        <v>0</v>
      </c>
      <c r="AH1297">
        <v>0</v>
      </c>
      <c r="AI1297" t="s">
        <v>51</v>
      </c>
      <c r="AJ1297" t="s">
        <v>51</v>
      </c>
      <c r="AK1297" t="s">
        <v>51</v>
      </c>
    </row>
    <row r="1298" spans="1:37" x14ac:dyDescent="0.2">
      <c r="A1298">
        <v>60574</v>
      </c>
      <c r="B1298" t="s">
        <v>37</v>
      </c>
      <c r="C1298" t="s">
        <v>38</v>
      </c>
      <c r="D1298" t="s">
        <v>39</v>
      </c>
      <c r="E1298" t="s">
        <v>40</v>
      </c>
      <c r="G1298" s="4">
        <v>43947.435983796296</v>
      </c>
      <c r="H1298" s="4">
        <v>43947.45318287037</v>
      </c>
      <c r="I1298" t="s">
        <v>1365</v>
      </c>
      <c r="J1298" s="5">
        <v>1486.000000000000000000000000000000000002</v>
      </c>
      <c r="K1298" t="s">
        <v>38</v>
      </c>
      <c r="M1298">
        <v>60591</v>
      </c>
      <c r="N1298" t="s">
        <v>42</v>
      </c>
      <c r="O1298" t="s">
        <v>43</v>
      </c>
      <c r="P1298" t="s">
        <v>38</v>
      </c>
      <c r="Q1298" t="s">
        <v>85</v>
      </c>
      <c r="R1298">
        <v>3</v>
      </c>
      <c r="S1298" t="s">
        <v>45</v>
      </c>
      <c r="T1298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298">
        <v>60592</v>
      </c>
      <c r="V1298" t="s">
        <v>38</v>
      </c>
      <c r="W1298" t="s">
        <v>85</v>
      </c>
      <c r="X1298">
        <v>3</v>
      </c>
      <c r="Y1298">
        <v>0</v>
      </c>
      <c r="Z1298" t="s">
        <v>46</v>
      </c>
      <c r="AA1298">
        <v>60597</v>
      </c>
      <c r="AB1298" t="s">
        <v>1369</v>
      </c>
      <c r="AC1298" t="s">
        <v>48</v>
      </c>
      <c r="AD1298" t="s">
        <v>38</v>
      </c>
      <c r="AE1298" t="s">
        <v>49</v>
      </c>
      <c r="AF1298" t="s">
        <v>50</v>
      </c>
      <c r="AG1298">
        <v>.9999999999999999999999999999999999999996</v>
      </c>
      <c r="AH1298">
        <v>0</v>
      </c>
      <c r="AI1298" t="s">
        <v>51</v>
      </c>
      <c r="AJ1298" t="s">
        <v>51</v>
      </c>
      <c r="AK1298" t="s">
        <v>51</v>
      </c>
    </row>
    <row r="1299" spans="1:37" x14ac:dyDescent="0.2">
      <c r="A1299">
        <v>60574</v>
      </c>
      <c r="B1299" t="s">
        <v>37</v>
      </c>
      <c r="C1299" t="s">
        <v>38</v>
      </c>
      <c r="D1299" t="s">
        <v>39</v>
      </c>
      <c r="E1299" t="s">
        <v>40</v>
      </c>
      <c r="G1299" s="4">
        <v>43947.435983796296</v>
      </c>
      <c r="H1299" s="4">
        <v>43947.45318287037</v>
      </c>
      <c r="I1299" t="s">
        <v>1365</v>
      </c>
      <c r="J1299" s="5">
        <v>1486.000000000000000000000000000000000002</v>
      </c>
      <c r="K1299" t="s">
        <v>38</v>
      </c>
      <c r="M1299">
        <v>60591</v>
      </c>
      <c r="N1299" t="s">
        <v>42</v>
      </c>
      <c r="O1299" t="s">
        <v>43</v>
      </c>
      <c r="P1299" t="s">
        <v>38</v>
      </c>
      <c r="Q1299" t="s">
        <v>85</v>
      </c>
      <c r="R1299">
        <v>3</v>
      </c>
      <c r="S1299" t="s">
        <v>45</v>
      </c>
      <c r="T1299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299">
        <v>60592</v>
      </c>
      <c r="V1299" t="s">
        <v>38</v>
      </c>
      <c r="W1299" t="s">
        <v>85</v>
      </c>
      <c r="X1299">
        <v>3</v>
      </c>
      <c r="Y1299">
        <v>0</v>
      </c>
      <c r="Z1299" t="s">
        <v>46</v>
      </c>
      <c r="AA1299">
        <v>60596</v>
      </c>
      <c r="AB1299" t="s">
        <v>1370</v>
      </c>
      <c r="AC1299" t="s">
        <v>56</v>
      </c>
      <c r="AD1299" t="s">
        <v>38</v>
      </c>
      <c r="AE1299" t="s">
        <v>49</v>
      </c>
      <c r="AF1299" t="s">
        <v>50</v>
      </c>
      <c r="AG1299">
        <v>0</v>
      </c>
      <c r="AH1299">
        <v>0</v>
      </c>
      <c r="AI1299" t="s">
        <v>51</v>
      </c>
      <c r="AJ1299" t="s">
        <v>51</v>
      </c>
      <c r="AK1299" t="s">
        <v>51</v>
      </c>
    </row>
    <row r="1300" spans="1:37" x14ac:dyDescent="0.2">
      <c r="A1300">
        <v>60574</v>
      </c>
      <c r="B1300" t="s">
        <v>37</v>
      </c>
      <c r="C1300" t="s">
        <v>38</v>
      </c>
      <c r="D1300" t="s">
        <v>39</v>
      </c>
      <c r="E1300" t="s">
        <v>40</v>
      </c>
      <c r="G1300" s="4">
        <v>43947.435983796296</v>
      </c>
      <c r="H1300" s="4">
        <v>43947.45318287037</v>
      </c>
      <c r="I1300" t="s">
        <v>1365</v>
      </c>
      <c r="J1300" s="5">
        <v>1486.000000000000000000000000000000000002</v>
      </c>
      <c r="K1300" t="s">
        <v>38</v>
      </c>
      <c r="M1300">
        <v>60591</v>
      </c>
      <c r="N1300" t="s">
        <v>42</v>
      </c>
      <c r="O1300" t="s">
        <v>43</v>
      </c>
      <c r="P1300" t="s">
        <v>38</v>
      </c>
      <c r="Q1300" t="s">
        <v>85</v>
      </c>
      <c r="R1300">
        <v>3</v>
      </c>
      <c r="S1300" t="s">
        <v>45</v>
      </c>
      <c r="T1300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0">
        <v>60592</v>
      </c>
      <c r="V1300" t="s">
        <v>38</v>
      </c>
      <c r="W1300" t="s">
        <v>85</v>
      </c>
      <c r="X1300">
        <v>3</v>
      </c>
      <c r="Y1300">
        <v>0</v>
      </c>
      <c r="Z1300" t="s">
        <v>46</v>
      </c>
      <c r="AA1300">
        <v>60595</v>
      </c>
      <c r="AB1300" t="s">
        <v>1371</v>
      </c>
      <c r="AC1300" t="s">
        <v>56</v>
      </c>
      <c r="AD1300" t="s">
        <v>38</v>
      </c>
      <c r="AE1300" t="s">
        <v>49</v>
      </c>
      <c r="AF1300" t="s">
        <v>50</v>
      </c>
      <c r="AG1300">
        <v>0</v>
      </c>
      <c r="AH1300">
        <v>0</v>
      </c>
      <c r="AI1300" t="s">
        <v>51</v>
      </c>
      <c r="AJ1300" t="s">
        <v>51</v>
      </c>
      <c r="AK1300" t="s">
        <v>51</v>
      </c>
    </row>
    <row r="1301" spans="1:37" x14ac:dyDescent="0.2">
      <c r="A1301">
        <v>60574</v>
      </c>
      <c r="B1301" t="s">
        <v>37</v>
      </c>
      <c r="C1301" t="s">
        <v>38</v>
      </c>
      <c r="D1301" t="s">
        <v>39</v>
      </c>
      <c r="E1301" t="s">
        <v>40</v>
      </c>
      <c r="G1301" s="4">
        <v>43947.435983796296</v>
      </c>
      <c r="H1301" s="4">
        <v>43947.45318287037</v>
      </c>
      <c r="I1301" t="s">
        <v>1365</v>
      </c>
      <c r="J1301" s="5">
        <v>1486.000000000000000000000000000000000002</v>
      </c>
      <c r="K1301" t="s">
        <v>38</v>
      </c>
      <c r="M1301">
        <v>60591</v>
      </c>
      <c r="N1301" t="s">
        <v>42</v>
      </c>
      <c r="O1301" t="s">
        <v>43</v>
      </c>
      <c r="P1301" t="s">
        <v>38</v>
      </c>
      <c r="Q1301" t="s">
        <v>85</v>
      </c>
      <c r="R1301">
        <v>3</v>
      </c>
      <c r="S1301" t="s">
        <v>45</v>
      </c>
      <c r="T1301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1">
        <v>60592</v>
      </c>
      <c r="V1301" t="s">
        <v>38</v>
      </c>
      <c r="W1301" t="s">
        <v>85</v>
      </c>
      <c r="X1301">
        <v>3</v>
      </c>
      <c r="Y1301">
        <v>0</v>
      </c>
      <c r="Z1301" t="s">
        <v>46</v>
      </c>
      <c r="AA1301">
        <v>60594</v>
      </c>
      <c r="AB1301" t="s">
        <v>1372</v>
      </c>
      <c r="AC1301" t="s">
        <v>56</v>
      </c>
      <c r="AD1301" t="s">
        <v>38</v>
      </c>
      <c r="AE1301" t="s">
        <v>49</v>
      </c>
      <c r="AF1301" t="s">
        <v>50</v>
      </c>
      <c r="AG1301">
        <v>0</v>
      </c>
      <c r="AH1301">
        <v>0</v>
      </c>
      <c r="AI1301" t="s">
        <v>51</v>
      </c>
      <c r="AJ1301" t="s">
        <v>51</v>
      </c>
      <c r="AK1301" t="s">
        <v>51</v>
      </c>
    </row>
    <row r="1302" spans="1:37" x14ac:dyDescent="0.2">
      <c r="A1302">
        <v>60574</v>
      </c>
      <c r="B1302" t="s">
        <v>37</v>
      </c>
      <c r="C1302" t="s">
        <v>38</v>
      </c>
      <c r="D1302" t="s">
        <v>39</v>
      </c>
      <c r="E1302" t="s">
        <v>40</v>
      </c>
      <c r="G1302" s="4">
        <v>43947.435983796296</v>
      </c>
      <c r="H1302" s="4">
        <v>43947.45318287037</v>
      </c>
      <c r="I1302" t="s">
        <v>1365</v>
      </c>
      <c r="J1302" s="5">
        <v>1486.000000000000000000000000000000000002</v>
      </c>
      <c r="K1302" t="s">
        <v>38</v>
      </c>
      <c r="M1302">
        <v>60591</v>
      </c>
      <c r="N1302" t="s">
        <v>42</v>
      </c>
      <c r="O1302" t="s">
        <v>43</v>
      </c>
      <c r="P1302" t="s">
        <v>38</v>
      </c>
      <c r="Q1302" t="s">
        <v>85</v>
      </c>
      <c r="R1302">
        <v>3</v>
      </c>
      <c r="S1302" t="s">
        <v>45</v>
      </c>
      <c r="T1302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2">
        <v>60592</v>
      </c>
      <c r="V1302" t="s">
        <v>38</v>
      </c>
      <c r="W1302" t="s">
        <v>85</v>
      </c>
      <c r="X1302">
        <v>3</v>
      </c>
      <c r="Y1302">
        <v>0</v>
      </c>
      <c r="Z1302" t="s">
        <v>46</v>
      </c>
      <c r="AA1302">
        <v>60593</v>
      </c>
      <c r="AB1302" t="s">
        <v>1373</v>
      </c>
      <c r="AC1302" t="s">
        <v>60</v>
      </c>
      <c r="AD1302" t="s">
        <v>38</v>
      </c>
      <c r="AE1302" t="s">
        <v>49</v>
      </c>
      <c r="AF1302" t="s">
        <v>50</v>
      </c>
      <c r="AG1302">
        <v>.9999999999999999999999999999999999999996</v>
      </c>
      <c r="AH1302">
        <v>0</v>
      </c>
      <c r="AI1302" t="s">
        <v>51</v>
      </c>
      <c r="AJ1302" t="s">
        <v>51</v>
      </c>
      <c r="AK1302" t="s">
        <v>51</v>
      </c>
    </row>
    <row r="1303" spans="1:37" x14ac:dyDescent="0.2">
      <c r="A1303">
        <v>60574</v>
      </c>
      <c r="B1303" t="s">
        <v>37</v>
      </c>
      <c r="C1303" t="s">
        <v>38</v>
      </c>
      <c r="D1303" t="s">
        <v>39</v>
      </c>
      <c r="E1303" t="s">
        <v>40</v>
      </c>
      <c r="G1303" s="4">
        <v>43947.435983796296</v>
      </c>
      <c r="H1303" s="4">
        <v>43947.45318287037</v>
      </c>
      <c r="I1303" t="s">
        <v>1365</v>
      </c>
      <c r="J1303" s="5">
        <v>1486.000000000000000000000000000000000002</v>
      </c>
      <c r="K1303" t="s">
        <v>38</v>
      </c>
      <c r="M1303">
        <v>60585</v>
      </c>
      <c r="N1303" t="s">
        <v>61</v>
      </c>
      <c r="O1303" t="s">
        <v>62</v>
      </c>
      <c r="P1303" t="s">
        <v>38</v>
      </c>
      <c r="Q1303" t="s">
        <v>1374</v>
      </c>
      <c r="R1303">
        <v>1467.000000000000000000000000000000000003</v>
      </c>
      <c r="S1303" t="s">
        <v>45</v>
      </c>
      <c r="T1303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3">
        <v>60586</v>
      </c>
      <c r="V1303" t="s">
        <v>38</v>
      </c>
      <c r="W1303" t="s">
        <v>1375</v>
      </c>
      <c r="X1303">
        <v>1466.000000000000000000000000000000000001</v>
      </c>
      <c r="Y1303">
        <v>0</v>
      </c>
      <c r="Z1303" t="s">
        <v>46</v>
      </c>
      <c r="AA1303">
        <v>60588</v>
      </c>
      <c r="AB1303" t="s">
        <v>64</v>
      </c>
      <c r="AC1303" t="s">
        <v>56</v>
      </c>
      <c r="AD1303" t="s">
        <v>38</v>
      </c>
      <c r="AE1303" t="s">
        <v>65</v>
      </c>
      <c r="AF1303" t="s">
        <v>1375</v>
      </c>
      <c r="AG1303">
        <v>1466.000000000000000000000000000000000001</v>
      </c>
      <c r="AH1303">
        <v>3</v>
      </c>
      <c r="AI1303" t="s">
        <v>66</v>
      </c>
      <c r="AJ1303" t="s">
        <v>51</v>
      </c>
      <c r="AK1303" t="s">
        <v>66</v>
      </c>
    </row>
    <row r="1304" spans="1:37" x14ac:dyDescent="0.2">
      <c r="A1304">
        <v>60574</v>
      </c>
      <c r="B1304" t="s">
        <v>37</v>
      </c>
      <c r="C1304" t="s">
        <v>38</v>
      </c>
      <c r="D1304" t="s">
        <v>39</v>
      </c>
      <c r="E1304" t="s">
        <v>40</v>
      </c>
      <c r="G1304" s="4">
        <v>43947.435983796296</v>
      </c>
      <c r="H1304" s="4">
        <v>43947.45318287037</v>
      </c>
      <c r="I1304" t="s">
        <v>1365</v>
      </c>
      <c r="J1304" s="5">
        <v>1486.000000000000000000000000000000000002</v>
      </c>
      <c r="K1304" t="s">
        <v>38</v>
      </c>
      <c r="M1304">
        <v>60585</v>
      </c>
      <c r="N1304" t="s">
        <v>61</v>
      </c>
      <c r="O1304" t="s">
        <v>62</v>
      </c>
      <c r="P1304" t="s">
        <v>38</v>
      </c>
      <c r="Q1304" t="s">
        <v>1374</v>
      </c>
      <c r="R1304">
        <v>1467.000000000000000000000000000000000003</v>
      </c>
      <c r="S1304" t="s">
        <v>45</v>
      </c>
      <c r="T1304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4">
        <v>60586</v>
      </c>
      <c r="V1304" t="s">
        <v>38</v>
      </c>
      <c r="W1304" t="s">
        <v>1375</v>
      </c>
      <c r="X1304">
        <v>1466.000000000000000000000000000000000001</v>
      </c>
      <c r="Y1304">
        <v>0</v>
      </c>
      <c r="Z1304" t="s">
        <v>46</v>
      </c>
      <c r="AA1304">
        <v>60587</v>
      </c>
      <c r="AB1304" t="s">
        <v>1376</v>
      </c>
      <c r="AC1304" t="s">
        <v>68</v>
      </c>
      <c r="AD1304" t="s">
        <v>38</v>
      </c>
      <c r="AE1304" t="s">
        <v>49</v>
      </c>
      <c r="AF1304" t="s">
        <v>50</v>
      </c>
      <c r="AG1304">
        <v>0</v>
      </c>
      <c r="AH1304">
        <v>0</v>
      </c>
      <c r="AI1304" t="s">
        <v>51</v>
      </c>
      <c r="AJ1304" t="s">
        <v>51</v>
      </c>
      <c r="AK1304" t="s">
        <v>51</v>
      </c>
    </row>
    <row r="1305" spans="1:37" x14ac:dyDescent="0.2">
      <c r="A1305">
        <v>60574</v>
      </c>
      <c r="B1305" t="s">
        <v>37</v>
      </c>
      <c r="C1305" t="s">
        <v>38</v>
      </c>
      <c r="D1305" t="s">
        <v>39</v>
      </c>
      <c r="E1305" t="s">
        <v>40</v>
      </c>
      <c r="G1305" s="4">
        <v>43947.435983796296</v>
      </c>
      <c r="H1305" s="4">
        <v>43947.45318287037</v>
      </c>
      <c r="I1305" t="s">
        <v>1365</v>
      </c>
      <c r="J1305" s="5">
        <v>1486.000000000000000000000000000000000002</v>
      </c>
      <c r="K1305" t="s">
        <v>38</v>
      </c>
      <c r="M1305">
        <v>60581</v>
      </c>
      <c r="N1305" t="s">
        <v>69</v>
      </c>
      <c r="O1305" t="s">
        <v>70</v>
      </c>
      <c r="P1305" t="s">
        <v>38</v>
      </c>
      <c r="Q1305" t="s">
        <v>75</v>
      </c>
      <c r="R1305">
        <v>6</v>
      </c>
      <c r="S1305" t="s">
        <v>45</v>
      </c>
      <c r="T1305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5">
        <v>60582</v>
      </c>
      <c r="V1305" t="s">
        <v>38</v>
      </c>
      <c r="W1305" t="s">
        <v>75</v>
      </c>
      <c r="X1305">
        <v>6</v>
      </c>
      <c r="Y1305">
        <v>0</v>
      </c>
      <c r="Z1305" t="s">
        <v>46</v>
      </c>
      <c r="AA1305">
        <v>60584</v>
      </c>
      <c r="AB1305" t="s">
        <v>1377</v>
      </c>
      <c r="AC1305" t="s">
        <v>56</v>
      </c>
      <c r="AD1305" t="s">
        <v>38</v>
      </c>
      <c r="AE1305" t="s">
        <v>49</v>
      </c>
      <c r="AF1305" t="s">
        <v>50</v>
      </c>
      <c r="AG1305">
        <v>0</v>
      </c>
      <c r="AH1305">
        <v>0</v>
      </c>
      <c r="AI1305" t="s">
        <v>51</v>
      </c>
      <c r="AJ1305" t="s">
        <v>51</v>
      </c>
      <c r="AK1305" t="s">
        <v>51</v>
      </c>
    </row>
    <row r="1306" spans="1:37" x14ac:dyDescent="0.2">
      <c r="A1306">
        <v>60574</v>
      </c>
      <c r="B1306" t="s">
        <v>37</v>
      </c>
      <c r="C1306" t="s">
        <v>38</v>
      </c>
      <c r="D1306" t="s">
        <v>39</v>
      </c>
      <c r="E1306" t="s">
        <v>40</v>
      </c>
      <c r="G1306" s="4">
        <v>43947.435983796296</v>
      </c>
      <c r="H1306" s="4">
        <v>43947.45318287037</v>
      </c>
      <c r="I1306" t="s">
        <v>1365</v>
      </c>
      <c r="J1306" s="5">
        <v>1486.000000000000000000000000000000000002</v>
      </c>
      <c r="K1306" t="s">
        <v>38</v>
      </c>
      <c r="M1306">
        <v>60581</v>
      </c>
      <c r="N1306" t="s">
        <v>69</v>
      </c>
      <c r="O1306" t="s">
        <v>70</v>
      </c>
      <c r="P1306" t="s">
        <v>38</v>
      </c>
      <c r="Q1306" t="s">
        <v>75</v>
      </c>
      <c r="R1306">
        <v>6</v>
      </c>
      <c r="S1306" t="s">
        <v>45</v>
      </c>
      <c r="T1306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6">
        <v>60582</v>
      </c>
      <c r="V1306" t="s">
        <v>38</v>
      </c>
      <c r="W1306" t="s">
        <v>75</v>
      </c>
      <c r="X1306">
        <v>6</v>
      </c>
      <c r="Y1306">
        <v>0</v>
      </c>
      <c r="Z1306" t="s">
        <v>46</v>
      </c>
      <c r="AA1306">
        <v>60583</v>
      </c>
      <c r="AB1306" t="s">
        <v>72</v>
      </c>
      <c r="AC1306" t="s">
        <v>68</v>
      </c>
      <c r="AD1306" t="s">
        <v>38</v>
      </c>
      <c r="AE1306" t="s">
        <v>872</v>
      </c>
      <c r="AF1306" t="s">
        <v>75</v>
      </c>
      <c r="AG1306">
        <v>6</v>
      </c>
      <c r="AH1306">
        <v>0</v>
      </c>
      <c r="AI1306" t="s">
        <v>873</v>
      </c>
      <c r="AJ1306" t="s">
        <v>51</v>
      </c>
      <c r="AK1306" t="s">
        <v>873</v>
      </c>
    </row>
    <row r="1307" spans="1:37" x14ac:dyDescent="0.2">
      <c r="A1307">
        <v>60574</v>
      </c>
      <c r="B1307" t="s">
        <v>37</v>
      </c>
      <c r="C1307" t="s">
        <v>38</v>
      </c>
      <c r="D1307" t="s">
        <v>39</v>
      </c>
      <c r="E1307" t="s">
        <v>40</v>
      </c>
      <c r="G1307" s="4">
        <v>43947.435983796296</v>
      </c>
      <c r="H1307" s="4">
        <v>43947.45318287037</v>
      </c>
      <c r="I1307" t="s">
        <v>1365</v>
      </c>
      <c r="J1307" s="5">
        <v>1486.000000000000000000000000000000000002</v>
      </c>
      <c r="K1307" t="s">
        <v>38</v>
      </c>
      <c r="M1307">
        <v>60575</v>
      </c>
      <c r="N1307" t="s">
        <v>73</v>
      </c>
      <c r="O1307" t="s">
        <v>74</v>
      </c>
      <c r="P1307" t="s">
        <v>38</v>
      </c>
      <c r="Q1307" t="s">
        <v>300</v>
      </c>
      <c r="R1307">
        <v>10.00000000000000000000000000000000000002</v>
      </c>
      <c r="S1307" t="s">
        <v>45</v>
      </c>
      <c r="T1307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7">
        <v>60576</v>
      </c>
      <c r="V1307" t="s">
        <v>38</v>
      </c>
      <c r="W1307" t="s">
        <v>300</v>
      </c>
      <c r="X1307">
        <v>10.00000000000000000000000000000000000002</v>
      </c>
      <c r="Y1307">
        <v>0</v>
      </c>
      <c r="Z1307" t="s">
        <v>46</v>
      </c>
      <c r="AA1307">
        <v>60580</v>
      </c>
      <c r="AB1307" t="s">
        <v>76</v>
      </c>
      <c r="AC1307" t="s">
        <v>56</v>
      </c>
      <c r="AD1307" t="s">
        <v>38</v>
      </c>
      <c r="AE1307" t="s">
        <v>77</v>
      </c>
      <c r="AF1307" t="s">
        <v>78</v>
      </c>
      <c r="AG1307">
        <v>5</v>
      </c>
      <c r="AH1307">
        <v>0</v>
      </c>
      <c r="AI1307" t="s">
        <v>79</v>
      </c>
      <c r="AJ1307" t="s">
        <v>51</v>
      </c>
      <c r="AK1307" t="s">
        <v>79</v>
      </c>
    </row>
    <row r="1308" spans="1:37" x14ac:dyDescent="0.2">
      <c r="A1308">
        <v>60574</v>
      </c>
      <c r="B1308" t="s">
        <v>37</v>
      </c>
      <c r="C1308" t="s">
        <v>38</v>
      </c>
      <c r="D1308" t="s">
        <v>39</v>
      </c>
      <c r="E1308" t="s">
        <v>40</v>
      </c>
      <c r="G1308" s="4">
        <v>43947.435983796296</v>
      </c>
      <c r="H1308" s="4">
        <v>43947.45318287037</v>
      </c>
      <c r="I1308" t="s">
        <v>1365</v>
      </c>
      <c r="J1308" s="5">
        <v>1486.000000000000000000000000000000000002</v>
      </c>
      <c r="K1308" t="s">
        <v>38</v>
      </c>
      <c r="M1308">
        <v>60575</v>
      </c>
      <c r="N1308" t="s">
        <v>73</v>
      </c>
      <c r="O1308" t="s">
        <v>74</v>
      </c>
      <c r="P1308" t="s">
        <v>38</v>
      </c>
      <c r="Q1308" t="s">
        <v>300</v>
      </c>
      <c r="R1308">
        <v>10.00000000000000000000000000000000000002</v>
      </c>
      <c r="S1308" t="s">
        <v>45</v>
      </c>
      <c r="T1308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8">
        <v>60576</v>
      </c>
      <c r="V1308" t="s">
        <v>38</v>
      </c>
      <c r="W1308" t="s">
        <v>300</v>
      </c>
      <c r="X1308">
        <v>10.00000000000000000000000000000000000002</v>
      </c>
      <c r="Y1308">
        <v>0</v>
      </c>
      <c r="Z1308" t="s">
        <v>46</v>
      </c>
      <c r="AA1308">
        <v>60579</v>
      </c>
      <c r="AB1308" t="s">
        <v>80</v>
      </c>
      <c r="AC1308" t="s">
        <v>56</v>
      </c>
      <c r="AD1308" t="s">
        <v>38</v>
      </c>
      <c r="AE1308" t="s">
        <v>49</v>
      </c>
      <c r="AF1308" t="s">
        <v>50</v>
      </c>
      <c r="AG1308">
        <v>0</v>
      </c>
      <c r="AH1308">
        <v>0</v>
      </c>
      <c r="AI1308" t="s">
        <v>51</v>
      </c>
      <c r="AJ1308" t="s">
        <v>51</v>
      </c>
      <c r="AK1308" t="s">
        <v>51</v>
      </c>
    </row>
    <row r="1309" spans="1:37" x14ac:dyDescent="0.2">
      <c r="A1309">
        <v>60574</v>
      </c>
      <c r="B1309" t="s">
        <v>37</v>
      </c>
      <c r="C1309" t="s">
        <v>38</v>
      </c>
      <c r="D1309" t="s">
        <v>39</v>
      </c>
      <c r="E1309" t="s">
        <v>40</v>
      </c>
      <c r="G1309" s="4">
        <v>43947.435983796296</v>
      </c>
      <c r="H1309" s="4">
        <v>43947.45318287037</v>
      </c>
      <c r="I1309" t="s">
        <v>1365</v>
      </c>
      <c r="J1309" s="5">
        <v>1486.000000000000000000000000000000000002</v>
      </c>
      <c r="K1309" t="s">
        <v>38</v>
      </c>
      <c r="M1309">
        <v>60575</v>
      </c>
      <c r="N1309" t="s">
        <v>73</v>
      </c>
      <c r="O1309" t="s">
        <v>74</v>
      </c>
      <c r="P1309" t="s">
        <v>38</v>
      </c>
      <c r="Q1309" t="s">
        <v>300</v>
      </c>
      <c r="R1309">
        <v>10.00000000000000000000000000000000000002</v>
      </c>
      <c r="S1309" t="s">
        <v>45</v>
      </c>
      <c r="T1309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09">
        <v>60576</v>
      </c>
      <c r="V1309" t="s">
        <v>38</v>
      </c>
      <c r="W1309" t="s">
        <v>300</v>
      </c>
      <c r="X1309">
        <v>10.00000000000000000000000000000000000002</v>
      </c>
      <c r="Y1309">
        <v>0</v>
      </c>
      <c r="Z1309" t="s">
        <v>46</v>
      </c>
      <c r="AA1309">
        <v>60578</v>
      </c>
      <c r="AB1309" t="s">
        <v>1378</v>
      </c>
      <c r="AC1309" t="s">
        <v>68</v>
      </c>
      <c r="AD1309" t="s">
        <v>38</v>
      </c>
      <c r="AE1309" t="s">
        <v>49</v>
      </c>
      <c r="AF1309" t="s">
        <v>50</v>
      </c>
      <c r="AG1309">
        <v>0</v>
      </c>
      <c r="AH1309">
        <v>0</v>
      </c>
      <c r="AI1309" t="s">
        <v>51</v>
      </c>
      <c r="AJ1309" t="s">
        <v>51</v>
      </c>
      <c r="AK1309" t="s">
        <v>51</v>
      </c>
    </row>
    <row r="1310" spans="1:37" x14ac:dyDescent="0.2">
      <c r="A1310">
        <v>60574</v>
      </c>
      <c r="B1310" t="s">
        <v>37</v>
      </c>
      <c r="C1310" t="s">
        <v>38</v>
      </c>
      <c r="D1310" t="s">
        <v>39</v>
      </c>
      <c r="E1310" t="s">
        <v>40</v>
      </c>
      <c r="G1310" s="4">
        <v>43947.435983796296</v>
      </c>
      <c r="H1310" s="4">
        <v>43947.45318287037</v>
      </c>
      <c r="I1310" t="s">
        <v>1365</v>
      </c>
      <c r="J1310" s="5">
        <v>1486.000000000000000000000000000000000002</v>
      </c>
      <c r="K1310" t="s">
        <v>38</v>
      </c>
      <c r="M1310">
        <v>60575</v>
      </c>
      <c r="N1310" t="s">
        <v>73</v>
      </c>
      <c r="O1310" t="s">
        <v>74</v>
      </c>
      <c r="P1310" t="s">
        <v>38</v>
      </c>
      <c r="Q1310" t="s">
        <v>300</v>
      </c>
      <c r="R1310">
        <v>10.00000000000000000000000000000000000002</v>
      </c>
      <c r="S1310" t="s">
        <v>45</v>
      </c>
      <c r="T1310" t="str" s="2">
        <f>=HYPERLINK("http://demo.enginatics.com:80/ecc/user/applications/log/60574.log","http://demo.enginatics.com:80/ecc/user/applications/log/60574.log")</f>
        <v>"http://demo.enginatics.com:80/ecc/user/applications/log/60574.log")</v>
      </c>
      <c r="U1310">
        <v>60576</v>
      </c>
      <c r="V1310" t="s">
        <v>38</v>
      </c>
      <c r="W1310" t="s">
        <v>300</v>
      </c>
      <c r="X1310">
        <v>10.00000000000000000000000000000000000002</v>
      </c>
      <c r="Y1310">
        <v>0</v>
      </c>
      <c r="Z1310" t="s">
        <v>46</v>
      </c>
      <c r="AA1310">
        <v>60577</v>
      </c>
      <c r="AB1310" t="s">
        <v>82</v>
      </c>
      <c r="AC1310" t="s">
        <v>68</v>
      </c>
      <c r="AD1310" t="s">
        <v>38</v>
      </c>
      <c r="AE1310" t="s">
        <v>875</v>
      </c>
      <c r="AF1310" t="s">
        <v>78</v>
      </c>
      <c r="AG1310">
        <v>5</v>
      </c>
      <c r="AH1310">
        <v>0</v>
      </c>
      <c r="AI1310" t="s">
        <v>876</v>
      </c>
      <c r="AJ1310" t="s">
        <v>51</v>
      </c>
      <c r="AK1310" t="s">
        <v>876</v>
      </c>
    </row>
    <row r="1311" spans="1:37" x14ac:dyDescent="0.2">
      <c r="A1311">
        <v>60568</v>
      </c>
      <c r="B1311" t="s">
        <v>37</v>
      </c>
      <c r="C1311" t="s">
        <v>38</v>
      </c>
      <c r="D1311" t="s">
        <v>93</v>
      </c>
      <c r="E1311" t="s">
        <v>94</v>
      </c>
      <c r="G1311" s="4">
        <v>43947.417928240741</v>
      </c>
      <c r="H1311" s="4">
        <v>43947.41806712963</v>
      </c>
      <c r="I1311" t="s">
        <v>236</v>
      </c>
      <c r="J1311" s="5">
        <v>12.00000000000000000000000000000000000001</v>
      </c>
      <c r="K1311" t="s">
        <v>38</v>
      </c>
      <c r="M1311">
        <v>60569</v>
      </c>
      <c r="N1311" t="s">
        <v>94</v>
      </c>
      <c r="O1311" t="s">
        <v>95</v>
      </c>
      <c r="P1311" t="s">
        <v>38</v>
      </c>
      <c r="Q1311" t="s">
        <v>236</v>
      </c>
      <c r="R1311">
        <v>12.00000000000000000000000000000000000001</v>
      </c>
      <c r="S1311" t="s">
        <v>45</v>
      </c>
      <c r="T1311" t="str" s="2">
        <f>=HYPERLINK("http://demo.enginatics.com:80/ecc/user/applications/log/60568.log","http://demo.enginatics.com:80/ecc/user/applications/log/60568.log")</f>
        <v>"http://demo.enginatics.com:80/ecc/user/applications/log/60568.log")</v>
      </c>
      <c r="U1311">
        <v>60570</v>
      </c>
      <c r="V1311" t="s">
        <v>38</v>
      </c>
      <c r="W1311" t="s">
        <v>300</v>
      </c>
      <c r="X1311">
        <v>10.00000000000000000000000000000000000002</v>
      </c>
      <c r="Y1311">
        <v>0</v>
      </c>
      <c r="Z1311" t="s">
        <v>46</v>
      </c>
      <c r="AA1311">
        <v>60573</v>
      </c>
      <c r="AB1311" t="s">
        <v>96</v>
      </c>
      <c r="AC1311" t="s">
        <v>97</v>
      </c>
      <c r="AD1311" t="s">
        <v>38</v>
      </c>
      <c r="AE1311" t="s">
        <v>878</v>
      </c>
      <c r="AF1311" t="s">
        <v>78</v>
      </c>
      <c r="AG1311">
        <v>5</v>
      </c>
      <c r="AH1311">
        <v>0</v>
      </c>
      <c r="AI1311" t="s">
        <v>879</v>
      </c>
      <c r="AJ1311" t="s">
        <v>51</v>
      </c>
      <c r="AK1311" t="s">
        <v>879</v>
      </c>
    </row>
    <row r="1312" spans="1:37" x14ac:dyDescent="0.2">
      <c r="A1312">
        <v>60568</v>
      </c>
      <c r="B1312" t="s">
        <v>37</v>
      </c>
      <c r="C1312" t="s">
        <v>38</v>
      </c>
      <c r="D1312" t="s">
        <v>93</v>
      </c>
      <c r="E1312" t="s">
        <v>94</v>
      </c>
      <c r="G1312" s="4">
        <v>43947.417928240741</v>
      </c>
      <c r="H1312" s="4">
        <v>43947.41806712963</v>
      </c>
      <c r="I1312" t="s">
        <v>236</v>
      </c>
      <c r="J1312" s="5">
        <v>12.00000000000000000000000000000000000001</v>
      </c>
      <c r="K1312" t="s">
        <v>38</v>
      </c>
      <c r="M1312">
        <v>60569</v>
      </c>
      <c r="N1312" t="s">
        <v>94</v>
      </c>
      <c r="O1312" t="s">
        <v>95</v>
      </c>
      <c r="P1312" t="s">
        <v>38</v>
      </c>
      <c r="Q1312" t="s">
        <v>236</v>
      </c>
      <c r="R1312">
        <v>12.00000000000000000000000000000000000001</v>
      </c>
      <c r="S1312" t="s">
        <v>45</v>
      </c>
      <c r="T1312" t="str" s="2">
        <f>=HYPERLINK("http://demo.enginatics.com:80/ecc/user/applications/log/60568.log","http://demo.enginatics.com:80/ecc/user/applications/log/60568.log")</f>
        <v>"http://demo.enginatics.com:80/ecc/user/applications/log/60568.log")</v>
      </c>
      <c r="U1312">
        <v>60570</v>
      </c>
      <c r="V1312" t="s">
        <v>38</v>
      </c>
      <c r="W1312" t="s">
        <v>300</v>
      </c>
      <c r="X1312">
        <v>10.00000000000000000000000000000000000002</v>
      </c>
      <c r="Y1312">
        <v>0</v>
      </c>
      <c r="Z1312" t="s">
        <v>46</v>
      </c>
      <c r="AA1312">
        <v>60572</v>
      </c>
      <c r="AB1312" t="s">
        <v>98</v>
      </c>
      <c r="AC1312" t="s">
        <v>56</v>
      </c>
      <c r="AD1312" t="s">
        <v>38</v>
      </c>
      <c r="AE1312" t="s">
        <v>49</v>
      </c>
      <c r="AF1312" t="s">
        <v>50</v>
      </c>
      <c r="AG1312">
        <v>0</v>
      </c>
      <c r="AH1312">
        <v>0</v>
      </c>
      <c r="AI1312" t="s">
        <v>51</v>
      </c>
      <c r="AJ1312" t="s">
        <v>51</v>
      </c>
      <c r="AK1312" t="s">
        <v>51</v>
      </c>
    </row>
    <row r="1313" spans="1:37" x14ac:dyDescent="0.2">
      <c r="A1313">
        <v>60568</v>
      </c>
      <c r="B1313" t="s">
        <v>37</v>
      </c>
      <c r="C1313" t="s">
        <v>38</v>
      </c>
      <c r="D1313" t="s">
        <v>93</v>
      </c>
      <c r="E1313" t="s">
        <v>94</v>
      </c>
      <c r="G1313" s="4">
        <v>43947.417928240741</v>
      </c>
      <c r="H1313" s="4">
        <v>43947.41806712963</v>
      </c>
      <c r="I1313" t="s">
        <v>236</v>
      </c>
      <c r="J1313" s="5">
        <v>12.00000000000000000000000000000000000001</v>
      </c>
      <c r="K1313" t="s">
        <v>38</v>
      </c>
      <c r="M1313">
        <v>60569</v>
      </c>
      <c r="N1313" t="s">
        <v>94</v>
      </c>
      <c r="O1313" t="s">
        <v>95</v>
      </c>
      <c r="P1313" t="s">
        <v>38</v>
      </c>
      <c r="Q1313" t="s">
        <v>236</v>
      </c>
      <c r="R1313">
        <v>12.00000000000000000000000000000000000001</v>
      </c>
      <c r="S1313" t="s">
        <v>45</v>
      </c>
      <c r="T1313" t="str" s="2">
        <f>=HYPERLINK("http://demo.enginatics.com:80/ecc/user/applications/log/60568.log","http://demo.enginatics.com:80/ecc/user/applications/log/60568.log")</f>
        <v>"http://demo.enginatics.com:80/ecc/user/applications/log/60568.log")</v>
      </c>
      <c r="U1313">
        <v>60570</v>
      </c>
      <c r="V1313" t="s">
        <v>38</v>
      </c>
      <c r="W1313" t="s">
        <v>300</v>
      </c>
      <c r="X1313">
        <v>10.00000000000000000000000000000000000002</v>
      </c>
      <c r="Y1313">
        <v>0</v>
      </c>
      <c r="Z1313" t="s">
        <v>46</v>
      </c>
      <c r="AA1313">
        <v>60571</v>
      </c>
      <c r="AB1313" t="s">
        <v>99</v>
      </c>
      <c r="AC1313" t="s">
        <v>68</v>
      </c>
      <c r="AD1313" t="s">
        <v>38</v>
      </c>
      <c r="AE1313" t="s">
        <v>878</v>
      </c>
      <c r="AF1313" t="s">
        <v>78</v>
      </c>
      <c r="AG1313">
        <v>5</v>
      </c>
      <c r="AH1313">
        <v>0</v>
      </c>
      <c r="AI1313" t="s">
        <v>879</v>
      </c>
      <c r="AJ1313" t="s">
        <v>51</v>
      </c>
      <c r="AK1313" t="s">
        <v>879</v>
      </c>
    </row>
    <row r="1314" spans="1:37" x14ac:dyDescent="0.2">
      <c r="A1314">
        <v>60562</v>
      </c>
      <c r="B1314" t="s">
        <v>37</v>
      </c>
      <c r="C1314" t="s">
        <v>38</v>
      </c>
      <c r="D1314" t="s">
        <v>93</v>
      </c>
      <c r="E1314" t="s">
        <v>100</v>
      </c>
      <c r="G1314" s="4">
        <v>43947.417743055556</v>
      </c>
      <c r="H1314" s="4">
        <v>43947.41787037037</v>
      </c>
      <c r="I1314" t="s">
        <v>337</v>
      </c>
      <c r="J1314" s="5">
        <v>11.00000000000000000000000000000000000002</v>
      </c>
      <c r="K1314" t="s">
        <v>38</v>
      </c>
      <c r="M1314">
        <v>60563</v>
      </c>
      <c r="N1314" t="s">
        <v>100</v>
      </c>
      <c r="O1314" t="s">
        <v>101</v>
      </c>
      <c r="P1314" t="s">
        <v>38</v>
      </c>
      <c r="Q1314" t="s">
        <v>337</v>
      </c>
      <c r="R1314">
        <v>11.00000000000000000000000000000000000002</v>
      </c>
      <c r="S1314" t="s">
        <v>45</v>
      </c>
      <c r="T1314" t="str" s="2">
        <f>=HYPERLINK("http://demo.enginatics.com:80/ecc/user/applications/log/60562.log","http://demo.enginatics.com:80/ecc/user/applications/log/60562.log")</f>
        <v>"http://demo.enginatics.com:80/ecc/user/applications/log/60562.log")</v>
      </c>
      <c r="U1314">
        <v>60564</v>
      </c>
      <c r="V1314" t="s">
        <v>38</v>
      </c>
      <c r="W1314" t="s">
        <v>337</v>
      </c>
      <c r="X1314">
        <v>11.00000000000000000000000000000000000002</v>
      </c>
      <c r="Y1314">
        <v>2</v>
      </c>
      <c r="Z1314" t="s">
        <v>46</v>
      </c>
      <c r="AA1314">
        <v>60567</v>
      </c>
      <c r="AB1314" t="s">
        <v>102</v>
      </c>
      <c r="AC1314" t="s">
        <v>103</v>
      </c>
      <c r="AD1314" t="s">
        <v>38</v>
      </c>
      <c r="AE1314" t="s">
        <v>878</v>
      </c>
      <c r="AF1314" t="s">
        <v>78</v>
      </c>
      <c r="AG1314">
        <v>5</v>
      </c>
      <c r="AH1314">
        <v>0</v>
      </c>
      <c r="AI1314" t="s">
        <v>879</v>
      </c>
      <c r="AJ1314" t="s">
        <v>51</v>
      </c>
      <c r="AK1314" t="s">
        <v>879</v>
      </c>
    </row>
    <row r="1315" spans="1:37" x14ac:dyDescent="0.2">
      <c r="A1315">
        <v>60562</v>
      </c>
      <c r="B1315" t="s">
        <v>37</v>
      </c>
      <c r="C1315" t="s">
        <v>38</v>
      </c>
      <c r="D1315" t="s">
        <v>93</v>
      </c>
      <c r="E1315" t="s">
        <v>100</v>
      </c>
      <c r="G1315" s="4">
        <v>43947.417743055556</v>
      </c>
      <c r="H1315" s="4">
        <v>43947.41787037037</v>
      </c>
      <c r="I1315" t="s">
        <v>337</v>
      </c>
      <c r="J1315" s="5">
        <v>11.00000000000000000000000000000000000002</v>
      </c>
      <c r="K1315" t="s">
        <v>38</v>
      </c>
      <c r="M1315">
        <v>60563</v>
      </c>
      <c r="N1315" t="s">
        <v>100</v>
      </c>
      <c r="O1315" t="s">
        <v>101</v>
      </c>
      <c r="P1315" t="s">
        <v>38</v>
      </c>
      <c r="Q1315" t="s">
        <v>337</v>
      </c>
      <c r="R1315">
        <v>11.00000000000000000000000000000000000002</v>
      </c>
      <c r="S1315" t="s">
        <v>45</v>
      </c>
      <c r="T1315" t="str" s="2">
        <f>=HYPERLINK("http://demo.enginatics.com:80/ecc/user/applications/log/60562.log","http://demo.enginatics.com:80/ecc/user/applications/log/60562.log")</f>
        <v>"http://demo.enginatics.com:80/ecc/user/applications/log/60562.log")</v>
      </c>
      <c r="U1315">
        <v>60564</v>
      </c>
      <c r="V1315" t="s">
        <v>38</v>
      </c>
      <c r="W1315" t="s">
        <v>337</v>
      </c>
      <c r="X1315">
        <v>11.00000000000000000000000000000000000002</v>
      </c>
      <c r="Y1315">
        <v>2</v>
      </c>
      <c r="Z1315" t="s">
        <v>46</v>
      </c>
      <c r="AA1315">
        <v>60566</v>
      </c>
      <c r="AB1315" t="s">
        <v>104</v>
      </c>
      <c r="AC1315" t="s">
        <v>56</v>
      </c>
      <c r="AD1315" t="s">
        <v>38</v>
      </c>
      <c r="AE1315" t="s">
        <v>49</v>
      </c>
      <c r="AF1315" t="s">
        <v>50</v>
      </c>
      <c r="AG1315">
        <v>0</v>
      </c>
      <c r="AH1315">
        <v>0</v>
      </c>
      <c r="AI1315" t="s">
        <v>51</v>
      </c>
      <c r="AJ1315" t="s">
        <v>51</v>
      </c>
      <c r="AK1315" t="s">
        <v>51</v>
      </c>
    </row>
    <row r="1316" spans="1:37" x14ac:dyDescent="0.2">
      <c r="A1316">
        <v>60562</v>
      </c>
      <c r="B1316" t="s">
        <v>37</v>
      </c>
      <c r="C1316" t="s">
        <v>38</v>
      </c>
      <c r="D1316" t="s">
        <v>93</v>
      </c>
      <c r="E1316" t="s">
        <v>100</v>
      </c>
      <c r="G1316" s="4">
        <v>43947.417743055556</v>
      </c>
      <c r="H1316" s="4">
        <v>43947.41787037037</v>
      </c>
      <c r="I1316" t="s">
        <v>337</v>
      </c>
      <c r="J1316" s="5">
        <v>11.00000000000000000000000000000000000002</v>
      </c>
      <c r="K1316" t="s">
        <v>38</v>
      </c>
      <c r="M1316">
        <v>60563</v>
      </c>
      <c r="N1316" t="s">
        <v>100</v>
      </c>
      <c r="O1316" t="s">
        <v>101</v>
      </c>
      <c r="P1316" t="s">
        <v>38</v>
      </c>
      <c r="Q1316" t="s">
        <v>337</v>
      </c>
      <c r="R1316">
        <v>11.00000000000000000000000000000000000002</v>
      </c>
      <c r="S1316" t="s">
        <v>45</v>
      </c>
      <c r="T1316" t="str" s="2">
        <f>=HYPERLINK("http://demo.enginatics.com:80/ecc/user/applications/log/60562.log","http://demo.enginatics.com:80/ecc/user/applications/log/60562.log")</f>
        <v>"http://demo.enginatics.com:80/ecc/user/applications/log/60562.log")</v>
      </c>
      <c r="U1316">
        <v>60564</v>
      </c>
      <c r="V1316" t="s">
        <v>38</v>
      </c>
      <c r="W1316" t="s">
        <v>337</v>
      </c>
      <c r="X1316">
        <v>11.00000000000000000000000000000000000002</v>
      </c>
      <c r="Y1316">
        <v>2</v>
      </c>
      <c r="Z1316" t="s">
        <v>46</v>
      </c>
      <c r="AA1316">
        <v>60565</v>
      </c>
      <c r="AB1316" t="s">
        <v>105</v>
      </c>
      <c r="AC1316" t="s">
        <v>68</v>
      </c>
      <c r="AD1316" t="s">
        <v>38</v>
      </c>
      <c r="AE1316" t="s">
        <v>878</v>
      </c>
      <c r="AF1316" t="s">
        <v>85</v>
      </c>
      <c r="AG1316">
        <v>3</v>
      </c>
      <c r="AH1316">
        <v>0</v>
      </c>
      <c r="AI1316" t="s">
        <v>879</v>
      </c>
      <c r="AJ1316" t="s">
        <v>51</v>
      </c>
      <c r="AK1316" t="s">
        <v>879</v>
      </c>
    </row>
    <row r="1317" spans="1:37" x14ac:dyDescent="0.2">
      <c r="A1317">
        <v>60554</v>
      </c>
      <c r="B1317" t="s">
        <v>37</v>
      </c>
      <c r="C1317" t="s">
        <v>38</v>
      </c>
      <c r="D1317" t="s">
        <v>106</v>
      </c>
      <c r="E1317" t="s">
        <v>40</v>
      </c>
      <c r="G1317" s="4">
        <v>43947.332256944444</v>
      </c>
      <c r="H1317" s="4">
        <v>43947.332280092593</v>
      </c>
      <c r="I1317" t="s">
        <v>88</v>
      </c>
      <c r="J1317" s="5">
        <v>2</v>
      </c>
      <c r="K1317" t="s">
        <v>38</v>
      </c>
      <c r="M1317">
        <v>60561</v>
      </c>
      <c r="N1317" t="s">
        <v>107</v>
      </c>
      <c r="O1317" t="s">
        <v>108</v>
      </c>
      <c r="P1317" t="s">
        <v>38</v>
      </c>
      <c r="Q1317" t="s">
        <v>50</v>
      </c>
      <c r="R1317">
        <v>0</v>
      </c>
      <c r="S1317" t="s">
        <v>109</v>
      </c>
      <c r="T1317" t="str" s="2">
        <f>=HYPERLINK("http://demo.enginatics.com:80/ecc/user/applications/log/60554.log","http://demo.enginatics.com:80/ecc/user/applications/log/60554.log")</f>
        <v>"http://demo.enginatics.com:80/ecc/user/applications/log/60554.log")</v>
      </c>
    </row>
    <row r="1318" spans="1:37" x14ac:dyDescent="0.2">
      <c r="A1318">
        <v>60554</v>
      </c>
      <c r="B1318" t="s">
        <v>37</v>
      </c>
      <c r="C1318" t="s">
        <v>38</v>
      </c>
      <c r="D1318" t="s">
        <v>106</v>
      </c>
      <c r="E1318" t="s">
        <v>40</v>
      </c>
      <c r="G1318" s="4">
        <v>43947.332256944444</v>
      </c>
      <c r="H1318" s="4">
        <v>43947.332280092593</v>
      </c>
      <c r="I1318" t="s">
        <v>88</v>
      </c>
      <c r="J1318" s="5">
        <v>2</v>
      </c>
      <c r="K1318" t="s">
        <v>38</v>
      </c>
      <c r="M1318">
        <v>60560</v>
      </c>
      <c r="N1318" t="s">
        <v>110</v>
      </c>
      <c r="O1318" t="s">
        <v>111</v>
      </c>
      <c r="P1318" t="s">
        <v>38</v>
      </c>
      <c r="Q1318" t="s">
        <v>50</v>
      </c>
      <c r="R1318">
        <v>0</v>
      </c>
      <c r="S1318" t="s">
        <v>112</v>
      </c>
      <c r="T1318" t="str" s="2">
        <f>=HYPERLINK("http://demo.enginatics.com:80/ecc/user/applications/log/60554.log","http://demo.enginatics.com:80/ecc/user/applications/log/60554.log")</f>
        <v>"http://demo.enginatics.com:80/ecc/user/applications/log/60554.log")</v>
      </c>
    </row>
    <row r="1319" spans="1:37" x14ac:dyDescent="0.2">
      <c r="A1319">
        <v>60554</v>
      </c>
      <c r="B1319" t="s">
        <v>37</v>
      </c>
      <c r="C1319" t="s">
        <v>38</v>
      </c>
      <c r="D1319" t="s">
        <v>106</v>
      </c>
      <c r="E1319" t="s">
        <v>40</v>
      </c>
      <c r="G1319" s="4">
        <v>43947.332256944444</v>
      </c>
      <c r="H1319" s="4">
        <v>43947.332280092593</v>
      </c>
      <c r="I1319" t="s">
        <v>88</v>
      </c>
      <c r="J1319" s="5">
        <v>2</v>
      </c>
      <c r="K1319" t="s">
        <v>38</v>
      </c>
      <c r="M1319">
        <v>60559</v>
      </c>
      <c r="N1319" t="s">
        <v>113</v>
      </c>
      <c r="O1319" t="s">
        <v>106</v>
      </c>
      <c r="P1319" t="s">
        <v>38</v>
      </c>
      <c r="Q1319" t="s">
        <v>50</v>
      </c>
      <c r="R1319">
        <v>.9999999999999999999999999999999999999996</v>
      </c>
      <c r="S1319" t="s">
        <v>114</v>
      </c>
      <c r="T1319" t="str" s="2">
        <f>=HYPERLINK("http://demo.enginatics.com:80/ecc/user/applications/log/60554.log","http://demo.enginatics.com:80/ecc/user/applications/log/60554.log")</f>
        <v>"http://demo.enginatics.com:80/ecc/user/applications/log/60554.log")</v>
      </c>
    </row>
    <row r="1320" spans="1:37" x14ac:dyDescent="0.2">
      <c r="A1320">
        <v>60554</v>
      </c>
      <c r="B1320" t="s">
        <v>37</v>
      </c>
      <c r="C1320" t="s">
        <v>38</v>
      </c>
      <c r="D1320" t="s">
        <v>106</v>
      </c>
      <c r="E1320" t="s">
        <v>40</v>
      </c>
      <c r="G1320" s="4">
        <v>43947.332256944444</v>
      </c>
      <c r="H1320" s="4">
        <v>43947.332280092593</v>
      </c>
      <c r="I1320" t="s">
        <v>88</v>
      </c>
      <c r="J1320" s="5">
        <v>2</v>
      </c>
      <c r="K1320" t="s">
        <v>38</v>
      </c>
      <c r="M1320">
        <v>60555</v>
      </c>
      <c r="N1320" t="s">
        <v>115</v>
      </c>
      <c r="O1320" t="s">
        <v>116</v>
      </c>
      <c r="P1320" t="s">
        <v>38</v>
      </c>
      <c r="Q1320" t="s">
        <v>50</v>
      </c>
      <c r="R1320">
        <v>0</v>
      </c>
      <c r="S1320" t="s">
        <v>45</v>
      </c>
      <c r="T1320" t="str" s="2">
        <f>=HYPERLINK("http://demo.enginatics.com:80/ecc/user/applications/log/60554.log","http://demo.enginatics.com:80/ecc/user/applications/log/60554.log")</f>
        <v>"http://demo.enginatics.com:80/ecc/user/applications/log/60554.log")</v>
      </c>
      <c r="U1320">
        <v>60556</v>
      </c>
      <c r="V1320" t="s">
        <v>38</v>
      </c>
      <c r="W1320" t="s">
        <v>50</v>
      </c>
      <c r="X1320">
        <v>0</v>
      </c>
      <c r="Y1320">
        <v>0</v>
      </c>
      <c r="Z1320" t="s">
        <v>46</v>
      </c>
      <c r="AA1320">
        <v>60558</v>
      </c>
      <c r="AB1320" t="s">
        <v>1379</v>
      </c>
      <c r="AC1320" t="s">
        <v>68</v>
      </c>
      <c r="AD1320" t="s">
        <v>38</v>
      </c>
      <c r="AE1320" t="s">
        <v>49</v>
      </c>
      <c r="AF1320" t="s">
        <v>50</v>
      </c>
      <c r="AG1320">
        <v>0</v>
      </c>
      <c r="AH1320">
        <v>0</v>
      </c>
      <c r="AI1320" t="s">
        <v>51</v>
      </c>
      <c r="AJ1320" t="s">
        <v>51</v>
      </c>
      <c r="AK1320" t="s">
        <v>51</v>
      </c>
    </row>
    <row r="1321" spans="1:37" x14ac:dyDescent="0.2">
      <c r="A1321">
        <v>60554</v>
      </c>
      <c r="B1321" t="s">
        <v>37</v>
      </c>
      <c r="C1321" t="s">
        <v>38</v>
      </c>
      <c r="D1321" t="s">
        <v>106</v>
      </c>
      <c r="E1321" t="s">
        <v>40</v>
      </c>
      <c r="G1321" s="4">
        <v>43947.332256944444</v>
      </c>
      <c r="H1321" s="4">
        <v>43947.332280092593</v>
      </c>
      <c r="I1321" t="s">
        <v>88</v>
      </c>
      <c r="J1321" s="5">
        <v>2</v>
      </c>
      <c r="K1321" t="s">
        <v>38</v>
      </c>
      <c r="M1321">
        <v>60555</v>
      </c>
      <c r="N1321" t="s">
        <v>115</v>
      </c>
      <c r="O1321" t="s">
        <v>116</v>
      </c>
      <c r="P1321" t="s">
        <v>38</v>
      </c>
      <c r="Q1321" t="s">
        <v>50</v>
      </c>
      <c r="R1321">
        <v>0</v>
      </c>
      <c r="S1321" t="s">
        <v>45</v>
      </c>
      <c r="T1321" t="str" s="2">
        <f>=HYPERLINK("http://demo.enginatics.com:80/ecc/user/applications/log/60554.log","http://demo.enginatics.com:80/ecc/user/applications/log/60554.log")</f>
        <v>"http://demo.enginatics.com:80/ecc/user/applications/log/60554.log")</v>
      </c>
      <c r="U1321">
        <v>60556</v>
      </c>
      <c r="V1321" t="s">
        <v>38</v>
      </c>
      <c r="W1321" t="s">
        <v>50</v>
      </c>
      <c r="X1321">
        <v>0</v>
      </c>
      <c r="Y1321">
        <v>0</v>
      </c>
      <c r="Z1321" t="s">
        <v>46</v>
      </c>
      <c r="AA1321">
        <v>60557</v>
      </c>
      <c r="AB1321" t="s">
        <v>1380</v>
      </c>
      <c r="AC1321" t="s">
        <v>56</v>
      </c>
      <c r="AD1321" t="s">
        <v>38</v>
      </c>
      <c r="AE1321" t="s">
        <v>49</v>
      </c>
      <c r="AF1321" t="s">
        <v>50</v>
      </c>
      <c r="AG1321">
        <v>0</v>
      </c>
      <c r="AH1321">
        <v>0</v>
      </c>
      <c r="AI1321" t="s">
        <v>51</v>
      </c>
      <c r="AJ1321" t="s">
        <v>51</v>
      </c>
      <c r="AK1321" t="s">
        <v>51</v>
      </c>
    </row>
    <row r="1322" spans="1:37" x14ac:dyDescent="0.2">
      <c r="A1322">
        <v>60550</v>
      </c>
      <c r="B1322" t="s">
        <v>37</v>
      </c>
      <c r="C1322" t="s">
        <v>38</v>
      </c>
      <c r="D1322" t="s">
        <v>119</v>
      </c>
      <c r="E1322" t="s">
        <v>40</v>
      </c>
      <c r="G1322" s="4">
        <v>43947.28681712963</v>
      </c>
      <c r="H1322" s="4">
        <v>43947.286828703704</v>
      </c>
      <c r="I1322" t="s">
        <v>50</v>
      </c>
      <c r="J1322" s="5">
        <v>.9999999999999999999999999999999999999996</v>
      </c>
      <c r="K1322" t="s">
        <v>38</v>
      </c>
      <c r="M1322">
        <v>60551</v>
      </c>
      <c r="N1322" t="s">
        <v>120</v>
      </c>
      <c r="O1322" t="s">
        <v>121</v>
      </c>
      <c r="P1322" t="s">
        <v>38</v>
      </c>
      <c r="Q1322" t="s">
        <v>50</v>
      </c>
      <c r="R1322">
        <v>.9999999999999999999999999999999999999996</v>
      </c>
      <c r="S1322" t="s">
        <v>45</v>
      </c>
      <c r="T1322" t="str" s="2">
        <f>=HYPERLINK("http://demo.enginatics.com:80/ecc/user/applications/log/60550.log","http://demo.enginatics.com:80/ecc/user/applications/log/60550.log")</f>
        <v>"http://demo.enginatics.com:80/ecc/user/applications/log/60550.log")</v>
      </c>
      <c r="U1322">
        <v>60552</v>
      </c>
      <c r="V1322" t="s">
        <v>38</v>
      </c>
      <c r="W1322" t="s">
        <v>50</v>
      </c>
      <c r="X1322">
        <v>.9999999999999999999999999999999999999996</v>
      </c>
      <c r="Y1322">
        <v>0</v>
      </c>
      <c r="Z1322" t="s">
        <v>46</v>
      </c>
      <c r="AA1322">
        <v>60553</v>
      </c>
      <c r="AB1322" t="s">
        <v>122</v>
      </c>
      <c r="AC1322" t="s">
        <v>68</v>
      </c>
      <c r="AD1322" t="s">
        <v>38</v>
      </c>
      <c r="AE1322" t="s">
        <v>49</v>
      </c>
      <c r="AF1322" t="s">
        <v>50</v>
      </c>
      <c r="AG1322">
        <v>0</v>
      </c>
      <c r="AH1322">
        <v>0</v>
      </c>
      <c r="AI1322" t="s">
        <v>51</v>
      </c>
      <c r="AJ1322" t="s">
        <v>51</v>
      </c>
      <c r="AK1322" t="s">
        <v>51</v>
      </c>
    </row>
    <row r="1323" spans="1:37" x14ac:dyDescent="0.2">
      <c r="A1323">
        <v>60543</v>
      </c>
      <c r="B1323" t="s">
        <v>37</v>
      </c>
      <c r="C1323" t="s">
        <v>38</v>
      </c>
      <c r="D1323" t="s">
        <v>123</v>
      </c>
      <c r="E1323" t="s">
        <v>40</v>
      </c>
      <c r="G1323" s="4">
        <v>43947.283263888889</v>
      </c>
      <c r="H1323" s="4">
        <v>43947.283275462963</v>
      </c>
      <c r="I1323" t="s">
        <v>50</v>
      </c>
      <c r="J1323" s="5">
        <v>.9999999999999999999999999999999999999996</v>
      </c>
      <c r="K1323" t="s">
        <v>38</v>
      </c>
      <c r="M1323">
        <v>60547</v>
      </c>
      <c r="N1323" t="s">
        <v>124</v>
      </c>
      <c r="O1323" t="s">
        <v>125</v>
      </c>
      <c r="P1323" t="s">
        <v>38</v>
      </c>
      <c r="Q1323" t="s">
        <v>50</v>
      </c>
      <c r="R1323">
        <v>0</v>
      </c>
      <c r="S1323" t="s">
        <v>45</v>
      </c>
      <c r="T1323" t="str" s="2">
        <f>=HYPERLINK("http://demo.enginatics.com:80/ecc/user/applications/log/60543.log","http://demo.enginatics.com:80/ecc/user/applications/log/60543.log")</f>
        <v>"http://demo.enginatics.com:80/ecc/user/applications/log/60543.log")</v>
      </c>
      <c r="U1323">
        <v>60548</v>
      </c>
      <c r="V1323" t="s">
        <v>38</v>
      </c>
      <c r="W1323" t="s">
        <v>50</v>
      </c>
      <c r="X1323">
        <v>0</v>
      </c>
      <c r="Y1323">
        <v>0</v>
      </c>
      <c r="Z1323" t="s">
        <v>46</v>
      </c>
      <c r="AA1323">
        <v>60549</v>
      </c>
      <c r="AB1323" t="s">
        <v>1381</v>
      </c>
      <c r="AC1323" t="s">
        <v>68</v>
      </c>
      <c r="AD1323" t="s">
        <v>38</v>
      </c>
      <c r="AE1323" t="s">
        <v>49</v>
      </c>
      <c r="AF1323" t="s">
        <v>50</v>
      </c>
      <c r="AG1323">
        <v>0</v>
      </c>
      <c r="AH1323">
        <v>0</v>
      </c>
      <c r="AI1323" t="s">
        <v>51</v>
      </c>
      <c r="AJ1323" t="s">
        <v>51</v>
      </c>
      <c r="AK1323" t="s">
        <v>51</v>
      </c>
    </row>
    <row r="1324" spans="1:37" x14ac:dyDescent="0.2">
      <c r="A1324">
        <v>60543</v>
      </c>
      <c r="B1324" t="s">
        <v>37</v>
      </c>
      <c r="C1324" t="s">
        <v>38</v>
      </c>
      <c r="D1324" t="s">
        <v>123</v>
      </c>
      <c r="E1324" t="s">
        <v>40</v>
      </c>
      <c r="G1324" s="4">
        <v>43947.283263888889</v>
      </c>
      <c r="H1324" s="4">
        <v>43947.283275462963</v>
      </c>
      <c r="I1324" t="s">
        <v>50</v>
      </c>
      <c r="J1324" s="5">
        <v>.9999999999999999999999999999999999999996</v>
      </c>
      <c r="K1324" t="s">
        <v>38</v>
      </c>
      <c r="M1324">
        <v>60544</v>
      </c>
      <c r="N1324" t="s">
        <v>127</v>
      </c>
      <c r="O1324" t="s">
        <v>128</v>
      </c>
      <c r="P1324" t="s">
        <v>38</v>
      </c>
      <c r="Q1324" t="s">
        <v>50</v>
      </c>
      <c r="R1324">
        <v>.9999999999999999999999999999999999999996</v>
      </c>
      <c r="S1324" t="s">
        <v>45</v>
      </c>
      <c r="T1324" t="str" s="2">
        <f>=HYPERLINK("http://demo.enginatics.com:80/ecc/user/applications/log/60543.log","http://demo.enginatics.com:80/ecc/user/applications/log/60543.log")</f>
        <v>"http://demo.enginatics.com:80/ecc/user/applications/log/60543.log")</v>
      </c>
      <c r="U1324">
        <v>60545</v>
      </c>
      <c r="V1324" t="s">
        <v>38</v>
      </c>
      <c r="W1324" t="s">
        <v>50</v>
      </c>
      <c r="X1324">
        <v>.9999999999999999999999999999999999999996</v>
      </c>
      <c r="Y1324">
        <v>0</v>
      </c>
      <c r="Z1324" t="s">
        <v>46</v>
      </c>
      <c r="AA1324">
        <v>60546</v>
      </c>
      <c r="AB1324" t="s">
        <v>1382</v>
      </c>
      <c r="AC1324" t="s">
        <v>68</v>
      </c>
      <c r="AD1324" t="s">
        <v>38</v>
      </c>
      <c r="AE1324" t="s">
        <v>49</v>
      </c>
      <c r="AF1324" t="s">
        <v>50</v>
      </c>
      <c r="AG1324">
        <v>.9999999999999999999999999999999999999996</v>
      </c>
      <c r="AH1324">
        <v>0</v>
      </c>
      <c r="AI1324" t="s">
        <v>51</v>
      </c>
      <c r="AJ1324" t="s">
        <v>51</v>
      </c>
      <c r="AK1324" t="s">
        <v>51</v>
      </c>
    </row>
    <row r="1325" spans="1:37" x14ac:dyDescent="0.2">
      <c r="A1325">
        <v>60504</v>
      </c>
      <c r="B1325" t="s">
        <v>37</v>
      </c>
      <c r="C1325" t="s">
        <v>38</v>
      </c>
      <c r="D1325" t="s">
        <v>130</v>
      </c>
      <c r="E1325" t="s">
        <v>40</v>
      </c>
      <c r="G1325" s="4">
        <v>43947.199074074074</v>
      </c>
      <c r="H1325" s="4">
        <v>43947.199108796296</v>
      </c>
      <c r="I1325" t="s">
        <v>85</v>
      </c>
      <c r="J1325" s="5">
        <v>3</v>
      </c>
      <c r="K1325" t="s">
        <v>38</v>
      </c>
      <c r="M1325">
        <v>60531</v>
      </c>
      <c r="N1325" t="s">
        <v>131</v>
      </c>
      <c r="O1325" t="s">
        <v>132</v>
      </c>
      <c r="P1325" t="s">
        <v>38</v>
      </c>
      <c r="Q1325" t="s">
        <v>50</v>
      </c>
      <c r="R1325">
        <v>.9999999999999999999999999999999999999996</v>
      </c>
      <c r="S1325" t="s">
        <v>45</v>
      </c>
      <c r="T1325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25">
        <v>60532</v>
      </c>
      <c r="V1325" t="s">
        <v>38</v>
      </c>
      <c r="W1325" t="s">
        <v>50</v>
      </c>
      <c r="X1325">
        <v>.9999999999999999999999999999999999999996</v>
      </c>
      <c r="Y1325">
        <v>0</v>
      </c>
      <c r="Z1325" t="s">
        <v>46</v>
      </c>
      <c r="AA1325">
        <v>60542</v>
      </c>
      <c r="AB1325" t="s">
        <v>1383</v>
      </c>
      <c r="AC1325" t="s">
        <v>48</v>
      </c>
      <c r="AD1325" t="s">
        <v>38</v>
      </c>
      <c r="AE1325" t="s">
        <v>49</v>
      </c>
      <c r="AF1325" t="s">
        <v>50</v>
      </c>
      <c r="AG1325">
        <v>0</v>
      </c>
      <c r="AH1325">
        <v>0</v>
      </c>
      <c r="AI1325" t="s">
        <v>51</v>
      </c>
      <c r="AJ1325" t="s">
        <v>51</v>
      </c>
      <c r="AK1325" t="s">
        <v>51</v>
      </c>
    </row>
    <row r="1326" spans="1:37" x14ac:dyDescent="0.2">
      <c r="A1326">
        <v>60504</v>
      </c>
      <c r="B1326" t="s">
        <v>37</v>
      </c>
      <c r="C1326" t="s">
        <v>38</v>
      </c>
      <c r="D1326" t="s">
        <v>130</v>
      </c>
      <c r="E1326" t="s">
        <v>40</v>
      </c>
      <c r="G1326" s="4">
        <v>43947.199074074074</v>
      </c>
      <c r="H1326" s="4">
        <v>43947.199108796296</v>
      </c>
      <c r="I1326" t="s">
        <v>85</v>
      </c>
      <c r="J1326" s="5">
        <v>3</v>
      </c>
      <c r="K1326" t="s">
        <v>38</v>
      </c>
      <c r="M1326">
        <v>60531</v>
      </c>
      <c r="N1326" t="s">
        <v>131</v>
      </c>
      <c r="O1326" t="s">
        <v>132</v>
      </c>
      <c r="P1326" t="s">
        <v>38</v>
      </c>
      <c r="Q1326" t="s">
        <v>50</v>
      </c>
      <c r="R1326">
        <v>.9999999999999999999999999999999999999996</v>
      </c>
      <c r="S1326" t="s">
        <v>45</v>
      </c>
      <c r="T1326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26">
        <v>60532</v>
      </c>
      <c r="V1326" t="s">
        <v>38</v>
      </c>
      <c r="W1326" t="s">
        <v>50</v>
      </c>
      <c r="X1326">
        <v>.9999999999999999999999999999999999999996</v>
      </c>
      <c r="Y1326">
        <v>0</v>
      </c>
      <c r="Z1326" t="s">
        <v>46</v>
      </c>
      <c r="AA1326">
        <v>60541</v>
      </c>
      <c r="AB1326" t="s">
        <v>1384</v>
      </c>
      <c r="AC1326" t="s">
        <v>48</v>
      </c>
      <c r="AD1326" t="s">
        <v>38</v>
      </c>
      <c r="AE1326" t="s">
        <v>49</v>
      </c>
      <c r="AF1326" t="s">
        <v>50</v>
      </c>
      <c r="AG1326">
        <v>0</v>
      </c>
      <c r="AH1326">
        <v>0</v>
      </c>
      <c r="AI1326" t="s">
        <v>51</v>
      </c>
      <c r="AJ1326" t="s">
        <v>51</v>
      </c>
      <c r="AK1326" t="s">
        <v>51</v>
      </c>
    </row>
    <row r="1327" spans="1:37" x14ac:dyDescent="0.2">
      <c r="A1327">
        <v>60504</v>
      </c>
      <c r="B1327" t="s">
        <v>37</v>
      </c>
      <c r="C1327" t="s">
        <v>38</v>
      </c>
      <c r="D1327" t="s">
        <v>130</v>
      </c>
      <c r="E1327" t="s">
        <v>40</v>
      </c>
      <c r="G1327" s="4">
        <v>43947.199074074074</v>
      </c>
      <c r="H1327" s="4">
        <v>43947.199108796296</v>
      </c>
      <c r="I1327" t="s">
        <v>85</v>
      </c>
      <c r="J1327" s="5">
        <v>3</v>
      </c>
      <c r="K1327" t="s">
        <v>38</v>
      </c>
      <c r="M1327">
        <v>60531</v>
      </c>
      <c r="N1327" t="s">
        <v>131</v>
      </c>
      <c r="O1327" t="s">
        <v>132</v>
      </c>
      <c r="P1327" t="s">
        <v>38</v>
      </c>
      <c r="Q1327" t="s">
        <v>50</v>
      </c>
      <c r="R1327">
        <v>.9999999999999999999999999999999999999996</v>
      </c>
      <c r="S1327" t="s">
        <v>45</v>
      </c>
      <c r="T1327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27">
        <v>60532</v>
      </c>
      <c r="V1327" t="s">
        <v>38</v>
      </c>
      <c r="W1327" t="s">
        <v>50</v>
      </c>
      <c r="X1327">
        <v>.9999999999999999999999999999999999999996</v>
      </c>
      <c r="Y1327">
        <v>0</v>
      </c>
      <c r="Z1327" t="s">
        <v>46</v>
      </c>
      <c r="AA1327">
        <v>60540</v>
      </c>
      <c r="AB1327" t="s">
        <v>1385</v>
      </c>
      <c r="AC1327" t="s">
        <v>48</v>
      </c>
      <c r="AD1327" t="s">
        <v>38</v>
      </c>
      <c r="AE1327" t="s">
        <v>49</v>
      </c>
      <c r="AF1327" t="s">
        <v>50</v>
      </c>
      <c r="AG1327">
        <v>0</v>
      </c>
      <c r="AH1327">
        <v>0</v>
      </c>
      <c r="AI1327" t="s">
        <v>51</v>
      </c>
      <c r="AJ1327" t="s">
        <v>51</v>
      </c>
      <c r="AK1327" t="s">
        <v>51</v>
      </c>
    </row>
    <row r="1328" spans="1:37" x14ac:dyDescent="0.2">
      <c r="A1328">
        <v>60504</v>
      </c>
      <c r="B1328" t="s">
        <v>37</v>
      </c>
      <c r="C1328" t="s">
        <v>38</v>
      </c>
      <c r="D1328" t="s">
        <v>130</v>
      </c>
      <c r="E1328" t="s">
        <v>40</v>
      </c>
      <c r="G1328" s="4">
        <v>43947.199074074074</v>
      </c>
      <c r="H1328" s="4">
        <v>43947.199108796296</v>
      </c>
      <c r="I1328" t="s">
        <v>85</v>
      </c>
      <c r="J1328" s="5">
        <v>3</v>
      </c>
      <c r="K1328" t="s">
        <v>38</v>
      </c>
      <c r="M1328">
        <v>60531</v>
      </c>
      <c r="N1328" t="s">
        <v>131</v>
      </c>
      <c r="O1328" t="s">
        <v>132</v>
      </c>
      <c r="P1328" t="s">
        <v>38</v>
      </c>
      <c r="Q1328" t="s">
        <v>50</v>
      </c>
      <c r="R1328">
        <v>.9999999999999999999999999999999999999996</v>
      </c>
      <c r="S1328" t="s">
        <v>45</v>
      </c>
      <c r="T1328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28">
        <v>60532</v>
      </c>
      <c r="V1328" t="s">
        <v>38</v>
      </c>
      <c r="W1328" t="s">
        <v>50</v>
      </c>
      <c r="X1328">
        <v>.9999999999999999999999999999999999999996</v>
      </c>
      <c r="Y1328">
        <v>0</v>
      </c>
      <c r="Z1328" t="s">
        <v>46</v>
      </c>
      <c r="AA1328">
        <v>60539</v>
      </c>
      <c r="AB1328" t="s">
        <v>1386</v>
      </c>
      <c r="AC1328" t="s">
        <v>48</v>
      </c>
      <c r="AD1328" t="s">
        <v>38</v>
      </c>
      <c r="AE1328" t="s">
        <v>49</v>
      </c>
      <c r="AF1328" t="s">
        <v>50</v>
      </c>
      <c r="AG1328">
        <v>.9999999999999999999999999999999999999996</v>
      </c>
      <c r="AH1328">
        <v>0</v>
      </c>
      <c r="AI1328" t="s">
        <v>51</v>
      </c>
      <c r="AJ1328" t="s">
        <v>51</v>
      </c>
      <c r="AK1328" t="s">
        <v>51</v>
      </c>
    </row>
    <row r="1329" spans="1:37" x14ac:dyDescent="0.2">
      <c r="A1329">
        <v>60504</v>
      </c>
      <c r="B1329" t="s">
        <v>37</v>
      </c>
      <c r="C1329" t="s">
        <v>38</v>
      </c>
      <c r="D1329" t="s">
        <v>130</v>
      </c>
      <c r="E1329" t="s">
        <v>40</v>
      </c>
      <c r="G1329" s="4">
        <v>43947.199074074074</v>
      </c>
      <c r="H1329" s="4">
        <v>43947.199108796296</v>
      </c>
      <c r="I1329" t="s">
        <v>85</v>
      </c>
      <c r="J1329" s="5">
        <v>3</v>
      </c>
      <c r="K1329" t="s">
        <v>38</v>
      </c>
      <c r="M1329">
        <v>60531</v>
      </c>
      <c r="N1329" t="s">
        <v>131</v>
      </c>
      <c r="O1329" t="s">
        <v>132</v>
      </c>
      <c r="P1329" t="s">
        <v>38</v>
      </c>
      <c r="Q1329" t="s">
        <v>50</v>
      </c>
      <c r="R1329">
        <v>.9999999999999999999999999999999999999996</v>
      </c>
      <c r="S1329" t="s">
        <v>45</v>
      </c>
      <c r="T1329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29">
        <v>60532</v>
      </c>
      <c r="V1329" t="s">
        <v>38</v>
      </c>
      <c r="W1329" t="s">
        <v>50</v>
      </c>
      <c r="X1329">
        <v>.9999999999999999999999999999999999999996</v>
      </c>
      <c r="Y1329">
        <v>0</v>
      </c>
      <c r="Z1329" t="s">
        <v>46</v>
      </c>
      <c r="AA1329">
        <v>60538</v>
      </c>
      <c r="AB1329" t="s">
        <v>1387</v>
      </c>
      <c r="AC1329" t="s">
        <v>48</v>
      </c>
      <c r="AD1329" t="s">
        <v>38</v>
      </c>
      <c r="AE1329" t="s">
        <v>49</v>
      </c>
      <c r="AF1329" t="s">
        <v>50</v>
      </c>
      <c r="AG1329">
        <v>0</v>
      </c>
      <c r="AH1329">
        <v>0</v>
      </c>
      <c r="AI1329" t="s">
        <v>51</v>
      </c>
      <c r="AJ1329" t="s">
        <v>51</v>
      </c>
      <c r="AK1329" t="s">
        <v>51</v>
      </c>
    </row>
    <row r="1330" spans="1:37" x14ac:dyDescent="0.2">
      <c r="A1330">
        <v>60504</v>
      </c>
      <c r="B1330" t="s">
        <v>37</v>
      </c>
      <c r="C1330" t="s">
        <v>38</v>
      </c>
      <c r="D1330" t="s">
        <v>130</v>
      </c>
      <c r="E1330" t="s">
        <v>40</v>
      </c>
      <c r="G1330" s="4">
        <v>43947.199074074074</v>
      </c>
      <c r="H1330" s="4">
        <v>43947.199108796296</v>
      </c>
      <c r="I1330" t="s">
        <v>85</v>
      </c>
      <c r="J1330" s="5">
        <v>3</v>
      </c>
      <c r="K1330" t="s">
        <v>38</v>
      </c>
      <c r="M1330">
        <v>60531</v>
      </c>
      <c r="N1330" t="s">
        <v>131</v>
      </c>
      <c r="O1330" t="s">
        <v>132</v>
      </c>
      <c r="P1330" t="s">
        <v>38</v>
      </c>
      <c r="Q1330" t="s">
        <v>50</v>
      </c>
      <c r="R1330">
        <v>.9999999999999999999999999999999999999996</v>
      </c>
      <c r="S1330" t="s">
        <v>45</v>
      </c>
      <c r="T1330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0">
        <v>60532</v>
      </c>
      <c r="V1330" t="s">
        <v>38</v>
      </c>
      <c r="W1330" t="s">
        <v>50</v>
      </c>
      <c r="X1330">
        <v>.9999999999999999999999999999999999999996</v>
      </c>
      <c r="Y1330">
        <v>0</v>
      </c>
      <c r="Z1330" t="s">
        <v>46</v>
      </c>
      <c r="AA1330">
        <v>60537</v>
      </c>
      <c r="AB1330" t="s">
        <v>1388</v>
      </c>
      <c r="AC1330" t="s">
        <v>60</v>
      </c>
      <c r="AD1330" t="s">
        <v>38</v>
      </c>
      <c r="AE1330" t="s">
        <v>49</v>
      </c>
      <c r="AF1330" t="s">
        <v>50</v>
      </c>
      <c r="AG1330">
        <v>0</v>
      </c>
      <c r="AH1330">
        <v>0</v>
      </c>
      <c r="AI1330" t="s">
        <v>51</v>
      </c>
      <c r="AJ1330" t="s">
        <v>51</v>
      </c>
      <c r="AK1330" t="s">
        <v>51</v>
      </c>
    </row>
    <row r="1331" spans="1:37" x14ac:dyDescent="0.2">
      <c r="A1331">
        <v>60504</v>
      </c>
      <c r="B1331" t="s">
        <v>37</v>
      </c>
      <c r="C1331" t="s">
        <v>38</v>
      </c>
      <c r="D1331" t="s">
        <v>130</v>
      </c>
      <c r="E1331" t="s">
        <v>40</v>
      </c>
      <c r="G1331" s="4">
        <v>43947.199074074074</v>
      </c>
      <c r="H1331" s="4">
        <v>43947.199108796296</v>
      </c>
      <c r="I1331" t="s">
        <v>85</v>
      </c>
      <c r="J1331" s="5">
        <v>3</v>
      </c>
      <c r="K1331" t="s">
        <v>38</v>
      </c>
      <c r="M1331">
        <v>60531</v>
      </c>
      <c r="N1331" t="s">
        <v>131</v>
      </c>
      <c r="O1331" t="s">
        <v>132</v>
      </c>
      <c r="P1331" t="s">
        <v>38</v>
      </c>
      <c r="Q1331" t="s">
        <v>50</v>
      </c>
      <c r="R1331">
        <v>.9999999999999999999999999999999999999996</v>
      </c>
      <c r="S1331" t="s">
        <v>45</v>
      </c>
      <c r="T1331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1">
        <v>60532</v>
      </c>
      <c r="V1331" t="s">
        <v>38</v>
      </c>
      <c r="W1331" t="s">
        <v>50</v>
      </c>
      <c r="X1331">
        <v>.9999999999999999999999999999999999999996</v>
      </c>
      <c r="Y1331">
        <v>0</v>
      </c>
      <c r="Z1331" t="s">
        <v>46</v>
      </c>
      <c r="AA1331">
        <v>60536</v>
      </c>
      <c r="AB1331" t="s">
        <v>1389</v>
      </c>
      <c r="AC1331" t="s">
        <v>60</v>
      </c>
      <c r="AD1331" t="s">
        <v>38</v>
      </c>
      <c r="AE1331" t="s">
        <v>49</v>
      </c>
      <c r="AF1331" t="s">
        <v>50</v>
      </c>
      <c r="AG1331">
        <v>0</v>
      </c>
      <c r="AH1331">
        <v>0</v>
      </c>
      <c r="AI1331" t="s">
        <v>51</v>
      </c>
      <c r="AJ1331" t="s">
        <v>51</v>
      </c>
      <c r="AK1331" t="s">
        <v>51</v>
      </c>
    </row>
    <row r="1332" spans="1:37" x14ac:dyDescent="0.2">
      <c r="A1332">
        <v>60504</v>
      </c>
      <c r="B1332" t="s">
        <v>37</v>
      </c>
      <c r="C1332" t="s">
        <v>38</v>
      </c>
      <c r="D1332" t="s">
        <v>130</v>
      </c>
      <c r="E1332" t="s">
        <v>40</v>
      </c>
      <c r="G1332" s="4">
        <v>43947.199074074074</v>
      </c>
      <c r="H1332" s="4">
        <v>43947.199108796296</v>
      </c>
      <c r="I1332" t="s">
        <v>85</v>
      </c>
      <c r="J1332" s="5">
        <v>3</v>
      </c>
      <c r="K1332" t="s">
        <v>38</v>
      </c>
      <c r="M1332">
        <v>60531</v>
      </c>
      <c r="N1332" t="s">
        <v>131</v>
      </c>
      <c r="O1332" t="s">
        <v>132</v>
      </c>
      <c r="P1332" t="s">
        <v>38</v>
      </c>
      <c r="Q1332" t="s">
        <v>50</v>
      </c>
      <c r="R1332">
        <v>.9999999999999999999999999999999999999996</v>
      </c>
      <c r="S1332" t="s">
        <v>45</v>
      </c>
      <c r="T1332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2">
        <v>60532</v>
      </c>
      <c r="V1332" t="s">
        <v>38</v>
      </c>
      <c r="W1332" t="s">
        <v>50</v>
      </c>
      <c r="X1332">
        <v>.9999999999999999999999999999999999999996</v>
      </c>
      <c r="Y1332">
        <v>0</v>
      </c>
      <c r="Z1332" t="s">
        <v>46</v>
      </c>
      <c r="AA1332">
        <v>60535</v>
      </c>
      <c r="AB1332" t="s">
        <v>1390</v>
      </c>
      <c r="AC1332" t="s">
        <v>56</v>
      </c>
      <c r="AD1332" t="s">
        <v>38</v>
      </c>
      <c r="AE1332" t="s">
        <v>49</v>
      </c>
      <c r="AF1332" t="s">
        <v>50</v>
      </c>
      <c r="AG1332">
        <v>0</v>
      </c>
      <c r="AH1332">
        <v>0</v>
      </c>
      <c r="AI1332" t="s">
        <v>51</v>
      </c>
      <c r="AJ1332" t="s">
        <v>51</v>
      </c>
      <c r="AK1332" t="s">
        <v>51</v>
      </c>
    </row>
    <row r="1333" spans="1:37" x14ac:dyDescent="0.2">
      <c r="A1333">
        <v>60504</v>
      </c>
      <c r="B1333" t="s">
        <v>37</v>
      </c>
      <c r="C1333" t="s">
        <v>38</v>
      </c>
      <c r="D1333" t="s">
        <v>130</v>
      </c>
      <c r="E1333" t="s">
        <v>40</v>
      </c>
      <c r="G1333" s="4">
        <v>43947.199074074074</v>
      </c>
      <c r="H1333" s="4">
        <v>43947.199108796296</v>
      </c>
      <c r="I1333" t="s">
        <v>85</v>
      </c>
      <c r="J1333" s="5">
        <v>3</v>
      </c>
      <c r="K1333" t="s">
        <v>38</v>
      </c>
      <c r="M1333">
        <v>60531</v>
      </c>
      <c r="N1333" t="s">
        <v>131</v>
      </c>
      <c r="O1333" t="s">
        <v>132</v>
      </c>
      <c r="P1333" t="s">
        <v>38</v>
      </c>
      <c r="Q1333" t="s">
        <v>50</v>
      </c>
      <c r="R1333">
        <v>.9999999999999999999999999999999999999996</v>
      </c>
      <c r="S1333" t="s">
        <v>45</v>
      </c>
      <c r="T1333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3">
        <v>60532</v>
      </c>
      <c r="V1333" t="s">
        <v>38</v>
      </c>
      <c r="W1333" t="s">
        <v>50</v>
      </c>
      <c r="X1333">
        <v>.9999999999999999999999999999999999999996</v>
      </c>
      <c r="Y1333">
        <v>0</v>
      </c>
      <c r="Z1333" t="s">
        <v>46</v>
      </c>
      <c r="AA1333">
        <v>60534</v>
      </c>
      <c r="AB1333" t="s">
        <v>1391</v>
      </c>
      <c r="AC1333" t="s">
        <v>60</v>
      </c>
      <c r="AD1333" t="s">
        <v>38</v>
      </c>
      <c r="AE1333" t="s">
        <v>49</v>
      </c>
      <c r="AF1333" t="s">
        <v>50</v>
      </c>
      <c r="AG1333">
        <v>0</v>
      </c>
      <c r="AH1333">
        <v>0</v>
      </c>
      <c r="AI1333" t="s">
        <v>51</v>
      </c>
      <c r="AJ1333" t="s">
        <v>51</v>
      </c>
      <c r="AK1333" t="s">
        <v>51</v>
      </c>
    </row>
    <row r="1334" spans="1:37" x14ac:dyDescent="0.2">
      <c r="A1334">
        <v>60504</v>
      </c>
      <c r="B1334" t="s">
        <v>37</v>
      </c>
      <c r="C1334" t="s">
        <v>38</v>
      </c>
      <c r="D1334" t="s">
        <v>130</v>
      </c>
      <c r="E1334" t="s">
        <v>40</v>
      </c>
      <c r="G1334" s="4">
        <v>43947.199074074074</v>
      </c>
      <c r="H1334" s="4">
        <v>43947.199108796296</v>
      </c>
      <c r="I1334" t="s">
        <v>85</v>
      </c>
      <c r="J1334" s="5">
        <v>3</v>
      </c>
      <c r="K1334" t="s">
        <v>38</v>
      </c>
      <c r="M1334">
        <v>60531</v>
      </c>
      <c r="N1334" t="s">
        <v>131</v>
      </c>
      <c r="O1334" t="s">
        <v>132</v>
      </c>
      <c r="P1334" t="s">
        <v>38</v>
      </c>
      <c r="Q1334" t="s">
        <v>50</v>
      </c>
      <c r="R1334">
        <v>.9999999999999999999999999999999999999996</v>
      </c>
      <c r="S1334" t="s">
        <v>45</v>
      </c>
      <c r="T1334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4">
        <v>60532</v>
      </c>
      <c r="V1334" t="s">
        <v>38</v>
      </c>
      <c r="W1334" t="s">
        <v>50</v>
      </c>
      <c r="X1334">
        <v>.9999999999999999999999999999999999999996</v>
      </c>
      <c r="Y1334">
        <v>0</v>
      </c>
      <c r="Z1334" t="s">
        <v>46</v>
      </c>
      <c r="AA1334">
        <v>60533</v>
      </c>
      <c r="AB1334" t="s">
        <v>1392</v>
      </c>
      <c r="AC1334" t="s">
        <v>56</v>
      </c>
      <c r="AD1334" t="s">
        <v>38</v>
      </c>
      <c r="AE1334" t="s">
        <v>49</v>
      </c>
      <c r="AF1334" t="s">
        <v>50</v>
      </c>
      <c r="AG1334">
        <v>0</v>
      </c>
      <c r="AH1334">
        <v>0</v>
      </c>
      <c r="AI1334" t="s">
        <v>51</v>
      </c>
      <c r="AJ1334" t="s">
        <v>51</v>
      </c>
      <c r="AK1334" t="s">
        <v>51</v>
      </c>
    </row>
    <row r="1335" spans="1:37" x14ac:dyDescent="0.2">
      <c r="A1335">
        <v>60504</v>
      </c>
      <c r="B1335" t="s">
        <v>37</v>
      </c>
      <c r="C1335" t="s">
        <v>38</v>
      </c>
      <c r="D1335" t="s">
        <v>130</v>
      </c>
      <c r="E1335" t="s">
        <v>40</v>
      </c>
      <c r="G1335" s="4">
        <v>43947.199074074074</v>
      </c>
      <c r="H1335" s="4">
        <v>43947.199108796296</v>
      </c>
      <c r="I1335" t="s">
        <v>85</v>
      </c>
      <c r="J1335" s="5">
        <v>3</v>
      </c>
      <c r="K1335" t="s">
        <v>38</v>
      </c>
      <c r="M1335">
        <v>60524</v>
      </c>
      <c r="N1335" t="s">
        <v>143</v>
      </c>
      <c r="O1335" t="s">
        <v>144</v>
      </c>
      <c r="P1335" t="s">
        <v>38</v>
      </c>
      <c r="Q1335" t="s">
        <v>50</v>
      </c>
      <c r="R1335">
        <v>.9999999999999999999999999999999999999996</v>
      </c>
      <c r="S1335" t="s">
        <v>45</v>
      </c>
      <c r="T1335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5">
        <v>60525</v>
      </c>
      <c r="V1335" t="s">
        <v>38</v>
      </c>
      <c r="W1335" t="s">
        <v>50</v>
      </c>
      <c r="X1335">
        <v>.9999999999999999999999999999999999999996</v>
      </c>
      <c r="Y1335">
        <v>0</v>
      </c>
      <c r="Z1335" t="s">
        <v>46</v>
      </c>
      <c r="AA1335">
        <v>60530</v>
      </c>
      <c r="AB1335" t="s">
        <v>145</v>
      </c>
      <c r="AC1335" t="s">
        <v>56</v>
      </c>
      <c r="AD1335" t="s">
        <v>38</v>
      </c>
      <c r="AE1335" t="s">
        <v>49</v>
      </c>
      <c r="AF1335" t="s">
        <v>50</v>
      </c>
      <c r="AG1335">
        <v>0</v>
      </c>
      <c r="AH1335">
        <v>0</v>
      </c>
      <c r="AI1335" t="s">
        <v>51</v>
      </c>
      <c r="AJ1335" t="s">
        <v>51</v>
      </c>
      <c r="AK1335" t="s">
        <v>51</v>
      </c>
    </row>
    <row r="1336" spans="1:37" x14ac:dyDescent="0.2">
      <c r="A1336">
        <v>60504</v>
      </c>
      <c r="B1336" t="s">
        <v>37</v>
      </c>
      <c r="C1336" t="s">
        <v>38</v>
      </c>
      <c r="D1336" t="s">
        <v>130</v>
      </c>
      <c r="E1336" t="s">
        <v>40</v>
      </c>
      <c r="G1336" s="4">
        <v>43947.199074074074</v>
      </c>
      <c r="H1336" s="4">
        <v>43947.199108796296</v>
      </c>
      <c r="I1336" t="s">
        <v>85</v>
      </c>
      <c r="J1336" s="5">
        <v>3</v>
      </c>
      <c r="K1336" t="s">
        <v>38</v>
      </c>
      <c r="M1336">
        <v>60524</v>
      </c>
      <c r="N1336" t="s">
        <v>143</v>
      </c>
      <c r="O1336" t="s">
        <v>144</v>
      </c>
      <c r="P1336" t="s">
        <v>38</v>
      </c>
      <c r="Q1336" t="s">
        <v>50</v>
      </c>
      <c r="R1336">
        <v>.9999999999999999999999999999999999999996</v>
      </c>
      <c r="S1336" t="s">
        <v>45</v>
      </c>
      <c r="T1336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6">
        <v>60525</v>
      </c>
      <c r="V1336" t="s">
        <v>38</v>
      </c>
      <c r="W1336" t="s">
        <v>50</v>
      </c>
      <c r="X1336">
        <v>.9999999999999999999999999999999999999996</v>
      </c>
      <c r="Y1336">
        <v>0</v>
      </c>
      <c r="Z1336" t="s">
        <v>46</v>
      </c>
      <c r="AA1336">
        <v>60529</v>
      </c>
      <c r="AB1336" t="s">
        <v>146</v>
      </c>
      <c r="AC1336" t="s">
        <v>68</v>
      </c>
      <c r="AD1336" t="s">
        <v>38</v>
      </c>
      <c r="AE1336" t="s">
        <v>49</v>
      </c>
      <c r="AF1336" t="s">
        <v>50</v>
      </c>
      <c r="AG1336">
        <v>0</v>
      </c>
      <c r="AH1336">
        <v>0</v>
      </c>
      <c r="AI1336" t="s">
        <v>51</v>
      </c>
      <c r="AJ1336" t="s">
        <v>51</v>
      </c>
      <c r="AK1336" t="s">
        <v>51</v>
      </c>
    </row>
    <row r="1337" spans="1:37" x14ac:dyDescent="0.2">
      <c r="A1337">
        <v>60504</v>
      </c>
      <c r="B1337" t="s">
        <v>37</v>
      </c>
      <c r="C1337" t="s">
        <v>38</v>
      </c>
      <c r="D1337" t="s">
        <v>130</v>
      </c>
      <c r="E1337" t="s">
        <v>40</v>
      </c>
      <c r="G1337" s="4">
        <v>43947.199074074074</v>
      </c>
      <c r="H1337" s="4">
        <v>43947.199108796296</v>
      </c>
      <c r="I1337" t="s">
        <v>85</v>
      </c>
      <c r="J1337" s="5">
        <v>3</v>
      </c>
      <c r="K1337" t="s">
        <v>38</v>
      </c>
      <c r="M1337">
        <v>60524</v>
      </c>
      <c r="N1337" t="s">
        <v>143</v>
      </c>
      <c r="O1337" t="s">
        <v>144</v>
      </c>
      <c r="P1337" t="s">
        <v>38</v>
      </c>
      <c r="Q1337" t="s">
        <v>50</v>
      </c>
      <c r="R1337">
        <v>.9999999999999999999999999999999999999996</v>
      </c>
      <c r="S1337" t="s">
        <v>45</v>
      </c>
      <c r="T1337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7">
        <v>60525</v>
      </c>
      <c r="V1337" t="s">
        <v>38</v>
      </c>
      <c r="W1337" t="s">
        <v>50</v>
      </c>
      <c r="X1337">
        <v>.9999999999999999999999999999999999999996</v>
      </c>
      <c r="Y1337">
        <v>0</v>
      </c>
      <c r="Z1337" t="s">
        <v>46</v>
      </c>
      <c r="AA1337">
        <v>60528</v>
      </c>
      <c r="AB1337" t="s">
        <v>147</v>
      </c>
      <c r="AC1337" t="s">
        <v>68</v>
      </c>
      <c r="AD1337" t="s">
        <v>38</v>
      </c>
      <c r="AE1337" t="s">
        <v>49</v>
      </c>
      <c r="AF1337" t="s">
        <v>50</v>
      </c>
      <c r="AG1337">
        <v>0</v>
      </c>
      <c r="AH1337">
        <v>0</v>
      </c>
      <c r="AI1337" t="s">
        <v>51</v>
      </c>
      <c r="AJ1337" t="s">
        <v>51</v>
      </c>
      <c r="AK1337" t="s">
        <v>51</v>
      </c>
    </row>
    <row r="1338" spans="1:37" x14ac:dyDescent="0.2">
      <c r="A1338">
        <v>60504</v>
      </c>
      <c r="B1338" t="s">
        <v>37</v>
      </c>
      <c r="C1338" t="s">
        <v>38</v>
      </c>
      <c r="D1338" t="s">
        <v>130</v>
      </c>
      <c r="E1338" t="s">
        <v>40</v>
      </c>
      <c r="G1338" s="4">
        <v>43947.199074074074</v>
      </c>
      <c r="H1338" s="4">
        <v>43947.199108796296</v>
      </c>
      <c r="I1338" t="s">
        <v>85</v>
      </c>
      <c r="J1338" s="5">
        <v>3</v>
      </c>
      <c r="K1338" t="s">
        <v>38</v>
      </c>
      <c r="M1338">
        <v>60524</v>
      </c>
      <c r="N1338" t="s">
        <v>143</v>
      </c>
      <c r="O1338" t="s">
        <v>144</v>
      </c>
      <c r="P1338" t="s">
        <v>38</v>
      </c>
      <c r="Q1338" t="s">
        <v>50</v>
      </c>
      <c r="R1338">
        <v>.9999999999999999999999999999999999999996</v>
      </c>
      <c r="S1338" t="s">
        <v>45</v>
      </c>
      <c r="T1338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8">
        <v>60525</v>
      </c>
      <c r="V1338" t="s">
        <v>38</v>
      </c>
      <c r="W1338" t="s">
        <v>50</v>
      </c>
      <c r="X1338">
        <v>.9999999999999999999999999999999999999996</v>
      </c>
      <c r="Y1338">
        <v>0</v>
      </c>
      <c r="Z1338" t="s">
        <v>46</v>
      </c>
      <c r="AA1338">
        <v>60527</v>
      </c>
      <c r="AB1338" t="s">
        <v>148</v>
      </c>
      <c r="AC1338" t="s">
        <v>68</v>
      </c>
      <c r="AD1338" t="s">
        <v>38</v>
      </c>
      <c r="AE1338" t="s">
        <v>49</v>
      </c>
      <c r="AF1338" t="s">
        <v>50</v>
      </c>
      <c r="AG1338">
        <v>.9999999999999999999999999999999999999996</v>
      </c>
      <c r="AH1338">
        <v>0</v>
      </c>
      <c r="AI1338" t="s">
        <v>51</v>
      </c>
      <c r="AJ1338" t="s">
        <v>51</v>
      </c>
      <c r="AK1338" t="s">
        <v>51</v>
      </c>
    </row>
    <row r="1339" spans="1:37" x14ac:dyDescent="0.2">
      <c r="A1339">
        <v>60504</v>
      </c>
      <c r="B1339" t="s">
        <v>37</v>
      </c>
      <c r="C1339" t="s">
        <v>38</v>
      </c>
      <c r="D1339" t="s">
        <v>130</v>
      </c>
      <c r="E1339" t="s">
        <v>40</v>
      </c>
      <c r="G1339" s="4">
        <v>43947.199074074074</v>
      </c>
      <c r="H1339" s="4">
        <v>43947.199108796296</v>
      </c>
      <c r="I1339" t="s">
        <v>85</v>
      </c>
      <c r="J1339" s="5">
        <v>3</v>
      </c>
      <c r="K1339" t="s">
        <v>38</v>
      </c>
      <c r="M1339">
        <v>60524</v>
      </c>
      <c r="N1339" t="s">
        <v>143</v>
      </c>
      <c r="O1339" t="s">
        <v>144</v>
      </c>
      <c r="P1339" t="s">
        <v>38</v>
      </c>
      <c r="Q1339" t="s">
        <v>50</v>
      </c>
      <c r="R1339">
        <v>.9999999999999999999999999999999999999996</v>
      </c>
      <c r="S1339" t="s">
        <v>45</v>
      </c>
      <c r="T1339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39">
        <v>60525</v>
      </c>
      <c r="V1339" t="s">
        <v>38</v>
      </c>
      <c r="W1339" t="s">
        <v>50</v>
      </c>
      <c r="X1339">
        <v>.9999999999999999999999999999999999999996</v>
      </c>
      <c r="Y1339">
        <v>0</v>
      </c>
      <c r="Z1339" t="s">
        <v>46</v>
      </c>
      <c r="AA1339">
        <v>60526</v>
      </c>
      <c r="AB1339" t="s">
        <v>149</v>
      </c>
      <c r="AC1339" t="s">
        <v>68</v>
      </c>
      <c r="AD1339" t="s">
        <v>38</v>
      </c>
      <c r="AE1339" t="s">
        <v>49</v>
      </c>
      <c r="AF1339" t="s">
        <v>50</v>
      </c>
      <c r="AG1339">
        <v>0</v>
      </c>
      <c r="AH1339">
        <v>0</v>
      </c>
      <c r="AI1339" t="s">
        <v>51</v>
      </c>
      <c r="AJ1339" t="s">
        <v>51</v>
      </c>
      <c r="AK1339" t="s">
        <v>51</v>
      </c>
    </row>
    <row r="1340" spans="1:37" x14ac:dyDescent="0.2">
      <c r="A1340">
        <v>60504</v>
      </c>
      <c r="B1340" t="s">
        <v>37</v>
      </c>
      <c r="C1340" t="s">
        <v>38</v>
      </c>
      <c r="D1340" t="s">
        <v>130</v>
      </c>
      <c r="E1340" t="s">
        <v>40</v>
      </c>
      <c r="G1340" s="4">
        <v>43947.199074074074</v>
      </c>
      <c r="H1340" s="4">
        <v>43947.199108796296</v>
      </c>
      <c r="I1340" t="s">
        <v>85</v>
      </c>
      <c r="J1340" s="5">
        <v>3</v>
      </c>
      <c r="K1340" t="s">
        <v>38</v>
      </c>
      <c r="M1340">
        <v>60519</v>
      </c>
      <c r="N1340" t="s">
        <v>150</v>
      </c>
      <c r="O1340" t="s">
        <v>151</v>
      </c>
      <c r="P1340" t="s">
        <v>38</v>
      </c>
      <c r="Q1340" t="s">
        <v>50</v>
      </c>
      <c r="R1340">
        <v>0</v>
      </c>
      <c r="S1340" t="s">
        <v>45</v>
      </c>
      <c r="T1340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0">
        <v>60520</v>
      </c>
      <c r="V1340" t="s">
        <v>38</v>
      </c>
      <c r="W1340" t="s">
        <v>50</v>
      </c>
      <c r="X1340">
        <v>0</v>
      </c>
      <c r="Y1340">
        <v>0</v>
      </c>
      <c r="Z1340" t="s">
        <v>46</v>
      </c>
      <c r="AA1340">
        <v>60523</v>
      </c>
      <c r="AB1340" t="s">
        <v>152</v>
      </c>
      <c r="AC1340" t="s">
        <v>56</v>
      </c>
      <c r="AD1340" t="s">
        <v>38</v>
      </c>
      <c r="AE1340" t="s">
        <v>49</v>
      </c>
      <c r="AF1340" t="s">
        <v>50</v>
      </c>
      <c r="AG1340">
        <v>0</v>
      </c>
      <c r="AH1340">
        <v>0</v>
      </c>
      <c r="AI1340" t="s">
        <v>51</v>
      </c>
      <c r="AJ1340" t="s">
        <v>51</v>
      </c>
      <c r="AK1340" t="s">
        <v>51</v>
      </c>
    </row>
    <row r="1341" spans="1:37" x14ac:dyDescent="0.2">
      <c r="A1341">
        <v>60504</v>
      </c>
      <c r="B1341" t="s">
        <v>37</v>
      </c>
      <c r="C1341" t="s">
        <v>38</v>
      </c>
      <c r="D1341" t="s">
        <v>130</v>
      </c>
      <c r="E1341" t="s">
        <v>40</v>
      </c>
      <c r="G1341" s="4">
        <v>43947.199074074074</v>
      </c>
      <c r="H1341" s="4">
        <v>43947.199108796296</v>
      </c>
      <c r="I1341" t="s">
        <v>85</v>
      </c>
      <c r="J1341" s="5">
        <v>3</v>
      </c>
      <c r="K1341" t="s">
        <v>38</v>
      </c>
      <c r="M1341">
        <v>60519</v>
      </c>
      <c r="N1341" t="s">
        <v>150</v>
      </c>
      <c r="O1341" t="s">
        <v>151</v>
      </c>
      <c r="P1341" t="s">
        <v>38</v>
      </c>
      <c r="Q1341" t="s">
        <v>50</v>
      </c>
      <c r="R1341">
        <v>0</v>
      </c>
      <c r="S1341" t="s">
        <v>45</v>
      </c>
      <c r="T1341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1">
        <v>60520</v>
      </c>
      <c r="V1341" t="s">
        <v>38</v>
      </c>
      <c r="W1341" t="s">
        <v>50</v>
      </c>
      <c r="X1341">
        <v>0</v>
      </c>
      <c r="Y1341">
        <v>0</v>
      </c>
      <c r="Z1341" t="s">
        <v>46</v>
      </c>
      <c r="AA1341">
        <v>60522</v>
      </c>
      <c r="AB1341" t="s">
        <v>153</v>
      </c>
      <c r="AC1341" t="s">
        <v>56</v>
      </c>
      <c r="AD1341" t="s">
        <v>38</v>
      </c>
      <c r="AE1341" t="s">
        <v>49</v>
      </c>
      <c r="AF1341" t="s">
        <v>50</v>
      </c>
      <c r="AG1341">
        <v>0</v>
      </c>
      <c r="AH1341">
        <v>0</v>
      </c>
      <c r="AI1341" t="s">
        <v>51</v>
      </c>
      <c r="AJ1341" t="s">
        <v>51</v>
      </c>
      <c r="AK1341" t="s">
        <v>51</v>
      </c>
    </row>
    <row r="1342" spans="1:37" x14ac:dyDescent="0.2">
      <c r="A1342">
        <v>60504</v>
      </c>
      <c r="B1342" t="s">
        <v>37</v>
      </c>
      <c r="C1342" t="s">
        <v>38</v>
      </c>
      <c r="D1342" t="s">
        <v>130</v>
      </c>
      <c r="E1342" t="s">
        <v>40</v>
      </c>
      <c r="G1342" s="4">
        <v>43947.199074074074</v>
      </c>
      <c r="H1342" s="4">
        <v>43947.199108796296</v>
      </c>
      <c r="I1342" t="s">
        <v>85</v>
      </c>
      <c r="J1342" s="5">
        <v>3</v>
      </c>
      <c r="K1342" t="s">
        <v>38</v>
      </c>
      <c r="M1342">
        <v>60519</v>
      </c>
      <c r="N1342" t="s">
        <v>150</v>
      </c>
      <c r="O1342" t="s">
        <v>151</v>
      </c>
      <c r="P1342" t="s">
        <v>38</v>
      </c>
      <c r="Q1342" t="s">
        <v>50</v>
      </c>
      <c r="R1342">
        <v>0</v>
      </c>
      <c r="S1342" t="s">
        <v>45</v>
      </c>
      <c r="T1342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2">
        <v>60520</v>
      </c>
      <c r="V1342" t="s">
        <v>38</v>
      </c>
      <c r="W1342" t="s">
        <v>50</v>
      </c>
      <c r="X1342">
        <v>0</v>
      </c>
      <c r="Y1342">
        <v>0</v>
      </c>
      <c r="Z1342" t="s">
        <v>46</v>
      </c>
      <c r="AA1342">
        <v>60521</v>
      </c>
      <c r="AB1342" t="s">
        <v>154</v>
      </c>
      <c r="AC1342" t="s">
        <v>68</v>
      </c>
      <c r="AD1342" t="s">
        <v>38</v>
      </c>
      <c r="AE1342" t="s">
        <v>49</v>
      </c>
      <c r="AF1342" t="s">
        <v>50</v>
      </c>
      <c r="AG1342">
        <v>0</v>
      </c>
      <c r="AH1342">
        <v>0</v>
      </c>
      <c r="AI1342" t="s">
        <v>51</v>
      </c>
      <c r="AJ1342" t="s">
        <v>51</v>
      </c>
      <c r="AK1342" t="s">
        <v>51</v>
      </c>
    </row>
    <row r="1343" spans="1:37" x14ac:dyDescent="0.2">
      <c r="A1343">
        <v>60504</v>
      </c>
      <c r="B1343" t="s">
        <v>37</v>
      </c>
      <c r="C1343" t="s">
        <v>38</v>
      </c>
      <c r="D1343" t="s">
        <v>130</v>
      </c>
      <c r="E1343" t="s">
        <v>40</v>
      </c>
      <c r="G1343" s="4">
        <v>43947.199074074074</v>
      </c>
      <c r="H1343" s="4">
        <v>43947.199108796296</v>
      </c>
      <c r="I1343" t="s">
        <v>85</v>
      </c>
      <c r="J1343" s="5">
        <v>3</v>
      </c>
      <c r="K1343" t="s">
        <v>38</v>
      </c>
      <c r="M1343">
        <v>60516</v>
      </c>
      <c r="N1343" t="s">
        <v>155</v>
      </c>
      <c r="O1343" t="s">
        <v>156</v>
      </c>
      <c r="P1343" t="s">
        <v>38</v>
      </c>
      <c r="Q1343" t="s">
        <v>50</v>
      </c>
      <c r="R1343">
        <v>0</v>
      </c>
      <c r="S1343" t="s">
        <v>45</v>
      </c>
      <c r="T1343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3">
        <v>60517</v>
      </c>
      <c r="V1343" t="s">
        <v>38</v>
      </c>
      <c r="W1343" t="s">
        <v>50</v>
      </c>
      <c r="X1343">
        <v>0</v>
      </c>
      <c r="Y1343">
        <v>0</v>
      </c>
      <c r="Z1343" t="s">
        <v>46</v>
      </c>
      <c r="AA1343">
        <v>60518</v>
      </c>
      <c r="AB1343" t="s">
        <v>1393</v>
      </c>
      <c r="AC1343" t="s">
        <v>68</v>
      </c>
      <c r="AD1343" t="s">
        <v>38</v>
      </c>
      <c r="AE1343" t="s">
        <v>49</v>
      </c>
      <c r="AF1343" t="s">
        <v>50</v>
      </c>
      <c r="AG1343">
        <v>0</v>
      </c>
      <c r="AH1343">
        <v>0</v>
      </c>
      <c r="AI1343" t="s">
        <v>51</v>
      </c>
      <c r="AJ1343" t="s">
        <v>51</v>
      </c>
      <c r="AK1343" t="s">
        <v>51</v>
      </c>
    </row>
    <row r="1344" spans="1:37" x14ac:dyDescent="0.2">
      <c r="A1344">
        <v>60504</v>
      </c>
      <c r="B1344" t="s">
        <v>37</v>
      </c>
      <c r="C1344" t="s">
        <v>38</v>
      </c>
      <c r="D1344" t="s">
        <v>130</v>
      </c>
      <c r="E1344" t="s">
        <v>40</v>
      </c>
      <c r="G1344" s="4">
        <v>43947.199074074074</v>
      </c>
      <c r="H1344" s="4">
        <v>43947.199108796296</v>
      </c>
      <c r="I1344" t="s">
        <v>85</v>
      </c>
      <c r="J1344" s="5">
        <v>3</v>
      </c>
      <c r="K1344" t="s">
        <v>38</v>
      </c>
      <c r="M1344">
        <v>60511</v>
      </c>
      <c r="N1344" t="s">
        <v>158</v>
      </c>
      <c r="O1344" t="s">
        <v>159</v>
      </c>
      <c r="P1344" t="s">
        <v>38</v>
      </c>
      <c r="Q1344" t="s">
        <v>50</v>
      </c>
      <c r="R1344">
        <v>0</v>
      </c>
      <c r="S1344" t="s">
        <v>45</v>
      </c>
      <c r="T1344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4">
        <v>60512</v>
      </c>
      <c r="V1344" t="s">
        <v>38</v>
      </c>
      <c r="W1344" t="s">
        <v>50</v>
      </c>
      <c r="X1344">
        <v>0</v>
      </c>
      <c r="Y1344">
        <v>0</v>
      </c>
      <c r="Z1344" t="s">
        <v>46</v>
      </c>
      <c r="AA1344">
        <v>60515</v>
      </c>
      <c r="AB1344" t="s">
        <v>160</v>
      </c>
      <c r="AC1344" t="s">
        <v>56</v>
      </c>
      <c r="AD1344" t="s">
        <v>38</v>
      </c>
      <c r="AE1344" t="s">
        <v>49</v>
      </c>
      <c r="AF1344" t="s">
        <v>50</v>
      </c>
      <c r="AG1344">
        <v>0</v>
      </c>
      <c r="AH1344">
        <v>0</v>
      </c>
      <c r="AI1344" t="s">
        <v>51</v>
      </c>
      <c r="AJ1344" t="s">
        <v>51</v>
      </c>
      <c r="AK1344" t="s">
        <v>51</v>
      </c>
    </row>
    <row r="1345" spans="1:37" x14ac:dyDescent="0.2">
      <c r="A1345">
        <v>60504</v>
      </c>
      <c r="B1345" t="s">
        <v>37</v>
      </c>
      <c r="C1345" t="s">
        <v>38</v>
      </c>
      <c r="D1345" t="s">
        <v>130</v>
      </c>
      <c r="E1345" t="s">
        <v>40</v>
      </c>
      <c r="G1345" s="4">
        <v>43947.199074074074</v>
      </c>
      <c r="H1345" s="4">
        <v>43947.199108796296</v>
      </c>
      <c r="I1345" t="s">
        <v>85</v>
      </c>
      <c r="J1345" s="5">
        <v>3</v>
      </c>
      <c r="K1345" t="s">
        <v>38</v>
      </c>
      <c r="M1345">
        <v>60511</v>
      </c>
      <c r="N1345" t="s">
        <v>158</v>
      </c>
      <c r="O1345" t="s">
        <v>159</v>
      </c>
      <c r="P1345" t="s">
        <v>38</v>
      </c>
      <c r="Q1345" t="s">
        <v>50</v>
      </c>
      <c r="R1345">
        <v>0</v>
      </c>
      <c r="S1345" t="s">
        <v>45</v>
      </c>
      <c r="T1345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5">
        <v>60512</v>
      </c>
      <c r="V1345" t="s">
        <v>38</v>
      </c>
      <c r="W1345" t="s">
        <v>50</v>
      </c>
      <c r="X1345">
        <v>0</v>
      </c>
      <c r="Y1345">
        <v>0</v>
      </c>
      <c r="Z1345" t="s">
        <v>46</v>
      </c>
      <c r="AA1345">
        <v>60514</v>
      </c>
      <c r="AB1345" t="s">
        <v>161</v>
      </c>
      <c r="AC1345" t="s">
        <v>68</v>
      </c>
      <c r="AD1345" t="s">
        <v>38</v>
      </c>
      <c r="AE1345" t="s">
        <v>49</v>
      </c>
      <c r="AF1345" t="s">
        <v>50</v>
      </c>
      <c r="AG1345">
        <v>0</v>
      </c>
      <c r="AH1345">
        <v>0</v>
      </c>
      <c r="AI1345" t="s">
        <v>51</v>
      </c>
      <c r="AJ1345" t="s">
        <v>51</v>
      </c>
      <c r="AK1345" t="s">
        <v>51</v>
      </c>
    </row>
    <row r="1346" spans="1:37" x14ac:dyDescent="0.2">
      <c r="A1346">
        <v>60504</v>
      </c>
      <c r="B1346" t="s">
        <v>37</v>
      </c>
      <c r="C1346" t="s">
        <v>38</v>
      </c>
      <c r="D1346" t="s">
        <v>130</v>
      </c>
      <c r="E1346" t="s">
        <v>40</v>
      </c>
      <c r="G1346" s="4">
        <v>43947.199074074074</v>
      </c>
      <c r="H1346" s="4">
        <v>43947.199108796296</v>
      </c>
      <c r="I1346" t="s">
        <v>85</v>
      </c>
      <c r="J1346" s="5">
        <v>3</v>
      </c>
      <c r="K1346" t="s">
        <v>38</v>
      </c>
      <c r="M1346">
        <v>60511</v>
      </c>
      <c r="N1346" t="s">
        <v>158</v>
      </c>
      <c r="O1346" t="s">
        <v>159</v>
      </c>
      <c r="P1346" t="s">
        <v>38</v>
      </c>
      <c r="Q1346" t="s">
        <v>50</v>
      </c>
      <c r="R1346">
        <v>0</v>
      </c>
      <c r="S1346" t="s">
        <v>45</v>
      </c>
      <c r="T1346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6">
        <v>60512</v>
      </c>
      <c r="V1346" t="s">
        <v>38</v>
      </c>
      <c r="W1346" t="s">
        <v>50</v>
      </c>
      <c r="X1346">
        <v>0</v>
      </c>
      <c r="Y1346">
        <v>0</v>
      </c>
      <c r="Z1346" t="s">
        <v>46</v>
      </c>
      <c r="AA1346">
        <v>60513</v>
      </c>
      <c r="AB1346" t="s">
        <v>162</v>
      </c>
      <c r="AC1346" t="s">
        <v>68</v>
      </c>
      <c r="AD1346" t="s">
        <v>38</v>
      </c>
      <c r="AE1346" t="s">
        <v>49</v>
      </c>
      <c r="AF1346" t="s">
        <v>50</v>
      </c>
      <c r="AG1346">
        <v>0</v>
      </c>
      <c r="AH1346">
        <v>0</v>
      </c>
      <c r="AI1346" t="s">
        <v>51</v>
      </c>
      <c r="AJ1346" t="s">
        <v>51</v>
      </c>
      <c r="AK1346" t="s">
        <v>51</v>
      </c>
    </row>
    <row r="1347" spans="1:37" x14ac:dyDescent="0.2">
      <c r="A1347">
        <v>60504</v>
      </c>
      <c r="B1347" t="s">
        <v>37</v>
      </c>
      <c r="C1347" t="s">
        <v>38</v>
      </c>
      <c r="D1347" t="s">
        <v>130</v>
      </c>
      <c r="E1347" t="s">
        <v>40</v>
      </c>
      <c r="G1347" s="4">
        <v>43947.199074074074</v>
      </c>
      <c r="H1347" s="4">
        <v>43947.199108796296</v>
      </c>
      <c r="I1347" t="s">
        <v>85</v>
      </c>
      <c r="J1347" s="5">
        <v>3</v>
      </c>
      <c r="K1347" t="s">
        <v>38</v>
      </c>
      <c r="M1347">
        <v>60505</v>
      </c>
      <c r="N1347" t="s">
        <v>163</v>
      </c>
      <c r="O1347" t="s">
        <v>164</v>
      </c>
      <c r="P1347" t="s">
        <v>38</v>
      </c>
      <c r="Q1347" t="s">
        <v>50</v>
      </c>
      <c r="R1347">
        <v>.9999999999999999999999999999999999999996</v>
      </c>
      <c r="S1347" t="s">
        <v>45</v>
      </c>
      <c r="T1347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7">
        <v>60506</v>
      </c>
      <c r="V1347" t="s">
        <v>38</v>
      </c>
      <c r="W1347" t="s">
        <v>50</v>
      </c>
      <c r="X1347">
        <v>0</v>
      </c>
      <c r="Y1347">
        <v>0</v>
      </c>
      <c r="Z1347" t="s">
        <v>46</v>
      </c>
      <c r="AA1347">
        <v>60510</v>
      </c>
      <c r="AB1347" t="s">
        <v>165</v>
      </c>
      <c r="AC1347" t="s">
        <v>56</v>
      </c>
      <c r="AD1347" t="s">
        <v>38</v>
      </c>
      <c r="AE1347" t="s">
        <v>49</v>
      </c>
      <c r="AF1347" t="s">
        <v>50</v>
      </c>
      <c r="AG1347">
        <v>0</v>
      </c>
      <c r="AH1347">
        <v>0</v>
      </c>
      <c r="AI1347" t="s">
        <v>51</v>
      </c>
      <c r="AJ1347" t="s">
        <v>51</v>
      </c>
      <c r="AK1347" t="s">
        <v>51</v>
      </c>
    </row>
    <row r="1348" spans="1:37" x14ac:dyDescent="0.2">
      <c r="A1348">
        <v>60504</v>
      </c>
      <c r="B1348" t="s">
        <v>37</v>
      </c>
      <c r="C1348" t="s">
        <v>38</v>
      </c>
      <c r="D1348" t="s">
        <v>130</v>
      </c>
      <c r="E1348" t="s">
        <v>40</v>
      </c>
      <c r="G1348" s="4">
        <v>43947.199074074074</v>
      </c>
      <c r="H1348" s="4">
        <v>43947.199108796296</v>
      </c>
      <c r="I1348" t="s">
        <v>85</v>
      </c>
      <c r="J1348" s="5">
        <v>3</v>
      </c>
      <c r="K1348" t="s">
        <v>38</v>
      </c>
      <c r="M1348">
        <v>60505</v>
      </c>
      <c r="N1348" t="s">
        <v>163</v>
      </c>
      <c r="O1348" t="s">
        <v>164</v>
      </c>
      <c r="P1348" t="s">
        <v>38</v>
      </c>
      <c r="Q1348" t="s">
        <v>50</v>
      </c>
      <c r="R1348">
        <v>.9999999999999999999999999999999999999996</v>
      </c>
      <c r="S1348" t="s">
        <v>45</v>
      </c>
      <c r="T1348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8">
        <v>60506</v>
      </c>
      <c r="V1348" t="s">
        <v>38</v>
      </c>
      <c r="W1348" t="s">
        <v>50</v>
      </c>
      <c r="X1348">
        <v>0</v>
      </c>
      <c r="Y1348">
        <v>0</v>
      </c>
      <c r="Z1348" t="s">
        <v>46</v>
      </c>
      <c r="AA1348">
        <v>60509</v>
      </c>
      <c r="AB1348" t="s">
        <v>1394</v>
      </c>
      <c r="AC1348" t="s">
        <v>48</v>
      </c>
      <c r="AD1348" t="s">
        <v>38</v>
      </c>
      <c r="AE1348" t="s">
        <v>49</v>
      </c>
      <c r="AF1348" t="s">
        <v>50</v>
      </c>
      <c r="AG1348">
        <v>0</v>
      </c>
      <c r="AH1348">
        <v>0</v>
      </c>
      <c r="AI1348" t="s">
        <v>51</v>
      </c>
      <c r="AJ1348" t="s">
        <v>51</v>
      </c>
      <c r="AK1348" t="s">
        <v>51</v>
      </c>
    </row>
    <row r="1349" spans="1:37" x14ac:dyDescent="0.2">
      <c r="A1349">
        <v>60504</v>
      </c>
      <c r="B1349" t="s">
        <v>37</v>
      </c>
      <c r="C1349" t="s">
        <v>38</v>
      </c>
      <c r="D1349" t="s">
        <v>130</v>
      </c>
      <c r="E1349" t="s">
        <v>40</v>
      </c>
      <c r="G1349" s="4">
        <v>43947.199074074074</v>
      </c>
      <c r="H1349" s="4">
        <v>43947.199108796296</v>
      </c>
      <c r="I1349" t="s">
        <v>85</v>
      </c>
      <c r="J1349" s="5">
        <v>3</v>
      </c>
      <c r="K1349" t="s">
        <v>38</v>
      </c>
      <c r="M1349">
        <v>60505</v>
      </c>
      <c r="N1349" t="s">
        <v>163</v>
      </c>
      <c r="O1349" t="s">
        <v>164</v>
      </c>
      <c r="P1349" t="s">
        <v>38</v>
      </c>
      <c r="Q1349" t="s">
        <v>50</v>
      </c>
      <c r="R1349">
        <v>.9999999999999999999999999999999999999996</v>
      </c>
      <c r="S1349" t="s">
        <v>45</v>
      </c>
      <c r="T1349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49">
        <v>60506</v>
      </c>
      <c r="V1349" t="s">
        <v>38</v>
      </c>
      <c r="W1349" t="s">
        <v>50</v>
      </c>
      <c r="X1349">
        <v>0</v>
      </c>
      <c r="Y1349">
        <v>0</v>
      </c>
      <c r="Z1349" t="s">
        <v>46</v>
      </c>
      <c r="AA1349">
        <v>60508</v>
      </c>
      <c r="AB1349" t="s">
        <v>167</v>
      </c>
      <c r="AC1349" t="s">
        <v>68</v>
      </c>
      <c r="AD1349" t="s">
        <v>38</v>
      </c>
      <c r="AE1349" t="s">
        <v>49</v>
      </c>
      <c r="AF1349" t="s">
        <v>50</v>
      </c>
      <c r="AG1349">
        <v>0</v>
      </c>
      <c r="AH1349">
        <v>0</v>
      </c>
      <c r="AI1349" t="s">
        <v>51</v>
      </c>
      <c r="AJ1349" t="s">
        <v>51</v>
      </c>
      <c r="AK1349" t="s">
        <v>51</v>
      </c>
    </row>
    <row r="1350" spans="1:37" x14ac:dyDescent="0.2">
      <c r="A1350">
        <v>60504</v>
      </c>
      <c r="B1350" t="s">
        <v>37</v>
      </c>
      <c r="C1350" t="s">
        <v>38</v>
      </c>
      <c r="D1350" t="s">
        <v>130</v>
      </c>
      <c r="E1350" t="s">
        <v>40</v>
      </c>
      <c r="G1350" s="4">
        <v>43947.199074074074</v>
      </c>
      <c r="H1350" s="4">
        <v>43947.199108796296</v>
      </c>
      <c r="I1350" t="s">
        <v>85</v>
      </c>
      <c r="J1350" s="5">
        <v>3</v>
      </c>
      <c r="K1350" t="s">
        <v>38</v>
      </c>
      <c r="M1350">
        <v>60505</v>
      </c>
      <c r="N1350" t="s">
        <v>163</v>
      </c>
      <c r="O1350" t="s">
        <v>164</v>
      </c>
      <c r="P1350" t="s">
        <v>38</v>
      </c>
      <c r="Q1350" t="s">
        <v>50</v>
      </c>
      <c r="R1350">
        <v>.9999999999999999999999999999999999999996</v>
      </c>
      <c r="S1350" t="s">
        <v>45</v>
      </c>
      <c r="T1350" t="str" s="2">
        <f>=HYPERLINK("http://demo.enginatics.com:80/ecc/user/applications/log/60504.log","http://demo.enginatics.com:80/ecc/user/applications/log/60504.log")</f>
        <v>"http://demo.enginatics.com:80/ecc/user/applications/log/60504.log")</v>
      </c>
      <c r="U1350">
        <v>60506</v>
      </c>
      <c r="V1350" t="s">
        <v>38</v>
      </c>
      <c r="W1350" t="s">
        <v>50</v>
      </c>
      <c r="X1350">
        <v>0</v>
      </c>
      <c r="Y1350">
        <v>0</v>
      </c>
      <c r="Z1350" t="s">
        <v>46</v>
      </c>
      <c r="AA1350">
        <v>60507</v>
      </c>
      <c r="AB1350" t="s">
        <v>168</v>
      </c>
      <c r="AC1350" t="s">
        <v>68</v>
      </c>
      <c r="AD1350" t="s">
        <v>38</v>
      </c>
      <c r="AE1350" t="s">
        <v>49</v>
      </c>
      <c r="AF1350" t="s">
        <v>50</v>
      </c>
      <c r="AG1350">
        <v>0</v>
      </c>
      <c r="AH1350">
        <v>0</v>
      </c>
      <c r="AI1350" t="s">
        <v>51</v>
      </c>
      <c r="AJ1350" t="s">
        <v>51</v>
      </c>
      <c r="AK1350" t="s">
        <v>51</v>
      </c>
    </row>
    <row r="1351" spans="1:37" x14ac:dyDescent="0.2">
      <c r="A1351">
        <v>60500</v>
      </c>
      <c r="B1351" t="s">
        <v>37</v>
      </c>
      <c r="C1351" t="s">
        <v>38</v>
      </c>
      <c r="D1351" t="s">
        <v>169</v>
      </c>
      <c r="E1351" t="s">
        <v>170</v>
      </c>
      <c r="G1351" s="4">
        <v>43947.178865740741</v>
      </c>
      <c r="H1351" s="4">
        <v>43947.178912037037</v>
      </c>
      <c r="I1351" t="s">
        <v>44</v>
      </c>
      <c r="J1351" s="5">
        <v>4</v>
      </c>
      <c r="K1351" t="s">
        <v>38</v>
      </c>
      <c r="M1351">
        <v>60501</v>
      </c>
      <c r="N1351" t="s">
        <v>170</v>
      </c>
      <c r="O1351" t="s">
        <v>171</v>
      </c>
      <c r="P1351" t="s">
        <v>38</v>
      </c>
      <c r="Q1351" t="s">
        <v>44</v>
      </c>
      <c r="R1351">
        <v>4</v>
      </c>
      <c r="S1351" t="s">
        <v>45</v>
      </c>
      <c r="T1351" t="str" s="2">
        <f>=HYPERLINK("http://demo.enginatics.com:80/ecc/user/applications/log/60500.log","http://demo.enginatics.com:80/ecc/user/applications/log/60500.log")</f>
        <v>"http://demo.enginatics.com:80/ecc/user/applications/log/60500.log")</v>
      </c>
      <c r="U1351">
        <v>60502</v>
      </c>
      <c r="V1351" t="s">
        <v>38</v>
      </c>
      <c r="W1351" t="s">
        <v>44</v>
      </c>
      <c r="X1351">
        <v>4</v>
      </c>
      <c r="Y1351">
        <v>0</v>
      </c>
      <c r="Z1351" t="s">
        <v>46</v>
      </c>
      <c r="AA1351">
        <v>60503</v>
      </c>
      <c r="AB1351" t="s">
        <v>172</v>
      </c>
      <c r="AC1351" t="s">
        <v>68</v>
      </c>
      <c r="AD1351" t="s">
        <v>38</v>
      </c>
      <c r="AE1351" t="s">
        <v>49</v>
      </c>
      <c r="AF1351" t="s">
        <v>85</v>
      </c>
      <c r="AG1351">
        <v>3</v>
      </c>
      <c r="AH1351">
        <v>0</v>
      </c>
      <c r="AI1351" t="s">
        <v>51</v>
      </c>
      <c r="AJ1351" t="s">
        <v>51</v>
      </c>
      <c r="AK1351" t="s">
        <v>51</v>
      </c>
    </row>
    <row r="1352" spans="1:37" x14ac:dyDescent="0.2">
      <c r="A1352">
        <v>60496</v>
      </c>
      <c r="B1352" t="s">
        <v>37</v>
      </c>
      <c r="C1352" t="s">
        <v>38</v>
      </c>
      <c r="D1352" t="s">
        <v>169</v>
      </c>
      <c r="E1352" t="s">
        <v>173</v>
      </c>
      <c r="G1352" s="4">
        <v>43947.178738425926</v>
      </c>
      <c r="H1352" s="4">
        <v>43947.17875</v>
      </c>
      <c r="I1352" t="s">
        <v>50</v>
      </c>
      <c r="J1352" s="5">
        <v>.9999999999999999999999999999999999999996</v>
      </c>
      <c r="K1352" t="s">
        <v>38</v>
      </c>
      <c r="M1352">
        <v>60497</v>
      </c>
      <c r="N1352" t="s">
        <v>173</v>
      </c>
      <c r="O1352" t="s">
        <v>174</v>
      </c>
      <c r="P1352" t="s">
        <v>38</v>
      </c>
      <c r="Q1352" t="s">
        <v>50</v>
      </c>
      <c r="R1352">
        <v>.9999999999999999999999999999999999999996</v>
      </c>
      <c r="S1352" t="s">
        <v>45</v>
      </c>
      <c r="T1352" t="str" s="2">
        <f>=HYPERLINK("http://demo.enginatics.com:80/ecc/user/applications/log/60496.log","http://demo.enginatics.com:80/ecc/user/applications/log/60496.log")</f>
        <v>"http://demo.enginatics.com:80/ecc/user/applications/log/60496.log")</v>
      </c>
      <c r="U1352">
        <v>60498</v>
      </c>
      <c r="V1352" t="s">
        <v>38</v>
      </c>
      <c r="W1352" t="s">
        <v>50</v>
      </c>
      <c r="X1352">
        <v>.9999999999999999999999999999999999999996</v>
      </c>
      <c r="Y1352">
        <v>0</v>
      </c>
      <c r="Z1352" t="s">
        <v>46</v>
      </c>
      <c r="AA1352">
        <v>60499</v>
      </c>
      <c r="AB1352" t="s">
        <v>175</v>
      </c>
      <c r="AC1352" t="s">
        <v>68</v>
      </c>
      <c r="AD1352" t="s">
        <v>38</v>
      </c>
      <c r="AE1352" t="s">
        <v>49</v>
      </c>
      <c r="AF1352" t="s">
        <v>50</v>
      </c>
      <c r="AG1352">
        <v>0</v>
      </c>
      <c r="AH1352">
        <v>0</v>
      </c>
      <c r="AI1352" t="s">
        <v>51</v>
      </c>
      <c r="AJ1352" t="s">
        <v>51</v>
      </c>
      <c r="AK1352" t="s">
        <v>51</v>
      </c>
    </row>
    <row r="1353" spans="1:37" x14ac:dyDescent="0.2">
      <c r="A1353">
        <v>60492</v>
      </c>
      <c r="B1353" t="s">
        <v>37</v>
      </c>
      <c r="C1353" t="s">
        <v>38</v>
      </c>
      <c r="D1353" t="s">
        <v>169</v>
      </c>
      <c r="E1353" t="s">
        <v>176</v>
      </c>
      <c r="G1353" s="4">
        <v>43947.178553240741</v>
      </c>
      <c r="H1353" s="4">
        <v>43947.178587962963</v>
      </c>
      <c r="I1353" t="s">
        <v>85</v>
      </c>
      <c r="J1353" s="5">
        <v>3</v>
      </c>
      <c r="K1353" t="s">
        <v>38</v>
      </c>
      <c r="M1353">
        <v>60493</v>
      </c>
      <c r="N1353" t="s">
        <v>176</v>
      </c>
      <c r="O1353" t="s">
        <v>177</v>
      </c>
      <c r="P1353" t="s">
        <v>38</v>
      </c>
      <c r="Q1353" t="s">
        <v>88</v>
      </c>
      <c r="R1353">
        <v>2</v>
      </c>
      <c r="S1353" t="s">
        <v>45</v>
      </c>
      <c r="T1353" t="str" s="2">
        <f>=HYPERLINK("http://demo.enginatics.com:80/ecc/user/applications/log/60492.log","http://demo.enginatics.com:80/ecc/user/applications/log/60492.log")</f>
        <v>"http://demo.enginatics.com:80/ecc/user/applications/log/60492.log")</v>
      </c>
      <c r="U1353">
        <v>60494</v>
      </c>
      <c r="V1353" t="s">
        <v>38</v>
      </c>
      <c r="W1353" t="s">
        <v>88</v>
      </c>
      <c r="X1353">
        <v>2</v>
      </c>
      <c r="Y1353">
        <v>0</v>
      </c>
      <c r="Z1353" t="s">
        <v>46</v>
      </c>
      <c r="AA1353">
        <v>60495</v>
      </c>
      <c r="AB1353" t="s">
        <v>178</v>
      </c>
      <c r="AC1353" t="s">
        <v>68</v>
      </c>
      <c r="AD1353" t="s">
        <v>38</v>
      </c>
      <c r="AE1353" t="s">
        <v>49</v>
      </c>
      <c r="AF1353" t="s">
        <v>88</v>
      </c>
      <c r="AG1353">
        <v>2</v>
      </c>
      <c r="AH1353">
        <v>0</v>
      </c>
      <c r="AI1353" t="s">
        <v>51</v>
      </c>
      <c r="AJ1353" t="s">
        <v>51</v>
      </c>
      <c r="AK1353" t="s">
        <v>51</v>
      </c>
    </row>
    <row r="1354" spans="1:37" x14ac:dyDescent="0.2">
      <c r="A1354">
        <v>60488</v>
      </c>
      <c r="B1354" t="s">
        <v>37</v>
      </c>
      <c r="C1354" t="s">
        <v>38</v>
      </c>
      <c r="D1354" t="s">
        <v>169</v>
      </c>
      <c r="E1354" t="s">
        <v>179</v>
      </c>
      <c r="G1354" s="4">
        <v>43947.178125</v>
      </c>
      <c r="H1354" s="4">
        <v>43947.178414351852</v>
      </c>
      <c r="I1354" t="s">
        <v>180</v>
      </c>
      <c r="J1354" s="5">
        <v>25.00000000000000000000000000000000000001</v>
      </c>
      <c r="K1354" t="s">
        <v>38</v>
      </c>
      <c r="M1354">
        <v>60489</v>
      </c>
      <c r="N1354" t="s">
        <v>179</v>
      </c>
      <c r="O1354" t="s">
        <v>181</v>
      </c>
      <c r="P1354" t="s">
        <v>38</v>
      </c>
      <c r="Q1354" t="s">
        <v>1153</v>
      </c>
      <c r="R1354">
        <v>24.00000000000000000000000000000000000002</v>
      </c>
      <c r="S1354" t="s">
        <v>45</v>
      </c>
      <c r="T1354" t="str" s="2">
        <f>=HYPERLINK("http://demo.enginatics.com:80/ecc/user/applications/log/60488.log","http://demo.enginatics.com:80/ecc/user/applications/log/60488.log")</f>
        <v>"http://demo.enginatics.com:80/ecc/user/applications/log/60488.log")</v>
      </c>
      <c r="U1354">
        <v>60490</v>
      </c>
      <c r="V1354" t="s">
        <v>38</v>
      </c>
      <c r="W1354" t="s">
        <v>183</v>
      </c>
      <c r="X1354">
        <v>23.00000000000000000000000000000000000003</v>
      </c>
      <c r="Y1354">
        <v>0</v>
      </c>
      <c r="Z1354" t="s">
        <v>46</v>
      </c>
      <c r="AA1354">
        <v>60491</v>
      </c>
      <c r="AB1354" t="s">
        <v>182</v>
      </c>
      <c r="AC1354" t="s">
        <v>68</v>
      </c>
      <c r="AD1354" t="s">
        <v>38</v>
      </c>
      <c r="AE1354" t="s">
        <v>49</v>
      </c>
      <c r="AF1354" t="s">
        <v>183</v>
      </c>
      <c r="AG1354">
        <v>23.00000000000000000000000000000000000003</v>
      </c>
      <c r="AH1354">
        <v>22</v>
      </c>
      <c r="AI1354" t="s">
        <v>51</v>
      </c>
      <c r="AJ1354" t="s">
        <v>51</v>
      </c>
      <c r="AK1354" t="s">
        <v>51</v>
      </c>
    </row>
    <row r="1355" spans="1:37" x14ac:dyDescent="0.2">
      <c r="A1355">
        <v>60484</v>
      </c>
      <c r="B1355" t="s">
        <v>37</v>
      </c>
      <c r="C1355" t="s">
        <v>38</v>
      </c>
      <c r="D1355" t="s">
        <v>169</v>
      </c>
      <c r="E1355" t="s">
        <v>184</v>
      </c>
      <c r="G1355" s="4">
        <v>43947.177951388889</v>
      </c>
      <c r="H1355" s="4">
        <v>43947.177962962963</v>
      </c>
      <c r="I1355" t="s">
        <v>50</v>
      </c>
      <c r="J1355" s="5">
        <v>.9999999999999999999999999999999999999996</v>
      </c>
      <c r="K1355" t="s">
        <v>38</v>
      </c>
      <c r="M1355">
        <v>60485</v>
      </c>
      <c r="N1355" t="s">
        <v>184</v>
      </c>
      <c r="O1355" t="s">
        <v>185</v>
      </c>
      <c r="P1355" t="s">
        <v>38</v>
      </c>
      <c r="Q1355" t="s">
        <v>50</v>
      </c>
      <c r="R1355">
        <v>.9999999999999999999999999999999999999996</v>
      </c>
      <c r="S1355" t="s">
        <v>45</v>
      </c>
      <c r="T1355" t="str" s="2">
        <f>=HYPERLINK("http://demo.enginatics.com:80/ecc/user/applications/log/60484.log","http://demo.enginatics.com:80/ecc/user/applications/log/60484.log")</f>
        <v>"http://demo.enginatics.com:80/ecc/user/applications/log/60484.log")</v>
      </c>
      <c r="U1355">
        <v>60486</v>
      </c>
      <c r="V1355" t="s">
        <v>38</v>
      </c>
      <c r="W1355" t="s">
        <v>50</v>
      </c>
      <c r="X1355">
        <v>.9999999999999999999999999999999999999996</v>
      </c>
      <c r="Y1355">
        <v>0</v>
      </c>
      <c r="Z1355" t="s">
        <v>46</v>
      </c>
      <c r="AA1355">
        <v>60487</v>
      </c>
      <c r="AB1355" t="s">
        <v>186</v>
      </c>
      <c r="AC1355" t="s">
        <v>68</v>
      </c>
      <c r="AD1355" t="s">
        <v>38</v>
      </c>
      <c r="AE1355" t="s">
        <v>49</v>
      </c>
      <c r="AF1355" t="s">
        <v>50</v>
      </c>
      <c r="AG1355">
        <v>0</v>
      </c>
      <c r="AH1355">
        <v>0</v>
      </c>
      <c r="AI1355" t="s">
        <v>51</v>
      </c>
      <c r="AJ1355" t="s">
        <v>51</v>
      </c>
      <c r="AK1355" t="s">
        <v>51</v>
      </c>
    </row>
    <row r="1356" spans="1:37" x14ac:dyDescent="0.2">
      <c r="A1356">
        <v>60480</v>
      </c>
      <c r="B1356" t="s">
        <v>37</v>
      </c>
      <c r="C1356" t="s">
        <v>38</v>
      </c>
      <c r="D1356" t="s">
        <v>169</v>
      </c>
      <c r="E1356" t="s">
        <v>187</v>
      </c>
      <c r="G1356" s="4">
        <v>43947.177766203704</v>
      </c>
      <c r="H1356" s="4">
        <v>43947.1778125</v>
      </c>
      <c r="I1356" t="s">
        <v>44</v>
      </c>
      <c r="J1356" s="5">
        <v>4</v>
      </c>
      <c r="K1356" t="s">
        <v>38</v>
      </c>
      <c r="M1356">
        <v>60481</v>
      </c>
      <c r="N1356" t="s">
        <v>187</v>
      </c>
      <c r="O1356" t="s">
        <v>188</v>
      </c>
      <c r="P1356" t="s">
        <v>38</v>
      </c>
      <c r="Q1356" t="s">
        <v>44</v>
      </c>
      <c r="R1356">
        <v>4</v>
      </c>
      <c r="S1356" t="s">
        <v>45</v>
      </c>
      <c r="T1356" t="str" s="2">
        <f>=HYPERLINK("http://demo.enginatics.com:80/ecc/user/applications/log/60480.log","http://demo.enginatics.com:80/ecc/user/applications/log/60480.log")</f>
        <v>"http://demo.enginatics.com:80/ecc/user/applications/log/60480.log")</v>
      </c>
      <c r="U1356">
        <v>60482</v>
      </c>
      <c r="V1356" t="s">
        <v>38</v>
      </c>
      <c r="W1356" t="s">
        <v>85</v>
      </c>
      <c r="X1356">
        <v>3</v>
      </c>
      <c r="Y1356">
        <v>0</v>
      </c>
      <c r="Z1356" t="s">
        <v>46</v>
      </c>
      <c r="AA1356">
        <v>60483</v>
      </c>
      <c r="AB1356" t="s">
        <v>189</v>
      </c>
      <c r="AC1356" t="s">
        <v>68</v>
      </c>
      <c r="AD1356" t="s">
        <v>38</v>
      </c>
      <c r="AE1356" t="s">
        <v>49</v>
      </c>
      <c r="AF1356" t="s">
        <v>85</v>
      </c>
      <c r="AG1356">
        <v>3</v>
      </c>
      <c r="AH1356">
        <v>3</v>
      </c>
      <c r="AI1356" t="s">
        <v>51</v>
      </c>
      <c r="AJ1356" t="s">
        <v>51</v>
      </c>
      <c r="AK1356" t="s">
        <v>51</v>
      </c>
    </row>
    <row r="1357" spans="1:37" x14ac:dyDescent="0.2">
      <c r="A1357">
        <v>60476</v>
      </c>
      <c r="B1357" t="s">
        <v>37</v>
      </c>
      <c r="C1357" t="s">
        <v>38</v>
      </c>
      <c r="D1357" t="s">
        <v>169</v>
      </c>
      <c r="E1357" t="s">
        <v>190</v>
      </c>
      <c r="G1357" s="4">
        <v>43947.177604166667</v>
      </c>
      <c r="H1357" s="4">
        <v>43947.177615740741</v>
      </c>
      <c r="I1357" t="s">
        <v>50</v>
      </c>
      <c r="J1357" s="5">
        <v>.9999999999999999999999999999999999999996</v>
      </c>
      <c r="K1357" t="s">
        <v>38</v>
      </c>
      <c r="M1357">
        <v>60477</v>
      </c>
      <c r="N1357" t="s">
        <v>190</v>
      </c>
      <c r="O1357" t="s">
        <v>191</v>
      </c>
      <c r="P1357" t="s">
        <v>38</v>
      </c>
      <c r="Q1357" t="s">
        <v>50</v>
      </c>
      <c r="R1357">
        <v>.9999999999999999999999999999999999999996</v>
      </c>
      <c r="S1357" t="s">
        <v>45</v>
      </c>
      <c r="T1357" t="str" s="2">
        <f>=HYPERLINK("http://demo.enginatics.com:80/ecc/user/applications/log/60476.log","http://demo.enginatics.com:80/ecc/user/applications/log/60476.log")</f>
        <v>"http://demo.enginatics.com:80/ecc/user/applications/log/60476.log")</v>
      </c>
      <c r="U1357">
        <v>60478</v>
      </c>
      <c r="V1357" t="s">
        <v>38</v>
      </c>
      <c r="W1357" t="s">
        <v>50</v>
      </c>
      <c r="X1357">
        <v>.9999999999999999999999999999999999999996</v>
      </c>
      <c r="Y1357">
        <v>0</v>
      </c>
      <c r="Z1357" t="s">
        <v>46</v>
      </c>
      <c r="AA1357">
        <v>60479</v>
      </c>
      <c r="AB1357" t="s">
        <v>192</v>
      </c>
      <c r="AC1357" t="s">
        <v>68</v>
      </c>
      <c r="AD1357" t="s">
        <v>38</v>
      </c>
      <c r="AE1357" t="s">
        <v>49</v>
      </c>
      <c r="AF1357" t="s">
        <v>50</v>
      </c>
      <c r="AG1357">
        <v>0</v>
      </c>
      <c r="AH1357">
        <v>0</v>
      </c>
      <c r="AI1357" t="s">
        <v>51</v>
      </c>
      <c r="AJ1357" t="s">
        <v>51</v>
      </c>
      <c r="AK1357" t="s">
        <v>51</v>
      </c>
    </row>
    <row r="1358" spans="1:37" x14ac:dyDescent="0.2">
      <c r="A1358">
        <v>60472</v>
      </c>
      <c r="B1358" t="s">
        <v>37</v>
      </c>
      <c r="C1358" t="s">
        <v>38</v>
      </c>
      <c r="D1358" t="s">
        <v>169</v>
      </c>
      <c r="E1358" t="s">
        <v>193</v>
      </c>
      <c r="G1358" s="4">
        <v>43947.177488425926</v>
      </c>
      <c r="H1358" s="4">
        <v>43947.1775</v>
      </c>
      <c r="I1358" t="s">
        <v>50</v>
      </c>
      <c r="J1358" s="5">
        <v>.9999999999999999999999999999999999999996</v>
      </c>
      <c r="K1358" t="s">
        <v>38</v>
      </c>
      <c r="M1358">
        <v>60473</v>
      </c>
      <c r="N1358" t="s">
        <v>193</v>
      </c>
      <c r="O1358" t="s">
        <v>194</v>
      </c>
      <c r="P1358" t="s">
        <v>38</v>
      </c>
      <c r="Q1358" t="s">
        <v>50</v>
      </c>
      <c r="R1358">
        <v>.9999999999999999999999999999999999999996</v>
      </c>
      <c r="S1358" t="s">
        <v>45</v>
      </c>
      <c r="T1358" t="str" s="2">
        <f>=HYPERLINK("http://demo.enginatics.com:80/ecc/user/applications/log/60472.log","http://demo.enginatics.com:80/ecc/user/applications/log/60472.log")</f>
        <v>"http://demo.enginatics.com:80/ecc/user/applications/log/60472.log")</v>
      </c>
      <c r="U1358">
        <v>60474</v>
      </c>
      <c r="V1358" t="s">
        <v>38</v>
      </c>
      <c r="W1358" t="s">
        <v>50</v>
      </c>
      <c r="X1358">
        <v>.9999999999999999999999999999999999999996</v>
      </c>
      <c r="Y1358">
        <v>0</v>
      </c>
      <c r="Z1358" t="s">
        <v>46</v>
      </c>
      <c r="AA1358">
        <v>60475</v>
      </c>
      <c r="AB1358" t="s">
        <v>195</v>
      </c>
      <c r="AC1358" t="s">
        <v>68</v>
      </c>
      <c r="AD1358" t="s">
        <v>38</v>
      </c>
      <c r="AE1358" t="s">
        <v>49</v>
      </c>
      <c r="AF1358" t="s">
        <v>50</v>
      </c>
      <c r="AG1358">
        <v>0</v>
      </c>
      <c r="AH1358">
        <v>0</v>
      </c>
      <c r="AI1358" t="s">
        <v>51</v>
      </c>
      <c r="AJ1358" t="s">
        <v>51</v>
      </c>
      <c r="AK1358" t="s">
        <v>51</v>
      </c>
    </row>
    <row r="1359" spans="1:37" x14ac:dyDescent="0.2">
      <c r="A1359">
        <v>60469</v>
      </c>
      <c r="B1359" t="s">
        <v>37</v>
      </c>
      <c r="C1359" t="s">
        <v>196</v>
      </c>
      <c r="D1359" t="s">
        <v>169</v>
      </c>
      <c r="E1359" t="s">
        <v>197</v>
      </c>
      <c r="G1359" s="4">
        <v>43947.177384259259</v>
      </c>
      <c r="H1359" s="4">
        <v>43947.177453703704</v>
      </c>
      <c r="I1359" t="s">
        <v>75</v>
      </c>
      <c r="J1359" s="5">
        <v>6</v>
      </c>
      <c r="K1359" t="s">
        <v>196</v>
      </c>
      <c r="M1359">
        <v>60470</v>
      </c>
      <c r="N1359" t="s">
        <v>197</v>
      </c>
      <c r="O1359" t="s">
        <v>198</v>
      </c>
      <c r="P1359" t="s">
        <v>196</v>
      </c>
      <c r="Q1359" t="s">
        <v>78</v>
      </c>
      <c r="R1359">
        <v>5</v>
      </c>
      <c r="S1359" t="s">
        <v>199</v>
      </c>
      <c r="T1359" t="str" s="2">
        <f>=HYPERLINK("http://demo.enginatics.com:80/ecc/user/applications/log/60469.log","http://demo.enginatics.com:80/ecc/user/applications/log/60469.log")</f>
        <v>"http://demo.enginatics.com:80/ecc/user/applications/log/60469.log")</v>
      </c>
      <c r="U1359">
        <v>60471</v>
      </c>
      <c r="V1359" t="s">
        <v>196</v>
      </c>
      <c r="W1359" t="s">
        <v>44</v>
      </c>
      <c r="X1359">
        <v>4</v>
      </c>
      <c r="Y1359">
        <v>0</v>
      </c>
      <c r="Z1359" t="s">
        <v>1395</v>
      </c>
    </row>
    <row r="1360" spans="1:37" x14ac:dyDescent="0.2">
      <c r="A1360">
        <v>60465</v>
      </c>
      <c r="B1360" t="s">
        <v>37</v>
      </c>
      <c r="C1360" t="s">
        <v>38</v>
      </c>
      <c r="D1360" t="s">
        <v>169</v>
      </c>
      <c r="E1360" t="s">
        <v>201</v>
      </c>
      <c r="G1360" s="4">
        <v>43947.17369212963</v>
      </c>
      <c r="H1360" s="4">
        <v>43947.173703703704</v>
      </c>
      <c r="I1360" t="s">
        <v>50</v>
      </c>
      <c r="J1360" s="5">
        <v>.9999999999999999999999999999999999999996</v>
      </c>
      <c r="K1360" t="s">
        <v>38</v>
      </c>
      <c r="M1360">
        <v>60466</v>
      </c>
      <c r="N1360" t="s">
        <v>201</v>
      </c>
      <c r="O1360" t="s">
        <v>202</v>
      </c>
      <c r="P1360" t="s">
        <v>38</v>
      </c>
      <c r="Q1360" t="s">
        <v>50</v>
      </c>
      <c r="R1360">
        <v>.9999999999999999999999999999999999999996</v>
      </c>
      <c r="S1360" t="s">
        <v>45</v>
      </c>
      <c r="T1360" t="str" s="2">
        <f>=HYPERLINK("http://demo.enginatics.com:80/ecc/user/applications/log/60465.log","http://demo.enginatics.com:80/ecc/user/applications/log/60465.log")</f>
        <v>"http://demo.enginatics.com:80/ecc/user/applications/log/60465.log")</v>
      </c>
      <c r="U1360">
        <v>60467</v>
      </c>
      <c r="V1360" t="s">
        <v>38</v>
      </c>
      <c r="W1360" t="s">
        <v>50</v>
      </c>
      <c r="X1360">
        <v>.9999999999999999999999999999999999999996</v>
      </c>
      <c r="Y1360">
        <v>0</v>
      </c>
      <c r="Z1360" t="s">
        <v>46</v>
      </c>
      <c r="AA1360">
        <v>60468</v>
      </c>
      <c r="AB1360" t="s">
        <v>1396</v>
      </c>
      <c r="AC1360" t="s">
        <v>68</v>
      </c>
      <c r="AD1360" t="s">
        <v>38</v>
      </c>
      <c r="AE1360" t="s">
        <v>49</v>
      </c>
      <c r="AF1360" t="s">
        <v>50</v>
      </c>
      <c r="AG1360">
        <v>.9999999999999999999999999999999999999996</v>
      </c>
      <c r="AH1360">
        <v>0</v>
      </c>
      <c r="AI1360" t="s">
        <v>51</v>
      </c>
      <c r="AJ1360" t="s">
        <v>51</v>
      </c>
      <c r="AK1360" t="s">
        <v>51</v>
      </c>
    </row>
    <row r="1361" spans="1:37" x14ac:dyDescent="0.2">
      <c r="A1361">
        <v>60460</v>
      </c>
      <c r="B1361" t="s">
        <v>37</v>
      </c>
      <c r="C1361" t="s">
        <v>38</v>
      </c>
      <c r="D1361" t="s">
        <v>169</v>
      </c>
      <c r="E1361" t="s">
        <v>204</v>
      </c>
      <c r="G1361" s="4">
        <v>43947.173460648148</v>
      </c>
      <c r="H1361" s="4">
        <v>43947.173541666667</v>
      </c>
      <c r="I1361" t="s">
        <v>247</v>
      </c>
      <c r="J1361" s="5">
        <v>7</v>
      </c>
      <c r="K1361" t="s">
        <v>38</v>
      </c>
      <c r="M1361">
        <v>60461</v>
      </c>
      <c r="N1361" t="s">
        <v>204</v>
      </c>
      <c r="O1361" t="s">
        <v>205</v>
      </c>
      <c r="P1361" t="s">
        <v>38</v>
      </c>
      <c r="Q1361" t="s">
        <v>247</v>
      </c>
      <c r="R1361">
        <v>7</v>
      </c>
      <c r="S1361" t="s">
        <v>45</v>
      </c>
      <c r="T1361" t="str" s="2">
        <f>=HYPERLINK("http://demo.enginatics.com:80/ecc/user/applications/log/60460.log","http://demo.enginatics.com:80/ecc/user/applications/log/60460.log")</f>
        <v>"http://demo.enginatics.com:80/ecc/user/applications/log/60460.log")</v>
      </c>
      <c r="U1361">
        <v>60462</v>
      </c>
      <c r="V1361" t="s">
        <v>38</v>
      </c>
      <c r="W1361" t="s">
        <v>247</v>
      </c>
      <c r="X1361">
        <v>7</v>
      </c>
      <c r="Y1361">
        <v>1</v>
      </c>
      <c r="Z1361" t="s">
        <v>46</v>
      </c>
      <c r="AA1361">
        <v>60464</v>
      </c>
      <c r="AB1361" t="s">
        <v>206</v>
      </c>
      <c r="AC1361" t="s">
        <v>68</v>
      </c>
      <c r="AD1361" t="s">
        <v>38</v>
      </c>
      <c r="AE1361" t="s">
        <v>49</v>
      </c>
      <c r="AF1361" t="s">
        <v>44</v>
      </c>
      <c r="AG1361">
        <v>4</v>
      </c>
      <c r="AH1361">
        <v>0</v>
      </c>
      <c r="AI1361" t="s">
        <v>51</v>
      </c>
      <c r="AJ1361" t="s">
        <v>51</v>
      </c>
      <c r="AK1361" t="s">
        <v>51</v>
      </c>
    </row>
    <row r="1362" spans="1:37" x14ac:dyDescent="0.2">
      <c r="A1362">
        <v>60460</v>
      </c>
      <c r="B1362" t="s">
        <v>37</v>
      </c>
      <c r="C1362" t="s">
        <v>38</v>
      </c>
      <c r="D1362" t="s">
        <v>169</v>
      </c>
      <c r="E1362" t="s">
        <v>204</v>
      </c>
      <c r="G1362" s="4">
        <v>43947.173460648148</v>
      </c>
      <c r="H1362" s="4">
        <v>43947.173541666667</v>
      </c>
      <c r="I1362" t="s">
        <v>247</v>
      </c>
      <c r="J1362" s="5">
        <v>7</v>
      </c>
      <c r="K1362" t="s">
        <v>38</v>
      </c>
      <c r="M1362">
        <v>60461</v>
      </c>
      <c r="N1362" t="s">
        <v>204</v>
      </c>
      <c r="O1362" t="s">
        <v>205</v>
      </c>
      <c r="P1362" t="s">
        <v>38</v>
      </c>
      <c r="Q1362" t="s">
        <v>247</v>
      </c>
      <c r="R1362">
        <v>7</v>
      </c>
      <c r="S1362" t="s">
        <v>45</v>
      </c>
      <c r="T1362" t="str" s="2">
        <f>=HYPERLINK("http://demo.enginatics.com:80/ecc/user/applications/log/60460.log","http://demo.enginatics.com:80/ecc/user/applications/log/60460.log")</f>
        <v>"http://demo.enginatics.com:80/ecc/user/applications/log/60460.log")</v>
      </c>
      <c r="U1362">
        <v>60462</v>
      </c>
      <c r="V1362" t="s">
        <v>38</v>
      </c>
      <c r="W1362" t="s">
        <v>247</v>
      </c>
      <c r="X1362">
        <v>7</v>
      </c>
      <c r="Y1362">
        <v>1</v>
      </c>
      <c r="Z1362" t="s">
        <v>46</v>
      </c>
      <c r="AA1362">
        <v>60463</v>
      </c>
      <c r="AB1362" t="s">
        <v>207</v>
      </c>
      <c r="AC1362" t="s">
        <v>56</v>
      </c>
      <c r="AD1362" t="s">
        <v>38</v>
      </c>
      <c r="AE1362" t="s">
        <v>49</v>
      </c>
      <c r="AF1362" t="s">
        <v>88</v>
      </c>
      <c r="AG1362">
        <v>2</v>
      </c>
      <c r="AH1362">
        <v>1</v>
      </c>
      <c r="AI1362" t="s">
        <v>51</v>
      </c>
      <c r="AJ1362" t="s">
        <v>51</v>
      </c>
      <c r="AK1362" t="s">
        <v>51</v>
      </c>
    </row>
    <row r="1363" spans="1:37" x14ac:dyDescent="0.2">
      <c r="A1363">
        <v>60455</v>
      </c>
      <c r="B1363" t="s">
        <v>37</v>
      </c>
      <c r="C1363" t="s">
        <v>38</v>
      </c>
      <c r="D1363" t="s">
        <v>169</v>
      </c>
      <c r="E1363" t="s">
        <v>208</v>
      </c>
      <c r="G1363" s="4">
        <v>43947.173344907407</v>
      </c>
      <c r="H1363" s="4">
        <v>43947.173356481481</v>
      </c>
      <c r="I1363" t="s">
        <v>50</v>
      </c>
      <c r="J1363" s="5">
        <v>.9999999999999999999999999999999999999996</v>
      </c>
      <c r="K1363" t="s">
        <v>38</v>
      </c>
      <c r="M1363">
        <v>60456</v>
      </c>
      <c r="N1363" t="s">
        <v>208</v>
      </c>
      <c r="O1363" t="s">
        <v>209</v>
      </c>
      <c r="P1363" t="s">
        <v>38</v>
      </c>
      <c r="Q1363" t="s">
        <v>50</v>
      </c>
      <c r="R1363">
        <v>.9999999999999999999999999999999999999996</v>
      </c>
      <c r="S1363" t="s">
        <v>45</v>
      </c>
      <c r="T1363" t="str" s="2">
        <f>=HYPERLINK("http://demo.enginatics.com:80/ecc/user/applications/log/60455.log","http://demo.enginatics.com:80/ecc/user/applications/log/60455.log")</f>
        <v>"http://demo.enginatics.com:80/ecc/user/applications/log/60455.log")</v>
      </c>
      <c r="U1363">
        <v>60457</v>
      </c>
      <c r="V1363" t="s">
        <v>38</v>
      </c>
      <c r="W1363" t="s">
        <v>50</v>
      </c>
      <c r="X1363">
        <v>0</v>
      </c>
      <c r="Y1363">
        <v>0</v>
      </c>
      <c r="Z1363" t="s">
        <v>46</v>
      </c>
      <c r="AA1363">
        <v>60459</v>
      </c>
      <c r="AB1363" t="s">
        <v>210</v>
      </c>
      <c r="AC1363" t="s">
        <v>48</v>
      </c>
      <c r="AD1363" t="s">
        <v>38</v>
      </c>
      <c r="AE1363" t="s">
        <v>49</v>
      </c>
      <c r="AF1363" t="s">
        <v>50</v>
      </c>
      <c r="AG1363">
        <v>0</v>
      </c>
      <c r="AH1363">
        <v>0</v>
      </c>
      <c r="AI1363" t="s">
        <v>51</v>
      </c>
      <c r="AJ1363" t="s">
        <v>51</v>
      </c>
      <c r="AK1363" t="s">
        <v>51</v>
      </c>
    </row>
    <row r="1364" spans="1:37" x14ac:dyDescent="0.2">
      <c r="A1364">
        <v>60455</v>
      </c>
      <c r="B1364" t="s">
        <v>37</v>
      </c>
      <c r="C1364" t="s">
        <v>38</v>
      </c>
      <c r="D1364" t="s">
        <v>169</v>
      </c>
      <c r="E1364" t="s">
        <v>208</v>
      </c>
      <c r="G1364" s="4">
        <v>43947.173344907407</v>
      </c>
      <c r="H1364" s="4">
        <v>43947.173356481481</v>
      </c>
      <c r="I1364" t="s">
        <v>50</v>
      </c>
      <c r="J1364" s="5">
        <v>.9999999999999999999999999999999999999996</v>
      </c>
      <c r="K1364" t="s">
        <v>38</v>
      </c>
      <c r="M1364">
        <v>60456</v>
      </c>
      <c r="N1364" t="s">
        <v>208</v>
      </c>
      <c r="O1364" t="s">
        <v>209</v>
      </c>
      <c r="P1364" t="s">
        <v>38</v>
      </c>
      <c r="Q1364" t="s">
        <v>50</v>
      </c>
      <c r="R1364">
        <v>.9999999999999999999999999999999999999996</v>
      </c>
      <c r="S1364" t="s">
        <v>45</v>
      </c>
      <c r="T1364" t="str" s="2">
        <f>=HYPERLINK("http://demo.enginatics.com:80/ecc/user/applications/log/60455.log","http://demo.enginatics.com:80/ecc/user/applications/log/60455.log")</f>
        <v>"http://demo.enginatics.com:80/ecc/user/applications/log/60455.log")</v>
      </c>
      <c r="U1364">
        <v>60457</v>
      </c>
      <c r="V1364" t="s">
        <v>38</v>
      </c>
      <c r="W1364" t="s">
        <v>50</v>
      </c>
      <c r="X1364">
        <v>0</v>
      </c>
      <c r="Y1364">
        <v>0</v>
      </c>
      <c r="Z1364" t="s">
        <v>46</v>
      </c>
      <c r="AA1364">
        <v>60458</v>
      </c>
      <c r="AB1364" t="s">
        <v>211</v>
      </c>
      <c r="AC1364" t="s">
        <v>56</v>
      </c>
      <c r="AD1364" t="s">
        <v>38</v>
      </c>
      <c r="AE1364" t="s">
        <v>49</v>
      </c>
      <c r="AF1364" t="s">
        <v>50</v>
      </c>
      <c r="AG1364">
        <v>0</v>
      </c>
      <c r="AH1364">
        <v>0</v>
      </c>
      <c r="AI1364" t="s">
        <v>51</v>
      </c>
      <c r="AJ1364" t="s">
        <v>51</v>
      </c>
      <c r="AK1364" t="s">
        <v>51</v>
      </c>
    </row>
    <row r="1365" spans="1:37" x14ac:dyDescent="0.2">
      <c r="A1365">
        <v>60451</v>
      </c>
      <c r="B1365" t="s">
        <v>37</v>
      </c>
      <c r="C1365" t="s">
        <v>38</v>
      </c>
      <c r="D1365" t="s">
        <v>169</v>
      </c>
      <c r="E1365" t="s">
        <v>212</v>
      </c>
      <c r="G1365" s="4">
        <v>43947.17318287037</v>
      </c>
      <c r="H1365" s="4">
        <v>43947.173206018519</v>
      </c>
      <c r="I1365" t="s">
        <v>88</v>
      </c>
      <c r="J1365" s="5">
        <v>2</v>
      </c>
      <c r="K1365" t="s">
        <v>38</v>
      </c>
      <c r="M1365">
        <v>60452</v>
      </c>
      <c r="N1365" t="s">
        <v>212</v>
      </c>
      <c r="O1365" t="s">
        <v>213</v>
      </c>
      <c r="P1365" t="s">
        <v>38</v>
      </c>
      <c r="Q1365" t="s">
        <v>88</v>
      </c>
      <c r="R1365">
        <v>2</v>
      </c>
      <c r="S1365" t="s">
        <v>45</v>
      </c>
      <c r="T1365" t="str" s="2">
        <f>=HYPERLINK("http://demo.enginatics.com:80/ecc/user/applications/log/60451.log","http://demo.enginatics.com:80/ecc/user/applications/log/60451.log")</f>
        <v>"http://demo.enginatics.com:80/ecc/user/applications/log/60451.log")</v>
      </c>
      <c r="U1365">
        <v>60453</v>
      </c>
      <c r="V1365" t="s">
        <v>38</v>
      </c>
      <c r="W1365" t="s">
        <v>50</v>
      </c>
      <c r="X1365">
        <v>0</v>
      </c>
      <c r="Y1365">
        <v>0</v>
      </c>
      <c r="Z1365" t="s">
        <v>46</v>
      </c>
      <c r="AA1365">
        <v>60454</v>
      </c>
      <c r="AB1365" t="s">
        <v>1397</v>
      </c>
      <c r="AC1365" t="s">
        <v>68</v>
      </c>
      <c r="AD1365" t="s">
        <v>38</v>
      </c>
      <c r="AE1365" t="s">
        <v>49</v>
      </c>
      <c r="AF1365" t="s">
        <v>50</v>
      </c>
      <c r="AG1365">
        <v>0</v>
      </c>
      <c r="AH1365">
        <v>0</v>
      </c>
      <c r="AI1365" t="s">
        <v>51</v>
      </c>
      <c r="AJ1365" t="s">
        <v>51</v>
      </c>
      <c r="AK1365" t="s">
        <v>51</v>
      </c>
    </row>
    <row r="1366" spans="1:37" x14ac:dyDescent="0.2">
      <c r="A1366">
        <v>60446</v>
      </c>
      <c r="B1366" t="s">
        <v>37</v>
      </c>
      <c r="C1366" t="s">
        <v>38</v>
      </c>
      <c r="D1366" t="s">
        <v>169</v>
      </c>
      <c r="E1366" t="s">
        <v>215</v>
      </c>
      <c r="G1366" s="4">
        <v>43947.173055555556</v>
      </c>
      <c r="H1366" s="4">
        <v>43947.17306712963</v>
      </c>
      <c r="I1366" t="s">
        <v>50</v>
      </c>
      <c r="J1366" s="5">
        <v>.9999999999999999999999999999999999999996</v>
      </c>
      <c r="K1366" t="s">
        <v>38</v>
      </c>
      <c r="M1366">
        <v>60447</v>
      </c>
      <c r="N1366" t="s">
        <v>215</v>
      </c>
      <c r="O1366" t="s">
        <v>216</v>
      </c>
      <c r="P1366" t="s">
        <v>38</v>
      </c>
      <c r="Q1366" t="s">
        <v>50</v>
      </c>
      <c r="R1366">
        <v>0</v>
      </c>
      <c r="S1366" t="s">
        <v>45</v>
      </c>
      <c r="T1366" t="str" s="2">
        <f>=HYPERLINK("http://demo.enginatics.com:80/ecc/user/applications/log/60446.log","http://demo.enginatics.com:80/ecc/user/applications/log/60446.log")</f>
        <v>"http://demo.enginatics.com:80/ecc/user/applications/log/60446.log")</v>
      </c>
      <c r="U1366">
        <v>60448</v>
      </c>
      <c r="V1366" t="s">
        <v>38</v>
      </c>
      <c r="W1366" t="s">
        <v>50</v>
      </c>
      <c r="X1366">
        <v>0</v>
      </c>
      <c r="Y1366">
        <v>0</v>
      </c>
      <c r="Z1366" t="s">
        <v>46</v>
      </c>
      <c r="AA1366">
        <v>60450</v>
      </c>
      <c r="AB1366" t="s">
        <v>217</v>
      </c>
      <c r="AC1366" t="s">
        <v>48</v>
      </c>
      <c r="AD1366" t="s">
        <v>38</v>
      </c>
      <c r="AE1366" t="s">
        <v>49</v>
      </c>
      <c r="AF1366" t="s">
        <v>50</v>
      </c>
      <c r="AG1366">
        <v>0</v>
      </c>
      <c r="AH1366">
        <v>0</v>
      </c>
      <c r="AI1366" t="s">
        <v>51</v>
      </c>
      <c r="AJ1366" t="s">
        <v>51</v>
      </c>
      <c r="AK1366" t="s">
        <v>51</v>
      </c>
    </row>
    <row r="1367" spans="1:37" x14ac:dyDescent="0.2">
      <c r="A1367">
        <v>60446</v>
      </c>
      <c r="B1367" t="s">
        <v>37</v>
      </c>
      <c r="C1367" t="s">
        <v>38</v>
      </c>
      <c r="D1367" t="s">
        <v>169</v>
      </c>
      <c r="E1367" t="s">
        <v>215</v>
      </c>
      <c r="G1367" s="4">
        <v>43947.173055555556</v>
      </c>
      <c r="H1367" s="4">
        <v>43947.17306712963</v>
      </c>
      <c r="I1367" t="s">
        <v>50</v>
      </c>
      <c r="J1367" s="5">
        <v>.9999999999999999999999999999999999999996</v>
      </c>
      <c r="K1367" t="s">
        <v>38</v>
      </c>
      <c r="M1367">
        <v>60447</v>
      </c>
      <c r="N1367" t="s">
        <v>215</v>
      </c>
      <c r="O1367" t="s">
        <v>216</v>
      </c>
      <c r="P1367" t="s">
        <v>38</v>
      </c>
      <c r="Q1367" t="s">
        <v>50</v>
      </c>
      <c r="R1367">
        <v>0</v>
      </c>
      <c r="S1367" t="s">
        <v>45</v>
      </c>
      <c r="T1367" t="str" s="2">
        <f>=HYPERLINK("http://demo.enginatics.com:80/ecc/user/applications/log/60446.log","http://demo.enginatics.com:80/ecc/user/applications/log/60446.log")</f>
        <v>"http://demo.enginatics.com:80/ecc/user/applications/log/60446.log")</v>
      </c>
      <c r="U1367">
        <v>60448</v>
      </c>
      <c r="V1367" t="s">
        <v>38</v>
      </c>
      <c r="W1367" t="s">
        <v>50</v>
      </c>
      <c r="X1367">
        <v>0</v>
      </c>
      <c r="Y1367">
        <v>0</v>
      </c>
      <c r="Z1367" t="s">
        <v>46</v>
      </c>
      <c r="AA1367">
        <v>60449</v>
      </c>
      <c r="AB1367" t="s">
        <v>218</v>
      </c>
      <c r="AC1367" t="s">
        <v>56</v>
      </c>
      <c r="AD1367" t="s">
        <v>38</v>
      </c>
      <c r="AE1367" t="s">
        <v>49</v>
      </c>
      <c r="AF1367" t="s">
        <v>50</v>
      </c>
      <c r="AG1367">
        <v>0</v>
      </c>
      <c r="AH1367">
        <v>0</v>
      </c>
      <c r="AI1367" t="s">
        <v>51</v>
      </c>
      <c r="AJ1367" t="s">
        <v>51</v>
      </c>
      <c r="AK1367" t="s">
        <v>51</v>
      </c>
    </row>
    <row r="1368" spans="1:37" x14ac:dyDescent="0.2">
      <c r="A1368">
        <v>60441</v>
      </c>
      <c r="B1368" t="s">
        <v>37</v>
      </c>
      <c r="C1368" t="s">
        <v>38</v>
      </c>
      <c r="D1368" t="s">
        <v>169</v>
      </c>
      <c r="E1368" t="s">
        <v>219</v>
      </c>
      <c r="G1368" s="4">
        <v>43947.172673611111</v>
      </c>
      <c r="H1368" s="4">
        <v>43947.172939814815</v>
      </c>
      <c r="I1368" t="s">
        <v>183</v>
      </c>
      <c r="J1368" s="5">
        <v>23.00000000000000000000000000000000000003</v>
      </c>
      <c r="K1368" t="s">
        <v>38</v>
      </c>
      <c r="M1368">
        <v>60442</v>
      </c>
      <c r="N1368" t="s">
        <v>219</v>
      </c>
      <c r="O1368" t="s">
        <v>220</v>
      </c>
      <c r="P1368" t="s">
        <v>38</v>
      </c>
      <c r="Q1368" t="s">
        <v>183</v>
      </c>
      <c r="R1368">
        <v>23.00000000000000000000000000000000000003</v>
      </c>
      <c r="S1368" t="s">
        <v>45</v>
      </c>
      <c r="T1368" t="str" s="2">
        <f>=HYPERLINK("http://demo.enginatics.com:80/ecc/user/applications/log/60441.log","http://demo.enginatics.com:80/ecc/user/applications/log/60441.log")</f>
        <v>"http://demo.enginatics.com:80/ecc/user/applications/log/60441.log")</v>
      </c>
      <c r="U1368">
        <v>60443</v>
      </c>
      <c r="V1368" t="s">
        <v>38</v>
      </c>
      <c r="W1368" t="s">
        <v>183</v>
      </c>
      <c r="X1368">
        <v>23.00000000000000000000000000000000000003</v>
      </c>
      <c r="Y1368">
        <v>22</v>
      </c>
      <c r="Z1368" t="s">
        <v>46</v>
      </c>
      <c r="AA1368">
        <v>60445</v>
      </c>
      <c r="AB1368" t="s">
        <v>221</v>
      </c>
      <c r="AC1368" t="s">
        <v>48</v>
      </c>
      <c r="AD1368" t="s">
        <v>38</v>
      </c>
      <c r="AE1368" t="s">
        <v>49</v>
      </c>
      <c r="AF1368" t="s">
        <v>50</v>
      </c>
      <c r="AG1368">
        <v>0</v>
      </c>
      <c r="AH1368">
        <v>0</v>
      </c>
      <c r="AI1368" t="s">
        <v>51</v>
      </c>
      <c r="AJ1368" t="s">
        <v>51</v>
      </c>
      <c r="AK1368" t="s">
        <v>51</v>
      </c>
    </row>
    <row r="1369" spans="1:37" x14ac:dyDescent="0.2">
      <c r="A1369">
        <v>60441</v>
      </c>
      <c r="B1369" t="s">
        <v>37</v>
      </c>
      <c r="C1369" t="s">
        <v>38</v>
      </c>
      <c r="D1369" t="s">
        <v>169</v>
      </c>
      <c r="E1369" t="s">
        <v>219</v>
      </c>
      <c r="G1369" s="4">
        <v>43947.172673611111</v>
      </c>
      <c r="H1369" s="4">
        <v>43947.172939814815</v>
      </c>
      <c r="I1369" t="s">
        <v>183</v>
      </c>
      <c r="J1369" s="5">
        <v>23.00000000000000000000000000000000000003</v>
      </c>
      <c r="K1369" t="s">
        <v>38</v>
      </c>
      <c r="M1369">
        <v>60442</v>
      </c>
      <c r="N1369" t="s">
        <v>219</v>
      </c>
      <c r="O1369" t="s">
        <v>220</v>
      </c>
      <c r="P1369" t="s">
        <v>38</v>
      </c>
      <c r="Q1369" t="s">
        <v>183</v>
      </c>
      <c r="R1369">
        <v>23.00000000000000000000000000000000000003</v>
      </c>
      <c r="S1369" t="s">
        <v>45</v>
      </c>
      <c r="T1369" t="str" s="2">
        <f>=HYPERLINK("http://demo.enginatics.com:80/ecc/user/applications/log/60441.log","http://demo.enginatics.com:80/ecc/user/applications/log/60441.log")</f>
        <v>"http://demo.enginatics.com:80/ecc/user/applications/log/60441.log")</v>
      </c>
      <c r="U1369">
        <v>60443</v>
      </c>
      <c r="V1369" t="s">
        <v>38</v>
      </c>
      <c r="W1369" t="s">
        <v>183</v>
      </c>
      <c r="X1369">
        <v>23.00000000000000000000000000000000000003</v>
      </c>
      <c r="Y1369">
        <v>22</v>
      </c>
      <c r="Z1369" t="s">
        <v>46</v>
      </c>
      <c r="AA1369">
        <v>60444</v>
      </c>
      <c r="AB1369" t="s">
        <v>222</v>
      </c>
      <c r="AC1369" t="s">
        <v>56</v>
      </c>
      <c r="AD1369" t="s">
        <v>38</v>
      </c>
      <c r="AE1369" t="s">
        <v>49</v>
      </c>
      <c r="AF1369" t="s">
        <v>50</v>
      </c>
      <c r="AG1369">
        <v>0</v>
      </c>
      <c r="AH1369">
        <v>0</v>
      </c>
      <c r="AI1369" t="s">
        <v>51</v>
      </c>
      <c r="AJ1369" t="s">
        <v>51</v>
      </c>
      <c r="AK1369" t="s">
        <v>51</v>
      </c>
    </row>
    <row r="1370" spans="1:37" x14ac:dyDescent="0.2">
      <c r="A1370">
        <v>60437</v>
      </c>
      <c r="B1370" t="s">
        <v>37</v>
      </c>
      <c r="C1370" t="s">
        <v>38</v>
      </c>
      <c r="D1370" t="s">
        <v>169</v>
      </c>
      <c r="E1370" t="s">
        <v>223</v>
      </c>
      <c r="G1370" s="4">
        <v>43947.172291666667</v>
      </c>
      <c r="H1370" s="4">
        <v>43947.172303240741</v>
      </c>
      <c r="I1370" t="s">
        <v>50</v>
      </c>
      <c r="J1370" s="5">
        <v>.9999999999999999999999999999999999999996</v>
      </c>
      <c r="K1370" t="s">
        <v>38</v>
      </c>
      <c r="M1370">
        <v>60438</v>
      </c>
      <c r="N1370" t="s">
        <v>223</v>
      </c>
      <c r="O1370" t="s">
        <v>224</v>
      </c>
      <c r="P1370" t="s">
        <v>38</v>
      </c>
      <c r="Q1370" t="s">
        <v>50</v>
      </c>
      <c r="R1370">
        <v>.9999999999999999999999999999999999999996</v>
      </c>
      <c r="S1370" t="s">
        <v>45</v>
      </c>
      <c r="T1370" t="str" s="2">
        <f>=HYPERLINK("http://demo.enginatics.com:80/ecc/user/applications/log/60437.log","http://demo.enginatics.com:80/ecc/user/applications/log/60437.log")</f>
        <v>"http://demo.enginatics.com:80/ecc/user/applications/log/60437.log")</v>
      </c>
      <c r="U1370">
        <v>60439</v>
      </c>
      <c r="V1370" t="s">
        <v>38</v>
      </c>
      <c r="W1370" t="s">
        <v>50</v>
      </c>
      <c r="X1370">
        <v>.9999999999999999999999999999999999999996</v>
      </c>
      <c r="Y1370">
        <v>0</v>
      </c>
      <c r="Z1370" t="s">
        <v>46</v>
      </c>
      <c r="AA1370">
        <v>60440</v>
      </c>
      <c r="AB1370" t="s">
        <v>225</v>
      </c>
      <c r="AC1370" t="s">
        <v>68</v>
      </c>
      <c r="AD1370" t="s">
        <v>38</v>
      </c>
      <c r="AE1370" t="s">
        <v>49</v>
      </c>
      <c r="AF1370" t="s">
        <v>50</v>
      </c>
      <c r="AG1370">
        <v>0</v>
      </c>
      <c r="AH1370">
        <v>0</v>
      </c>
      <c r="AI1370" t="s">
        <v>51</v>
      </c>
      <c r="AJ1370" t="s">
        <v>51</v>
      </c>
      <c r="AK1370" t="s">
        <v>51</v>
      </c>
    </row>
    <row r="1371" spans="1:37" x14ac:dyDescent="0.2">
      <c r="A1371">
        <v>60433</v>
      </c>
      <c r="B1371" t="s">
        <v>37</v>
      </c>
      <c r="C1371" t="s">
        <v>38</v>
      </c>
      <c r="D1371" t="s">
        <v>169</v>
      </c>
      <c r="E1371" t="s">
        <v>226</v>
      </c>
      <c r="G1371" s="4">
        <v>43947.17212962963</v>
      </c>
      <c r="H1371" s="4">
        <v>43947.172141203704</v>
      </c>
      <c r="I1371" t="s">
        <v>50</v>
      </c>
      <c r="J1371" s="5">
        <v>.9999999999999999999999999999999999999996</v>
      </c>
      <c r="K1371" t="s">
        <v>38</v>
      </c>
      <c r="M1371">
        <v>60434</v>
      </c>
      <c r="N1371" t="s">
        <v>226</v>
      </c>
      <c r="O1371" t="s">
        <v>227</v>
      </c>
      <c r="P1371" t="s">
        <v>38</v>
      </c>
      <c r="Q1371" t="s">
        <v>50</v>
      </c>
      <c r="R1371">
        <v>.9999999999999999999999999999999999999996</v>
      </c>
      <c r="S1371" t="s">
        <v>45</v>
      </c>
      <c r="T1371" t="str" s="2">
        <f>=HYPERLINK("http://demo.enginatics.com:80/ecc/user/applications/log/60433.log","http://demo.enginatics.com:80/ecc/user/applications/log/60433.log")</f>
        <v>"http://demo.enginatics.com:80/ecc/user/applications/log/60433.log")</v>
      </c>
      <c r="U1371">
        <v>60435</v>
      </c>
      <c r="V1371" t="s">
        <v>38</v>
      </c>
      <c r="W1371" t="s">
        <v>50</v>
      </c>
      <c r="X1371">
        <v>.9999999999999999999999999999999999999996</v>
      </c>
      <c r="Y1371">
        <v>0</v>
      </c>
      <c r="Z1371" t="s">
        <v>46</v>
      </c>
      <c r="AA1371">
        <v>60436</v>
      </c>
      <c r="AB1371" t="s">
        <v>228</v>
      </c>
      <c r="AC1371" t="s">
        <v>68</v>
      </c>
      <c r="AD1371" t="s">
        <v>38</v>
      </c>
      <c r="AE1371" t="s">
        <v>49</v>
      </c>
      <c r="AF1371" t="s">
        <v>50</v>
      </c>
      <c r="AG1371">
        <v>.9999999999999999999999999999999999999996</v>
      </c>
      <c r="AH1371">
        <v>0</v>
      </c>
      <c r="AI1371" t="s">
        <v>51</v>
      </c>
      <c r="AJ1371" t="s">
        <v>51</v>
      </c>
      <c r="AK1371" t="s">
        <v>51</v>
      </c>
    </row>
    <row r="1372" spans="1:37" x14ac:dyDescent="0.2">
      <c r="A1372">
        <v>60429</v>
      </c>
      <c r="B1372" t="s">
        <v>37</v>
      </c>
      <c r="C1372" t="s">
        <v>38</v>
      </c>
      <c r="D1372" t="s">
        <v>169</v>
      </c>
      <c r="E1372" t="s">
        <v>229</v>
      </c>
      <c r="G1372" s="4">
        <v>43947.172013888889</v>
      </c>
      <c r="H1372" s="4">
        <v>43947.172025462963</v>
      </c>
      <c r="I1372" t="s">
        <v>50</v>
      </c>
      <c r="J1372" s="5">
        <v>.9999999999999999999999999999999999999996</v>
      </c>
      <c r="K1372" t="s">
        <v>38</v>
      </c>
      <c r="M1372">
        <v>60430</v>
      </c>
      <c r="N1372" t="s">
        <v>229</v>
      </c>
      <c r="O1372" t="s">
        <v>230</v>
      </c>
      <c r="P1372" t="s">
        <v>38</v>
      </c>
      <c r="Q1372" t="s">
        <v>50</v>
      </c>
      <c r="R1372">
        <v>.9999999999999999999999999999999999999996</v>
      </c>
      <c r="S1372" t="s">
        <v>45</v>
      </c>
      <c r="T1372" t="str" s="2">
        <f>=HYPERLINK("http://demo.enginatics.com:80/ecc/user/applications/log/60429.log","http://demo.enginatics.com:80/ecc/user/applications/log/60429.log")</f>
        <v>"http://demo.enginatics.com:80/ecc/user/applications/log/60429.log")</v>
      </c>
      <c r="U1372">
        <v>60431</v>
      </c>
      <c r="V1372" t="s">
        <v>38</v>
      </c>
      <c r="W1372" t="s">
        <v>50</v>
      </c>
      <c r="X1372">
        <v>.9999999999999999999999999999999999999996</v>
      </c>
      <c r="Y1372">
        <v>0</v>
      </c>
      <c r="Z1372" t="s">
        <v>46</v>
      </c>
      <c r="AA1372">
        <v>60432</v>
      </c>
      <c r="AB1372" t="s">
        <v>231</v>
      </c>
      <c r="AC1372" t="s">
        <v>68</v>
      </c>
      <c r="AD1372" t="s">
        <v>38</v>
      </c>
      <c r="AE1372" t="s">
        <v>49</v>
      </c>
      <c r="AF1372" t="s">
        <v>50</v>
      </c>
      <c r="AG1372">
        <v>0</v>
      </c>
      <c r="AH1372">
        <v>0</v>
      </c>
      <c r="AI1372" t="s">
        <v>51</v>
      </c>
      <c r="AJ1372" t="s">
        <v>51</v>
      </c>
      <c r="AK1372" t="s">
        <v>51</v>
      </c>
    </row>
    <row r="1373" spans="1:37" x14ac:dyDescent="0.2">
      <c r="A1373">
        <v>60425</v>
      </c>
      <c r="B1373" t="s">
        <v>37</v>
      </c>
      <c r="C1373" t="s">
        <v>38</v>
      </c>
      <c r="D1373" t="s">
        <v>169</v>
      </c>
      <c r="E1373" t="s">
        <v>232</v>
      </c>
      <c r="G1373" s="4">
        <v>43947.171886574074</v>
      </c>
      <c r="H1373" s="4">
        <v>43947.171898148148</v>
      </c>
      <c r="I1373" t="s">
        <v>50</v>
      </c>
      <c r="J1373" s="5">
        <v>.9999999999999999999999999999999999999996</v>
      </c>
      <c r="K1373" t="s">
        <v>38</v>
      </c>
      <c r="M1373">
        <v>60426</v>
      </c>
      <c r="N1373" t="s">
        <v>232</v>
      </c>
      <c r="O1373" t="s">
        <v>233</v>
      </c>
      <c r="P1373" t="s">
        <v>38</v>
      </c>
      <c r="Q1373" t="s">
        <v>50</v>
      </c>
      <c r="R1373">
        <v>.9999999999999999999999999999999999999996</v>
      </c>
      <c r="S1373" t="s">
        <v>45</v>
      </c>
      <c r="T1373" t="str" s="2">
        <f>=HYPERLINK("http://demo.enginatics.com:80/ecc/user/applications/log/60425.log","http://demo.enginatics.com:80/ecc/user/applications/log/60425.log")</f>
        <v>"http://demo.enginatics.com:80/ecc/user/applications/log/60425.log")</v>
      </c>
      <c r="U1373">
        <v>60427</v>
      </c>
      <c r="V1373" t="s">
        <v>38</v>
      </c>
      <c r="W1373" t="s">
        <v>50</v>
      </c>
      <c r="X1373">
        <v>.9999999999999999999999999999999999999996</v>
      </c>
      <c r="Y1373">
        <v>0</v>
      </c>
      <c r="Z1373" t="s">
        <v>46</v>
      </c>
      <c r="AA1373">
        <v>60428</v>
      </c>
      <c r="AB1373" t="s">
        <v>234</v>
      </c>
      <c r="AC1373" t="s">
        <v>68</v>
      </c>
      <c r="AD1373" t="s">
        <v>38</v>
      </c>
      <c r="AE1373" t="s">
        <v>49</v>
      </c>
      <c r="AF1373" t="s">
        <v>50</v>
      </c>
      <c r="AG1373">
        <v>0</v>
      </c>
      <c r="AH1373">
        <v>0</v>
      </c>
      <c r="AI1373" t="s">
        <v>51</v>
      </c>
      <c r="AJ1373" t="s">
        <v>51</v>
      </c>
      <c r="AK1373" t="s">
        <v>51</v>
      </c>
    </row>
    <row r="1374" spans="1:37" x14ac:dyDescent="0.2">
      <c r="A1374">
        <v>60421</v>
      </c>
      <c r="B1374" t="s">
        <v>37</v>
      </c>
      <c r="C1374" t="s">
        <v>38</v>
      </c>
      <c r="D1374" t="s">
        <v>169</v>
      </c>
      <c r="E1374" t="s">
        <v>235</v>
      </c>
      <c r="G1374" s="4">
        <v>43947.171666666667</v>
      </c>
      <c r="H1374" s="4">
        <v>43947.171759259259</v>
      </c>
      <c r="I1374" t="s">
        <v>652</v>
      </c>
      <c r="J1374" s="5">
        <v>8</v>
      </c>
      <c r="K1374" t="s">
        <v>38</v>
      </c>
      <c r="M1374">
        <v>60422</v>
      </c>
      <c r="N1374" t="s">
        <v>235</v>
      </c>
      <c r="O1374" t="s">
        <v>237</v>
      </c>
      <c r="P1374" t="s">
        <v>38</v>
      </c>
      <c r="Q1374" t="s">
        <v>652</v>
      </c>
      <c r="R1374">
        <v>8</v>
      </c>
      <c r="S1374" t="s">
        <v>45</v>
      </c>
      <c r="T1374" t="str" s="2">
        <f>=HYPERLINK("http://demo.enginatics.com:80/ecc/user/applications/log/60421.log","http://demo.enginatics.com:80/ecc/user/applications/log/60421.log")</f>
        <v>"http://demo.enginatics.com:80/ecc/user/applications/log/60421.log")</v>
      </c>
      <c r="U1374">
        <v>60423</v>
      </c>
      <c r="V1374" t="s">
        <v>38</v>
      </c>
      <c r="W1374" t="s">
        <v>652</v>
      </c>
      <c r="X1374">
        <v>8</v>
      </c>
      <c r="Y1374">
        <v>0</v>
      </c>
      <c r="Z1374" t="s">
        <v>46</v>
      </c>
      <c r="AA1374">
        <v>60424</v>
      </c>
      <c r="AB1374" t="s">
        <v>239</v>
      </c>
      <c r="AC1374" t="s">
        <v>68</v>
      </c>
      <c r="AD1374" t="s">
        <v>38</v>
      </c>
      <c r="AE1374" t="s">
        <v>240</v>
      </c>
      <c r="AF1374" t="s">
        <v>78</v>
      </c>
      <c r="AG1374">
        <v>5</v>
      </c>
      <c r="AH1374">
        <v>0</v>
      </c>
      <c r="AI1374" t="s">
        <v>241</v>
      </c>
      <c r="AJ1374" t="s">
        <v>51</v>
      </c>
      <c r="AK1374" t="s">
        <v>241</v>
      </c>
    </row>
    <row r="1375" spans="1:37" x14ac:dyDescent="0.2">
      <c r="A1375">
        <v>60416</v>
      </c>
      <c r="B1375" t="s">
        <v>37</v>
      </c>
      <c r="C1375" t="s">
        <v>38</v>
      </c>
      <c r="D1375" t="s">
        <v>169</v>
      </c>
      <c r="E1375" t="s">
        <v>242</v>
      </c>
      <c r="G1375" s="4">
        <v>43947.171446759259</v>
      </c>
      <c r="H1375" s="4">
        <v>43947.171574074074</v>
      </c>
      <c r="I1375" t="s">
        <v>337</v>
      </c>
      <c r="J1375" s="5">
        <v>11.00000000000000000000000000000000000002</v>
      </c>
      <c r="K1375" t="s">
        <v>38</v>
      </c>
      <c r="M1375">
        <v>60417</v>
      </c>
      <c r="N1375" t="s">
        <v>242</v>
      </c>
      <c r="O1375" t="s">
        <v>243</v>
      </c>
      <c r="P1375" t="s">
        <v>38</v>
      </c>
      <c r="Q1375" t="s">
        <v>337</v>
      </c>
      <c r="R1375">
        <v>11.00000000000000000000000000000000000002</v>
      </c>
      <c r="S1375" t="s">
        <v>45</v>
      </c>
      <c r="T1375" t="str" s="2">
        <f>=HYPERLINK("http://demo.enginatics.com:80/ecc/user/applications/log/60416.log","http://demo.enginatics.com:80/ecc/user/applications/log/60416.log")</f>
        <v>"http://demo.enginatics.com:80/ecc/user/applications/log/60416.log")</v>
      </c>
      <c r="U1375">
        <v>60418</v>
      </c>
      <c r="V1375" t="s">
        <v>38</v>
      </c>
      <c r="W1375" t="s">
        <v>337</v>
      </c>
      <c r="X1375">
        <v>11.00000000000000000000000000000000000002</v>
      </c>
      <c r="Y1375">
        <v>8</v>
      </c>
      <c r="Z1375" t="s">
        <v>46</v>
      </c>
      <c r="AA1375">
        <v>60420</v>
      </c>
      <c r="AB1375" t="s">
        <v>244</v>
      </c>
      <c r="AC1375" t="s">
        <v>56</v>
      </c>
      <c r="AD1375" t="s">
        <v>38</v>
      </c>
      <c r="AE1375" t="s">
        <v>49</v>
      </c>
      <c r="AF1375" t="s">
        <v>88</v>
      </c>
      <c r="AG1375">
        <v>2</v>
      </c>
      <c r="AH1375">
        <v>0</v>
      </c>
      <c r="AI1375" t="s">
        <v>51</v>
      </c>
      <c r="AJ1375" t="s">
        <v>51</v>
      </c>
      <c r="AK1375" t="s">
        <v>51</v>
      </c>
    </row>
    <row r="1376" spans="1:37" x14ac:dyDescent="0.2">
      <c r="A1376">
        <v>60416</v>
      </c>
      <c r="B1376" t="s">
        <v>37</v>
      </c>
      <c r="C1376" t="s">
        <v>38</v>
      </c>
      <c r="D1376" t="s">
        <v>169</v>
      </c>
      <c r="E1376" t="s">
        <v>242</v>
      </c>
      <c r="G1376" s="4">
        <v>43947.171446759259</v>
      </c>
      <c r="H1376" s="4">
        <v>43947.171574074074</v>
      </c>
      <c r="I1376" t="s">
        <v>337</v>
      </c>
      <c r="J1376" s="5">
        <v>11.00000000000000000000000000000000000002</v>
      </c>
      <c r="K1376" t="s">
        <v>38</v>
      </c>
      <c r="M1376">
        <v>60417</v>
      </c>
      <c r="N1376" t="s">
        <v>242</v>
      </c>
      <c r="O1376" t="s">
        <v>243</v>
      </c>
      <c r="P1376" t="s">
        <v>38</v>
      </c>
      <c r="Q1376" t="s">
        <v>337</v>
      </c>
      <c r="R1376">
        <v>11.00000000000000000000000000000000000002</v>
      </c>
      <c r="S1376" t="s">
        <v>45</v>
      </c>
      <c r="T1376" t="str" s="2">
        <f>=HYPERLINK("http://demo.enginatics.com:80/ecc/user/applications/log/60416.log","http://demo.enginatics.com:80/ecc/user/applications/log/60416.log")</f>
        <v>"http://demo.enginatics.com:80/ecc/user/applications/log/60416.log")</v>
      </c>
      <c r="U1376">
        <v>60418</v>
      </c>
      <c r="V1376" t="s">
        <v>38</v>
      </c>
      <c r="W1376" t="s">
        <v>337</v>
      </c>
      <c r="X1376">
        <v>11.00000000000000000000000000000000000002</v>
      </c>
      <c r="Y1376">
        <v>8</v>
      </c>
      <c r="Z1376" t="s">
        <v>46</v>
      </c>
      <c r="AA1376">
        <v>60419</v>
      </c>
      <c r="AB1376" t="s">
        <v>245</v>
      </c>
      <c r="AC1376" t="s">
        <v>68</v>
      </c>
      <c r="AD1376" t="s">
        <v>38</v>
      </c>
      <c r="AE1376" t="s">
        <v>49</v>
      </c>
      <c r="AF1376" t="s">
        <v>50</v>
      </c>
      <c r="AG1376">
        <v>0</v>
      </c>
      <c r="AH1376">
        <v>0</v>
      </c>
      <c r="AI1376" t="s">
        <v>51</v>
      </c>
      <c r="AJ1376" t="s">
        <v>51</v>
      </c>
      <c r="AK1376" t="s">
        <v>51</v>
      </c>
    </row>
    <row r="1377" spans="1:37" x14ac:dyDescent="0.2">
      <c r="A1377">
        <v>60412</v>
      </c>
      <c r="B1377" t="s">
        <v>37</v>
      </c>
      <c r="C1377" t="s">
        <v>38</v>
      </c>
      <c r="D1377" t="s">
        <v>169</v>
      </c>
      <c r="E1377" t="s">
        <v>246</v>
      </c>
      <c r="G1377" s="4">
        <v>43947.169988425926</v>
      </c>
      <c r="H1377" s="4">
        <v>43947.170069444444</v>
      </c>
      <c r="I1377" t="s">
        <v>247</v>
      </c>
      <c r="J1377" s="5">
        <v>7</v>
      </c>
      <c r="K1377" t="s">
        <v>38</v>
      </c>
      <c r="M1377">
        <v>60413</v>
      </c>
      <c r="N1377" t="s">
        <v>246</v>
      </c>
      <c r="O1377" t="s">
        <v>248</v>
      </c>
      <c r="P1377" t="s">
        <v>38</v>
      </c>
      <c r="Q1377" t="s">
        <v>247</v>
      </c>
      <c r="R1377">
        <v>7</v>
      </c>
      <c r="S1377" t="s">
        <v>45</v>
      </c>
      <c r="T1377" t="str" s="2">
        <f>=HYPERLINK("http://demo.enginatics.com:80/ecc/user/applications/log/60412.log","http://demo.enginatics.com:80/ecc/user/applications/log/60412.log")</f>
        <v>"http://demo.enginatics.com:80/ecc/user/applications/log/60412.log")</v>
      </c>
      <c r="U1377">
        <v>60414</v>
      </c>
      <c r="V1377" t="s">
        <v>38</v>
      </c>
      <c r="W1377" t="s">
        <v>247</v>
      </c>
      <c r="X1377">
        <v>7</v>
      </c>
      <c r="Y1377">
        <v>6</v>
      </c>
      <c r="Z1377" t="s">
        <v>46</v>
      </c>
      <c r="AA1377">
        <v>60415</v>
      </c>
      <c r="AB1377" t="s">
        <v>249</v>
      </c>
      <c r="AC1377" t="s">
        <v>68</v>
      </c>
      <c r="AD1377" t="s">
        <v>38</v>
      </c>
      <c r="AE1377" t="s">
        <v>49</v>
      </c>
      <c r="AF1377" t="s">
        <v>50</v>
      </c>
      <c r="AG1377">
        <v>.9999999999999999999999999999999999999996</v>
      </c>
      <c r="AH1377">
        <v>0</v>
      </c>
      <c r="AI1377" t="s">
        <v>51</v>
      </c>
      <c r="AJ1377" t="s">
        <v>51</v>
      </c>
      <c r="AK1377" t="s">
        <v>51</v>
      </c>
    </row>
    <row r="1378" spans="1:37" x14ac:dyDescent="0.2">
      <c r="A1378">
        <v>60408</v>
      </c>
      <c r="B1378" t="s">
        <v>37</v>
      </c>
      <c r="C1378" t="s">
        <v>38</v>
      </c>
      <c r="D1378" t="s">
        <v>169</v>
      </c>
      <c r="E1378" t="s">
        <v>250</v>
      </c>
      <c r="G1378" s="4">
        <v>43947.169884259259</v>
      </c>
      <c r="H1378" s="4">
        <v>43947.169907407407</v>
      </c>
      <c r="I1378" t="s">
        <v>88</v>
      </c>
      <c r="J1378" s="5">
        <v>2</v>
      </c>
      <c r="K1378" t="s">
        <v>38</v>
      </c>
      <c r="M1378">
        <v>60409</v>
      </c>
      <c r="N1378" t="s">
        <v>250</v>
      </c>
      <c r="O1378" t="s">
        <v>251</v>
      </c>
      <c r="P1378" t="s">
        <v>38</v>
      </c>
      <c r="Q1378" t="s">
        <v>50</v>
      </c>
      <c r="R1378">
        <v>.9999999999999999999999999999999999999996</v>
      </c>
      <c r="S1378" t="s">
        <v>45</v>
      </c>
      <c r="T1378" t="str" s="2">
        <f>=HYPERLINK("http://demo.enginatics.com:80/ecc/user/applications/log/60408.log","http://demo.enginatics.com:80/ecc/user/applications/log/60408.log")</f>
        <v>"http://demo.enginatics.com:80/ecc/user/applications/log/60408.log")</v>
      </c>
      <c r="U1378">
        <v>60410</v>
      </c>
      <c r="V1378" t="s">
        <v>38</v>
      </c>
      <c r="W1378" t="s">
        <v>50</v>
      </c>
      <c r="X1378">
        <v>.9999999999999999999999999999999999999996</v>
      </c>
      <c r="Y1378">
        <v>0</v>
      </c>
      <c r="Z1378" t="s">
        <v>46</v>
      </c>
      <c r="AA1378">
        <v>60411</v>
      </c>
      <c r="AB1378" t="s">
        <v>252</v>
      </c>
      <c r="AC1378" t="s">
        <v>68</v>
      </c>
      <c r="AD1378" t="s">
        <v>38</v>
      </c>
      <c r="AE1378" t="s">
        <v>49</v>
      </c>
      <c r="AF1378" t="s">
        <v>50</v>
      </c>
      <c r="AG1378">
        <v>0</v>
      </c>
      <c r="AH1378">
        <v>0</v>
      </c>
      <c r="AI1378" t="s">
        <v>51</v>
      </c>
      <c r="AJ1378" t="s">
        <v>51</v>
      </c>
      <c r="AK1378" t="s">
        <v>51</v>
      </c>
    </row>
    <row r="1379" spans="1:37" x14ac:dyDescent="0.2">
      <c r="A1379">
        <v>60383</v>
      </c>
      <c r="B1379" t="s">
        <v>37</v>
      </c>
      <c r="C1379" t="s">
        <v>38</v>
      </c>
      <c r="D1379" t="s">
        <v>270</v>
      </c>
      <c r="E1379" t="s">
        <v>40</v>
      </c>
      <c r="G1379" s="4">
        <v>43947.165208333333</v>
      </c>
      <c r="H1379" s="4">
        <v>43947.165289351852</v>
      </c>
      <c r="I1379" t="s">
        <v>247</v>
      </c>
      <c r="J1379" s="5">
        <v>7</v>
      </c>
      <c r="K1379" t="s">
        <v>38</v>
      </c>
      <c r="M1379">
        <v>60405</v>
      </c>
      <c r="N1379" t="s">
        <v>271</v>
      </c>
      <c r="O1379" t="s">
        <v>272</v>
      </c>
      <c r="P1379" t="s">
        <v>38</v>
      </c>
      <c r="Q1379" t="s">
        <v>50</v>
      </c>
      <c r="R1379">
        <v>0</v>
      </c>
      <c r="S1379" t="s">
        <v>45</v>
      </c>
      <c r="T1379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79">
        <v>60406</v>
      </c>
      <c r="V1379" t="s">
        <v>38</v>
      </c>
      <c r="W1379" t="s">
        <v>50</v>
      </c>
      <c r="X1379">
        <v>0</v>
      </c>
      <c r="Y1379">
        <v>0</v>
      </c>
      <c r="Z1379" t="s">
        <v>46</v>
      </c>
      <c r="AA1379">
        <v>60407</v>
      </c>
      <c r="AB1379" t="s">
        <v>273</v>
      </c>
      <c r="AC1379" t="s">
        <v>68</v>
      </c>
      <c r="AD1379" t="s">
        <v>38</v>
      </c>
      <c r="AE1379" t="s">
        <v>49</v>
      </c>
      <c r="AF1379" t="s">
        <v>50</v>
      </c>
      <c r="AG1379">
        <v>0</v>
      </c>
      <c r="AH1379">
        <v>0</v>
      </c>
      <c r="AI1379" t="s">
        <v>51</v>
      </c>
      <c r="AJ1379" t="s">
        <v>51</v>
      </c>
      <c r="AK1379" t="s">
        <v>51</v>
      </c>
    </row>
    <row r="1380" spans="1:37" x14ac:dyDescent="0.2">
      <c r="A1380">
        <v>60383</v>
      </c>
      <c r="B1380" t="s">
        <v>37</v>
      </c>
      <c r="C1380" t="s">
        <v>38</v>
      </c>
      <c r="D1380" t="s">
        <v>270</v>
      </c>
      <c r="E1380" t="s">
        <v>40</v>
      </c>
      <c r="G1380" s="4">
        <v>43947.165208333333</v>
      </c>
      <c r="H1380" s="4">
        <v>43947.165289351852</v>
      </c>
      <c r="I1380" t="s">
        <v>247</v>
      </c>
      <c r="J1380" s="5">
        <v>7</v>
      </c>
      <c r="K1380" t="s">
        <v>38</v>
      </c>
      <c r="M1380">
        <v>60402</v>
      </c>
      <c r="N1380" t="s">
        <v>274</v>
      </c>
      <c r="O1380" t="s">
        <v>275</v>
      </c>
      <c r="P1380" t="s">
        <v>38</v>
      </c>
      <c r="Q1380" t="s">
        <v>50</v>
      </c>
      <c r="R1380">
        <v>.9999999999999999999999999999999999999996</v>
      </c>
      <c r="S1380" t="s">
        <v>45</v>
      </c>
      <c r="T1380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0">
        <v>60403</v>
      </c>
      <c r="V1380" t="s">
        <v>38</v>
      </c>
      <c r="W1380" t="s">
        <v>50</v>
      </c>
      <c r="X1380">
        <v>.9999999999999999999999999999999999999996</v>
      </c>
      <c r="Y1380">
        <v>0</v>
      </c>
      <c r="Z1380" t="s">
        <v>46</v>
      </c>
      <c r="AA1380">
        <v>60404</v>
      </c>
      <c r="AB1380" t="s">
        <v>276</v>
      </c>
      <c r="AC1380" t="s">
        <v>68</v>
      </c>
      <c r="AD1380" t="s">
        <v>38</v>
      </c>
      <c r="AE1380" t="s">
        <v>49</v>
      </c>
      <c r="AF1380" t="s">
        <v>50</v>
      </c>
      <c r="AG1380">
        <v>0</v>
      </c>
      <c r="AH1380">
        <v>0</v>
      </c>
      <c r="AI1380" t="s">
        <v>51</v>
      </c>
      <c r="AJ1380" t="s">
        <v>51</v>
      </c>
      <c r="AK1380" t="s">
        <v>51</v>
      </c>
    </row>
    <row r="1381" spans="1:37" x14ac:dyDescent="0.2">
      <c r="A1381">
        <v>60383</v>
      </c>
      <c r="B1381" t="s">
        <v>37</v>
      </c>
      <c r="C1381" t="s">
        <v>38</v>
      </c>
      <c r="D1381" t="s">
        <v>270</v>
      </c>
      <c r="E1381" t="s">
        <v>40</v>
      </c>
      <c r="G1381" s="4">
        <v>43947.165208333333</v>
      </c>
      <c r="H1381" s="4">
        <v>43947.165289351852</v>
      </c>
      <c r="I1381" t="s">
        <v>247</v>
      </c>
      <c r="J1381" s="5">
        <v>7</v>
      </c>
      <c r="K1381" t="s">
        <v>38</v>
      </c>
      <c r="M1381">
        <v>60399</v>
      </c>
      <c r="N1381" t="s">
        <v>277</v>
      </c>
      <c r="O1381" t="s">
        <v>278</v>
      </c>
      <c r="P1381" t="s">
        <v>38</v>
      </c>
      <c r="Q1381" t="s">
        <v>50</v>
      </c>
      <c r="R1381">
        <v>0</v>
      </c>
      <c r="S1381" t="s">
        <v>45</v>
      </c>
      <c r="T1381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1">
        <v>60400</v>
      </c>
      <c r="V1381" t="s">
        <v>38</v>
      </c>
      <c r="W1381" t="s">
        <v>50</v>
      </c>
      <c r="X1381">
        <v>0</v>
      </c>
      <c r="Y1381">
        <v>0</v>
      </c>
      <c r="Z1381" t="s">
        <v>46</v>
      </c>
      <c r="AA1381">
        <v>60401</v>
      </c>
      <c r="AB1381" t="s">
        <v>279</v>
      </c>
      <c r="AC1381" t="s">
        <v>68</v>
      </c>
      <c r="AD1381" t="s">
        <v>38</v>
      </c>
      <c r="AE1381" t="s">
        <v>49</v>
      </c>
      <c r="AF1381" t="s">
        <v>50</v>
      </c>
      <c r="AG1381">
        <v>0</v>
      </c>
      <c r="AH1381">
        <v>0</v>
      </c>
      <c r="AI1381" t="s">
        <v>51</v>
      </c>
      <c r="AJ1381" t="s">
        <v>51</v>
      </c>
      <c r="AK1381" t="s">
        <v>51</v>
      </c>
    </row>
    <row r="1382" spans="1:37" x14ac:dyDescent="0.2">
      <c r="A1382">
        <v>60383</v>
      </c>
      <c r="B1382" t="s">
        <v>37</v>
      </c>
      <c r="C1382" t="s">
        <v>38</v>
      </c>
      <c r="D1382" t="s">
        <v>270</v>
      </c>
      <c r="E1382" t="s">
        <v>40</v>
      </c>
      <c r="G1382" s="4">
        <v>43947.165208333333</v>
      </c>
      <c r="H1382" s="4">
        <v>43947.165289351852</v>
      </c>
      <c r="I1382" t="s">
        <v>247</v>
      </c>
      <c r="J1382" s="5">
        <v>7</v>
      </c>
      <c r="K1382" t="s">
        <v>38</v>
      </c>
      <c r="M1382">
        <v>60396</v>
      </c>
      <c r="N1382" t="s">
        <v>280</v>
      </c>
      <c r="O1382" t="s">
        <v>281</v>
      </c>
      <c r="P1382" t="s">
        <v>38</v>
      </c>
      <c r="Q1382" t="s">
        <v>50</v>
      </c>
      <c r="R1382">
        <v>0</v>
      </c>
      <c r="S1382" t="s">
        <v>45</v>
      </c>
      <c r="T1382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2">
        <v>60397</v>
      </c>
      <c r="V1382" t="s">
        <v>38</v>
      </c>
      <c r="W1382" t="s">
        <v>50</v>
      </c>
      <c r="X1382">
        <v>0</v>
      </c>
      <c r="Y1382">
        <v>0</v>
      </c>
      <c r="Z1382" t="s">
        <v>46</v>
      </c>
      <c r="AA1382">
        <v>60398</v>
      </c>
      <c r="AB1382" t="s">
        <v>282</v>
      </c>
      <c r="AC1382" t="s">
        <v>68</v>
      </c>
      <c r="AD1382" t="s">
        <v>38</v>
      </c>
      <c r="AE1382" t="s">
        <v>49</v>
      </c>
      <c r="AF1382" t="s">
        <v>50</v>
      </c>
      <c r="AG1382">
        <v>0</v>
      </c>
      <c r="AH1382">
        <v>0</v>
      </c>
      <c r="AI1382" t="s">
        <v>51</v>
      </c>
      <c r="AJ1382" t="s">
        <v>51</v>
      </c>
      <c r="AK1382" t="s">
        <v>51</v>
      </c>
    </row>
    <row r="1383" spans="1:37" x14ac:dyDescent="0.2">
      <c r="A1383">
        <v>60383</v>
      </c>
      <c r="B1383" t="s">
        <v>37</v>
      </c>
      <c r="C1383" t="s">
        <v>38</v>
      </c>
      <c r="D1383" t="s">
        <v>270</v>
      </c>
      <c r="E1383" t="s">
        <v>40</v>
      </c>
      <c r="G1383" s="4">
        <v>43947.165208333333</v>
      </c>
      <c r="H1383" s="4">
        <v>43947.165289351852</v>
      </c>
      <c r="I1383" t="s">
        <v>247</v>
      </c>
      <c r="J1383" s="5">
        <v>7</v>
      </c>
      <c r="K1383" t="s">
        <v>38</v>
      </c>
      <c r="M1383">
        <v>60393</v>
      </c>
      <c r="N1383" t="s">
        <v>283</v>
      </c>
      <c r="O1383" t="s">
        <v>284</v>
      </c>
      <c r="P1383" t="s">
        <v>38</v>
      </c>
      <c r="Q1383" t="s">
        <v>78</v>
      </c>
      <c r="R1383">
        <v>5</v>
      </c>
      <c r="S1383" t="s">
        <v>45</v>
      </c>
      <c r="T1383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3">
        <v>60394</v>
      </c>
      <c r="V1383" t="s">
        <v>38</v>
      </c>
      <c r="W1383" t="s">
        <v>78</v>
      </c>
      <c r="X1383">
        <v>5</v>
      </c>
      <c r="Y1383">
        <v>0</v>
      </c>
      <c r="Z1383" t="s">
        <v>46</v>
      </c>
      <c r="AA1383">
        <v>60395</v>
      </c>
      <c r="AB1383" t="s">
        <v>285</v>
      </c>
      <c r="AC1383" t="s">
        <v>68</v>
      </c>
      <c r="AD1383" t="s">
        <v>38</v>
      </c>
      <c r="AE1383" t="s">
        <v>49</v>
      </c>
      <c r="AF1383" t="s">
        <v>78</v>
      </c>
      <c r="AG1383">
        <v>5</v>
      </c>
      <c r="AH1383">
        <v>5</v>
      </c>
      <c r="AI1383" t="s">
        <v>51</v>
      </c>
      <c r="AJ1383" t="s">
        <v>51</v>
      </c>
      <c r="AK1383" t="s">
        <v>51</v>
      </c>
    </row>
    <row r="1384" spans="1:37" x14ac:dyDescent="0.2">
      <c r="A1384">
        <v>60383</v>
      </c>
      <c r="B1384" t="s">
        <v>37</v>
      </c>
      <c r="C1384" t="s">
        <v>38</v>
      </c>
      <c r="D1384" t="s">
        <v>270</v>
      </c>
      <c r="E1384" t="s">
        <v>40</v>
      </c>
      <c r="G1384" s="4">
        <v>43947.165208333333</v>
      </c>
      <c r="H1384" s="4">
        <v>43947.165289351852</v>
      </c>
      <c r="I1384" t="s">
        <v>247</v>
      </c>
      <c r="J1384" s="5">
        <v>7</v>
      </c>
      <c r="K1384" t="s">
        <v>38</v>
      </c>
      <c r="M1384">
        <v>60390</v>
      </c>
      <c r="N1384" t="s">
        <v>286</v>
      </c>
      <c r="O1384" t="s">
        <v>287</v>
      </c>
      <c r="P1384" t="s">
        <v>38</v>
      </c>
      <c r="Q1384" t="s">
        <v>50</v>
      </c>
      <c r="R1384">
        <v>.9999999999999999999999999999999999999996</v>
      </c>
      <c r="S1384" t="s">
        <v>45</v>
      </c>
      <c r="T1384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4">
        <v>60391</v>
      </c>
      <c r="V1384" t="s">
        <v>38</v>
      </c>
      <c r="W1384" t="s">
        <v>50</v>
      </c>
      <c r="X1384">
        <v>.9999999999999999999999999999999999999996</v>
      </c>
      <c r="Y1384">
        <v>0</v>
      </c>
      <c r="Z1384" t="s">
        <v>46</v>
      </c>
      <c r="AA1384">
        <v>60392</v>
      </c>
      <c r="AB1384" t="s">
        <v>288</v>
      </c>
      <c r="AC1384" t="s">
        <v>68</v>
      </c>
      <c r="AD1384" t="s">
        <v>38</v>
      </c>
      <c r="AE1384" t="s">
        <v>49</v>
      </c>
      <c r="AF1384" t="s">
        <v>50</v>
      </c>
      <c r="AG1384">
        <v>.9999999999999999999999999999999999999996</v>
      </c>
      <c r="AH1384">
        <v>0</v>
      </c>
      <c r="AI1384" t="s">
        <v>51</v>
      </c>
      <c r="AJ1384" t="s">
        <v>51</v>
      </c>
      <c r="AK1384" t="s">
        <v>51</v>
      </c>
    </row>
    <row r="1385" spans="1:37" x14ac:dyDescent="0.2">
      <c r="A1385">
        <v>60383</v>
      </c>
      <c r="B1385" t="s">
        <v>37</v>
      </c>
      <c r="C1385" t="s">
        <v>38</v>
      </c>
      <c r="D1385" t="s">
        <v>270</v>
      </c>
      <c r="E1385" t="s">
        <v>40</v>
      </c>
      <c r="G1385" s="4">
        <v>43947.165208333333</v>
      </c>
      <c r="H1385" s="4">
        <v>43947.165289351852</v>
      </c>
      <c r="I1385" t="s">
        <v>247</v>
      </c>
      <c r="J1385" s="5">
        <v>7</v>
      </c>
      <c r="K1385" t="s">
        <v>38</v>
      </c>
      <c r="M1385">
        <v>60387</v>
      </c>
      <c r="N1385" t="s">
        <v>289</v>
      </c>
      <c r="O1385" t="s">
        <v>290</v>
      </c>
      <c r="P1385" t="s">
        <v>38</v>
      </c>
      <c r="Q1385" t="s">
        <v>50</v>
      </c>
      <c r="R1385">
        <v>0</v>
      </c>
      <c r="S1385" t="s">
        <v>45</v>
      </c>
      <c r="T1385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5">
        <v>60388</v>
      </c>
      <c r="V1385" t="s">
        <v>38</v>
      </c>
      <c r="W1385" t="s">
        <v>50</v>
      </c>
      <c r="X1385">
        <v>0</v>
      </c>
      <c r="Y1385">
        <v>0</v>
      </c>
      <c r="Z1385" t="s">
        <v>46</v>
      </c>
      <c r="AA1385">
        <v>60389</v>
      </c>
      <c r="AB1385" t="s">
        <v>291</v>
      </c>
      <c r="AC1385" t="s">
        <v>68</v>
      </c>
      <c r="AD1385" t="s">
        <v>38</v>
      </c>
      <c r="AE1385" t="s">
        <v>49</v>
      </c>
      <c r="AF1385" t="s">
        <v>50</v>
      </c>
      <c r="AG1385">
        <v>0</v>
      </c>
      <c r="AH1385">
        <v>0</v>
      </c>
      <c r="AI1385" t="s">
        <v>51</v>
      </c>
      <c r="AJ1385" t="s">
        <v>51</v>
      </c>
      <c r="AK1385" t="s">
        <v>51</v>
      </c>
    </row>
    <row r="1386" spans="1:37" x14ac:dyDescent="0.2">
      <c r="A1386">
        <v>60383</v>
      </c>
      <c r="B1386" t="s">
        <v>37</v>
      </c>
      <c r="C1386" t="s">
        <v>38</v>
      </c>
      <c r="D1386" t="s">
        <v>270</v>
      </c>
      <c r="E1386" t="s">
        <v>40</v>
      </c>
      <c r="G1386" s="4">
        <v>43947.165208333333</v>
      </c>
      <c r="H1386" s="4">
        <v>43947.165289351852</v>
      </c>
      <c r="I1386" t="s">
        <v>247</v>
      </c>
      <c r="J1386" s="5">
        <v>7</v>
      </c>
      <c r="K1386" t="s">
        <v>38</v>
      </c>
      <c r="M1386">
        <v>60384</v>
      </c>
      <c r="N1386" t="s">
        <v>292</v>
      </c>
      <c r="O1386" t="s">
        <v>293</v>
      </c>
      <c r="P1386" t="s">
        <v>38</v>
      </c>
      <c r="Q1386" t="s">
        <v>50</v>
      </c>
      <c r="R1386">
        <v>0</v>
      </c>
      <c r="S1386" t="s">
        <v>45</v>
      </c>
      <c r="T1386" t="str" s="2">
        <f>=HYPERLINK("http://demo.enginatics.com:80/ecc/user/applications/log/60383.log","http://demo.enginatics.com:80/ecc/user/applications/log/60383.log")</f>
        <v>"http://demo.enginatics.com:80/ecc/user/applications/log/60383.log")</v>
      </c>
      <c r="U1386">
        <v>60385</v>
      </c>
      <c r="V1386" t="s">
        <v>38</v>
      </c>
      <c r="W1386" t="s">
        <v>50</v>
      </c>
      <c r="X1386">
        <v>0</v>
      </c>
      <c r="Y1386">
        <v>0</v>
      </c>
      <c r="Z1386" t="s">
        <v>46</v>
      </c>
      <c r="AA1386">
        <v>60386</v>
      </c>
      <c r="AB1386" t="s">
        <v>294</v>
      </c>
      <c r="AC1386" t="s">
        <v>68</v>
      </c>
      <c r="AD1386" t="s">
        <v>38</v>
      </c>
      <c r="AE1386" t="s">
        <v>49</v>
      </c>
      <c r="AF1386" t="s">
        <v>50</v>
      </c>
      <c r="AG1386">
        <v>0</v>
      </c>
      <c r="AH1386">
        <v>0</v>
      </c>
      <c r="AI1386" t="s">
        <v>51</v>
      </c>
      <c r="AJ1386" t="s">
        <v>51</v>
      </c>
      <c r="AK1386" t="s">
        <v>51</v>
      </c>
    </row>
    <row r="1387" spans="1:37" x14ac:dyDescent="0.2">
      <c r="A1387">
        <v>60379</v>
      </c>
      <c r="B1387" t="s">
        <v>37</v>
      </c>
      <c r="C1387" t="s">
        <v>38</v>
      </c>
      <c r="D1387" t="s">
        <v>253</v>
      </c>
      <c r="E1387" t="s">
        <v>254</v>
      </c>
      <c r="G1387" s="4">
        <v>43947.164502314815</v>
      </c>
      <c r="H1387" s="4">
        <v>43947.164502314815</v>
      </c>
      <c r="I1387" t="s">
        <v>50</v>
      </c>
      <c r="J1387" s="5">
        <v>0</v>
      </c>
      <c r="K1387" t="s">
        <v>38</v>
      </c>
      <c r="M1387">
        <v>60380</v>
      </c>
      <c r="N1387" t="s">
        <v>254</v>
      </c>
      <c r="O1387" t="s">
        <v>255</v>
      </c>
      <c r="P1387" t="s">
        <v>38</v>
      </c>
      <c r="Q1387" t="s">
        <v>50</v>
      </c>
      <c r="R1387">
        <v>0</v>
      </c>
      <c r="S1387" t="s">
        <v>45</v>
      </c>
      <c r="T1387" t="str" s="2">
        <f>=HYPERLINK("http://demo.enginatics.com:80/ecc/user/applications/log/60379.log","http://demo.enginatics.com:80/ecc/user/applications/log/60379.log")</f>
        <v>"http://demo.enginatics.com:80/ecc/user/applications/log/60379.log")</v>
      </c>
      <c r="U1387">
        <v>60381</v>
      </c>
      <c r="V1387" t="s">
        <v>38</v>
      </c>
      <c r="W1387" t="s">
        <v>50</v>
      </c>
      <c r="X1387">
        <v>0</v>
      </c>
      <c r="Y1387">
        <v>0</v>
      </c>
      <c r="Z1387" t="s">
        <v>46</v>
      </c>
      <c r="AA1387">
        <v>60382</v>
      </c>
      <c r="AB1387" t="s">
        <v>1398</v>
      </c>
      <c r="AC1387" t="s">
        <v>68</v>
      </c>
      <c r="AD1387" t="s">
        <v>38</v>
      </c>
      <c r="AE1387" t="s">
        <v>49</v>
      </c>
      <c r="AF1387" t="s">
        <v>50</v>
      </c>
      <c r="AG1387">
        <v>0</v>
      </c>
      <c r="AH1387">
        <v>0</v>
      </c>
      <c r="AI1387" t="s">
        <v>51</v>
      </c>
      <c r="AJ1387" t="s">
        <v>51</v>
      </c>
      <c r="AK1387" t="s">
        <v>51</v>
      </c>
    </row>
    <row r="1388" spans="1:37" x14ac:dyDescent="0.2">
      <c r="A1388">
        <v>60375</v>
      </c>
      <c r="B1388" t="s">
        <v>37</v>
      </c>
      <c r="C1388" t="s">
        <v>38</v>
      </c>
      <c r="D1388" t="s">
        <v>253</v>
      </c>
      <c r="E1388" t="s">
        <v>257</v>
      </c>
      <c r="G1388" s="4">
        <v>43947.164363425926</v>
      </c>
      <c r="H1388" s="4">
        <v>43947.164421296296</v>
      </c>
      <c r="I1388" t="s">
        <v>78</v>
      </c>
      <c r="J1388" s="5">
        <v>5</v>
      </c>
      <c r="K1388" t="s">
        <v>38</v>
      </c>
      <c r="M1388">
        <v>60376</v>
      </c>
      <c r="N1388" t="s">
        <v>257</v>
      </c>
      <c r="O1388" t="s">
        <v>258</v>
      </c>
      <c r="P1388" t="s">
        <v>38</v>
      </c>
      <c r="Q1388" t="s">
        <v>78</v>
      </c>
      <c r="R1388">
        <v>5</v>
      </c>
      <c r="S1388" t="s">
        <v>45</v>
      </c>
      <c r="T1388" t="str" s="2">
        <f>=HYPERLINK("http://demo.enginatics.com:80/ecc/user/applications/log/60375.log","http://demo.enginatics.com:80/ecc/user/applications/log/60375.log")</f>
        <v>"http://demo.enginatics.com:80/ecc/user/applications/log/60375.log")</v>
      </c>
      <c r="U1388">
        <v>60377</v>
      </c>
      <c r="V1388" t="s">
        <v>38</v>
      </c>
      <c r="W1388" t="s">
        <v>78</v>
      </c>
      <c r="X1388">
        <v>5</v>
      </c>
      <c r="Y1388">
        <v>0</v>
      </c>
      <c r="Z1388" t="s">
        <v>46</v>
      </c>
      <c r="AA1388">
        <v>60378</v>
      </c>
      <c r="AB1388" t="s">
        <v>1155</v>
      </c>
      <c r="AC1388" t="s">
        <v>68</v>
      </c>
      <c r="AD1388" t="s">
        <v>38</v>
      </c>
      <c r="AE1388" t="s">
        <v>260</v>
      </c>
      <c r="AF1388" t="s">
        <v>78</v>
      </c>
      <c r="AG1388">
        <v>5</v>
      </c>
      <c r="AH1388">
        <v>2</v>
      </c>
      <c r="AI1388" t="s">
        <v>261</v>
      </c>
      <c r="AJ1388" t="s">
        <v>51</v>
      </c>
      <c r="AK1388" t="s">
        <v>261</v>
      </c>
    </row>
    <row r="1389" spans="1:37" x14ac:dyDescent="0.2">
      <c r="A1389">
        <v>60370</v>
      </c>
      <c r="B1389" t="s">
        <v>37</v>
      </c>
      <c r="C1389" t="s">
        <v>38</v>
      </c>
      <c r="D1389" t="s">
        <v>253</v>
      </c>
      <c r="E1389" t="s">
        <v>262</v>
      </c>
      <c r="G1389" s="4">
        <v>43947.164236111111</v>
      </c>
      <c r="H1389" s="4">
        <v>43947.164236111111</v>
      </c>
      <c r="I1389" t="s">
        <v>50</v>
      </c>
      <c r="J1389" s="5">
        <v>0</v>
      </c>
      <c r="K1389" t="s">
        <v>38</v>
      </c>
      <c r="M1389">
        <v>60371</v>
      </c>
      <c r="N1389" t="s">
        <v>262</v>
      </c>
      <c r="O1389" t="s">
        <v>263</v>
      </c>
      <c r="P1389" t="s">
        <v>38</v>
      </c>
      <c r="Q1389" t="s">
        <v>50</v>
      </c>
      <c r="R1389">
        <v>0</v>
      </c>
      <c r="S1389" t="s">
        <v>45</v>
      </c>
      <c r="T1389" t="str" s="2">
        <f>=HYPERLINK("http://demo.enginatics.com:80/ecc/user/applications/log/60370.log","http://demo.enginatics.com:80/ecc/user/applications/log/60370.log")</f>
        <v>"http://demo.enginatics.com:80/ecc/user/applications/log/60370.log")</v>
      </c>
      <c r="U1389">
        <v>60372</v>
      </c>
      <c r="V1389" t="s">
        <v>38</v>
      </c>
      <c r="W1389" t="s">
        <v>50</v>
      </c>
      <c r="X1389">
        <v>0</v>
      </c>
      <c r="Y1389">
        <v>0</v>
      </c>
      <c r="Z1389" t="s">
        <v>46</v>
      </c>
      <c r="AA1389">
        <v>60374</v>
      </c>
      <c r="AB1389" t="s">
        <v>264</v>
      </c>
      <c r="AC1389" t="s">
        <v>68</v>
      </c>
      <c r="AD1389" t="s">
        <v>38</v>
      </c>
      <c r="AE1389" t="s">
        <v>49</v>
      </c>
      <c r="AF1389" t="s">
        <v>50</v>
      </c>
      <c r="AG1389">
        <v>0</v>
      </c>
      <c r="AH1389">
        <v>0</v>
      </c>
      <c r="AI1389" t="s">
        <v>51</v>
      </c>
      <c r="AJ1389" t="s">
        <v>51</v>
      </c>
      <c r="AK1389" t="s">
        <v>51</v>
      </c>
    </row>
    <row r="1390" spans="1:37" x14ac:dyDescent="0.2">
      <c r="A1390">
        <v>60370</v>
      </c>
      <c r="B1390" t="s">
        <v>37</v>
      </c>
      <c r="C1390" t="s">
        <v>38</v>
      </c>
      <c r="D1390" t="s">
        <v>253</v>
      </c>
      <c r="E1390" t="s">
        <v>262</v>
      </c>
      <c r="G1390" s="4">
        <v>43947.164236111111</v>
      </c>
      <c r="H1390" s="4">
        <v>43947.164236111111</v>
      </c>
      <c r="I1390" t="s">
        <v>50</v>
      </c>
      <c r="J1390" s="5">
        <v>0</v>
      </c>
      <c r="K1390" t="s">
        <v>38</v>
      </c>
      <c r="M1390">
        <v>60371</v>
      </c>
      <c r="N1390" t="s">
        <v>262</v>
      </c>
      <c r="O1390" t="s">
        <v>263</v>
      </c>
      <c r="P1390" t="s">
        <v>38</v>
      </c>
      <c r="Q1390" t="s">
        <v>50</v>
      </c>
      <c r="R1390">
        <v>0</v>
      </c>
      <c r="S1390" t="s">
        <v>45</v>
      </c>
      <c r="T1390" t="str" s="2">
        <f>=HYPERLINK("http://demo.enginatics.com:80/ecc/user/applications/log/60370.log","http://demo.enginatics.com:80/ecc/user/applications/log/60370.log")</f>
        <v>"http://demo.enginatics.com:80/ecc/user/applications/log/60370.log")</v>
      </c>
      <c r="U1390">
        <v>60372</v>
      </c>
      <c r="V1390" t="s">
        <v>38</v>
      </c>
      <c r="W1390" t="s">
        <v>50</v>
      </c>
      <c r="X1390">
        <v>0</v>
      </c>
      <c r="Y1390">
        <v>0</v>
      </c>
      <c r="Z1390" t="s">
        <v>46</v>
      </c>
      <c r="AA1390">
        <v>60373</v>
      </c>
      <c r="AB1390" t="s">
        <v>1399</v>
      </c>
      <c r="AC1390" t="s">
        <v>56</v>
      </c>
      <c r="AD1390" t="s">
        <v>38</v>
      </c>
      <c r="AE1390" t="s">
        <v>49</v>
      </c>
      <c r="AF1390" t="s">
        <v>50</v>
      </c>
      <c r="AG1390">
        <v>0</v>
      </c>
      <c r="AH1390">
        <v>0</v>
      </c>
      <c r="AI1390" t="s">
        <v>51</v>
      </c>
      <c r="AJ1390" t="s">
        <v>51</v>
      </c>
      <c r="AK1390" t="s">
        <v>51</v>
      </c>
    </row>
    <row r="1391" spans="1:37" x14ac:dyDescent="0.2">
      <c r="A1391">
        <v>60364</v>
      </c>
      <c r="B1391" t="s">
        <v>37</v>
      </c>
      <c r="C1391" t="s">
        <v>38</v>
      </c>
      <c r="D1391" t="s">
        <v>253</v>
      </c>
      <c r="E1391" t="s">
        <v>266</v>
      </c>
      <c r="G1391" s="4">
        <v>43947.16412037037</v>
      </c>
      <c r="H1391" s="4">
        <v>43947.16412037037</v>
      </c>
      <c r="I1391" t="s">
        <v>50</v>
      </c>
      <c r="J1391" s="5">
        <v>0</v>
      </c>
      <c r="K1391" t="s">
        <v>38</v>
      </c>
      <c r="M1391">
        <v>60365</v>
      </c>
      <c r="N1391" t="s">
        <v>266</v>
      </c>
      <c r="O1391" t="s">
        <v>267</v>
      </c>
      <c r="P1391" t="s">
        <v>38</v>
      </c>
      <c r="Q1391" t="s">
        <v>50</v>
      </c>
      <c r="R1391">
        <v>0</v>
      </c>
      <c r="S1391" t="s">
        <v>45</v>
      </c>
      <c r="T1391" t="str" s="2">
        <f>=HYPERLINK("http://demo.enginatics.com:80/ecc/user/applications/log/60364.log","http://demo.enginatics.com:80/ecc/user/applications/log/60364.log")</f>
        <v>"http://demo.enginatics.com:80/ecc/user/applications/log/60364.log")</v>
      </c>
      <c r="U1391">
        <v>60368</v>
      </c>
      <c r="V1391" t="s">
        <v>38</v>
      </c>
      <c r="W1391" t="s">
        <v>50</v>
      </c>
      <c r="X1391">
        <v>0</v>
      </c>
      <c r="Y1391">
        <v>0</v>
      </c>
      <c r="Z1391" t="s">
        <v>46</v>
      </c>
      <c r="AA1391">
        <v>60369</v>
      </c>
      <c r="AB1391" t="s">
        <v>268</v>
      </c>
      <c r="AC1391" t="s">
        <v>48</v>
      </c>
      <c r="AD1391" t="s">
        <v>38</v>
      </c>
      <c r="AE1391" t="s">
        <v>49</v>
      </c>
      <c r="AF1391" t="s">
        <v>50</v>
      </c>
      <c r="AG1391">
        <v>0</v>
      </c>
      <c r="AH1391">
        <v>0</v>
      </c>
      <c r="AI1391" t="s">
        <v>51</v>
      </c>
      <c r="AJ1391" t="s">
        <v>51</v>
      </c>
      <c r="AK1391" t="s">
        <v>51</v>
      </c>
    </row>
    <row r="1392" spans="1:37" x14ac:dyDescent="0.2">
      <c r="A1392">
        <v>60364</v>
      </c>
      <c r="B1392" t="s">
        <v>37</v>
      </c>
      <c r="C1392" t="s">
        <v>38</v>
      </c>
      <c r="D1392" t="s">
        <v>253</v>
      </c>
      <c r="E1392" t="s">
        <v>266</v>
      </c>
      <c r="G1392" s="4">
        <v>43947.16412037037</v>
      </c>
      <c r="H1392" s="4">
        <v>43947.16412037037</v>
      </c>
      <c r="I1392" t="s">
        <v>50</v>
      </c>
      <c r="J1392" s="5">
        <v>0</v>
      </c>
      <c r="K1392" t="s">
        <v>38</v>
      </c>
      <c r="M1392">
        <v>60365</v>
      </c>
      <c r="N1392" t="s">
        <v>266</v>
      </c>
      <c r="O1392" t="s">
        <v>267</v>
      </c>
      <c r="P1392" t="s">
        <v>38</v>
      </c>
      <c r="Q1392" t="s">
        <v>50</v>
      </c>
      <c r="R1392">
        <v>0</v>
      </c>
      <c r="S1392" t="s">
        <v>45</v>
      </c>
      <c r="T1392" t="str" s="2">
        <f>=HYPERLINK("http://demo.enginatics.com:80/ecc/user/applications/log/60364.log","http://demo.enginatics.com:80/ecc/user/applications/log/60364.log")</f>
        <v>"http://demo.enginatics.com:80/ecc/user/applications/log/60364.log")</v>
      </c>
      <c r="U1392">
        <v>60366</v>
      </c>
      <c r="V1392" t="s">
        <v>38</v>
      </c>
      <c r="W1392" t="s">
        <v>50</v>
      </c>
      <c r="X1392">
        <v>0</v>
      </c>
      <c r="Y1392">
        <v>0</v>
      </c>
      <c r="Z1392" t="s">
        <v>46</v>
      </c>
      <c r="AA1392">
        <v>60367</v>
      </c>
      <c r="AB1392" t="s">
        <v>269</v>
      </c>
      <c r="AC1392" t="s">
        <v>56</v>
      </c>
      <c r="AD1392" t="s">
        <v>38</v>
      </c>
      <c r="AE1392" t="s">
        <v>49</v>
      </c>
      <c r="AF1392" t="s">
        <v>50</v>
      </c>
      <c r="AG1392">
        <v>0</v>
      </c>
      <c r="AH1392">
        <v>0</v>
      </c>
      <c r="AI1392" t="s">
        <v>51</v>
      </c>
      <c r="AJ1392" t="s">
        <v>51</v>
      </c>
      <c r="AK1392" t="s">
        <v>51</v>
      </c>
    </row>
    <row r="1393" spans="1:37" x14ac:dyDescent="0.2">
      <c r="A1393">
        <v>60357</v>
      </c>
      <c r="B1393" t="s">
        <v>37</v>
      </c>
      <c r="C1393" t="s">
        <v>38</v>
      </c>
      <c r="D1393" t="s">
        <v>295</v>
      </c>
      <c r="E1393" t="s">
        <v>296</v>
      </c>
      <c r="G1393" s="4">
        <v>43947.162789351852</v>
      </c>
      <c r="H1393" s="4">
        <v>43947.162858796296</v>
      </c>
      <c r="I1393" t="s">
        <v>75</v>
      </c>
      <c r="J1393" s="5">
        <v>6</v>
      </c>
      <c r="K1393" t="s">
        <v>38</v>
      </c>
      <c r="M1393">
        <v>60359</v>
      </c>
      <c r="N1393" t="s">
        <v>296</v>
      </c>
      <c r="O1393" t="s">
        <v>297</v>
      </c>
      <c r="P1393" t="s">
        <v>38</v>
      </c>
      <c r="Q1393" t="s">
        <v>50</v>
      </c>
      <c r="R1393">
        <v>0</v>
      </c>
      <c r="S1393" t="s">
        <v>45</v>
      </c>
      <c r="T1393" t="str" s="2">
        <f>=HYPERLINK("http://demo.enginatics.com:80/ecc/user/applications/log/60357.log","http://demo.enginatics.com:80/ecc/user/applications/log/60357.log")</f>
        <v>"http://demo.enginatics.com:80/ecc/user/applications/log/60357.log")</v>
      </c>
      <c r="U1393">
        <v>60360</v>
      </c>
      <c r="V1393" t="s">
        <v>38</v>
      </c>
      <c r="W1393" t="s">
        <v>50</v>
      </c>
      <c r="X1393">
        <v>0</v>
      </c>
      <c r="Y1393">
        <v>0</v>
      </c>
      <c r="Z1393" t="s">
        <v>46</v>
      </c>
      <c r="AA1393">
        <v>60361</v>
      </c>
      <c r="AB1393" t="s">
        <v>958</v>
      </c>
      <c r="AC1393" t="s">
        <v>68</v>
      </c>
      <c r="AD1393" t="s">
        <v>38</v>
      </c>
      <c r="AE1393" t="s">
        <v>49</v>
      </c>
      <c r="AF1393" t="s">
        <v>50</v>
      </c>
      <c r="AG1393">
        <v>0</v>
      </c>
      <c r="AH1393">
        <v>0</v>
      </c>
      <c r="AI1393" t="s">
        <v>51</v>
      </c>
      <c r="AJ1393" t="s">
        <v>51</v>
      </c>
      <c r="AK1393" t="s">
        <v>51</v>
      </c>
    </row>
    <row r="1394" spans="1:37" x14ac:dyDescent="0.2">
      <c r="A1394">
        <v>60354</v>
      </c>
      <c r="B1394" t="s">
        <v>37</v>
      </c>
      <c r="C1394" t="s">
        <v>38</v>
      </c>
      <c r="D1394" t="s">
        <v>295</v>
      </c>
      <c r="E1394" t="s">
        <v>299</v>
      </c>
      <c r="G1394" s="4">
        <v>43947.162789351852</v>
      </c>
      <c r="H1394" s="4">
        <v>43947.162905092593</v>
      </c>
      <c r="I1394" t="s">
        <v>300</v>
      </c>
      <c r="J1394" s="5">
        <v>10.00000000000000000000000000000000000002</v>
      </c>
      <c r="K1394" t="s">
        <v>38</v>
      </c>
      <c r="M1394">
        <v>60355</v>
      </c>
      <c r="N1394" t="s">
        <v>299</v>
      </c>
      <c r="O1394" t="s">
        <v>301</v>
      </c>
      <c r="P1394" t="s">
        <v>38</v>
      </c>
      <c r="Q1394" t="s">
        <v>300</v>
      </c>
      <c r="R1394">
        <v>10.00000000000000000000000000000000000002</v>
      </c>
      <c r="S1394" t="s">
        <v>45</v>
      </c>
      <c r="T1394" t="str" s="2">
        <f>=HYPERLINK("http://demo.enginatics.com:80/ecc/user/applications/log/60354.log","http://demo.enginatics.com:80/ecc/user/applications/log/60354.log")</f>
        <v>"http://demo.enginatics.com:80/ecc/user/applications/log/60354.log")</v>
      </c>
      <c r="U1394">
        <v>60356</v>
      </c>
      <c r="V1394" t="s">
        <v>38</v>
      </c>
      <c r="W1394" t="s">
        <v>300</v>
      </c>
      <c r="X1394">
        <v>10.00000000000000000000000000000000000002</v>
      </c>
      <c r="Y1394">
        <v>10</v>
      </c>
      <c r="Z1394" t="s">
        <v>46</v>
      </c>
      <c r="AA1394">
        <v>60363</v>
      </c>
      <c r="AB1394" t="s">
        <v>302</v>
      </c>
      <c r="AC1394" t="s">
        <v>68</v>
      </c>
      <c r="AD1394" t="s">
        <v>38</v>
      </c>
      <c r="AE1394" t="s">
        <v>49</v>
      </c>
      <c r="AF1394" t="s">
        <v>50</v>
      </c>
      <c r="AG1394">
        <v>0</v>
      </c>
      <c r="AH1394">
        <v>0</v>
      </c>
      <c r="AI1394" t="s">
        <v>51</v>
      </c>
      <c r="AJ1394" t="s">
        <v>51</v>
      </c>
      <c r="AK1394" t="s">
        <v>51</v>
      </c>
    </row>
    <row r="1395" spans="1:37" x14ac:dyDescent="0.2">
      <c r="A1395">
        <v>60354</v>
      </c>
      <c r="B1395" t="s">
        <v>37</v>
      </c>
      <c r="C1395" t="s">
        <v>38</v>
      </c>
      <c r="D1395" t="s">
        <v>295</v>
      </c>
      <c r="E1395" t="s">
        <v>299</v>
      </c>
      <c r="G1395" s="4">
        <v>43947.162789351852</v>
      </c>
      <c r="H1395" s="4">
        <v>43947.162905092593</v>
      </c>
      <c r="I1395" t="s">
        <v>300</v>
      </c>
      <c r="J1395" s="5">
        <v>10.00000000000000000000000000000000000002</v>
      </c>
      <c r="K1395" t="s">
        <v>38</v>
      </c>
      <c r="M1395">
        <v>60355</v>
      </c>
      <c r="N1395" t="s">
        <v>299</v>
      </c>
      <c r="O1395" t="s">
        <v>301</v>
      </c>
      <c r="P1395" t="s">
        <v>38</v>
      </c>
      <c r="Q1395" t="s">
        <v>300</v>
      </c>
      <c r="R1395">
        <v>10.00000000000000000000000000000000000002</v>
      </c>
      <c r="S1395" t="s">
        <v>45</v>
      </c>
      <c r="T1395" t="str" s="2">
        <f>=HYPERLINK("http://demo.enginatics.com:80/ecc/user/applications/log/60354.log","http://demo.enginatics.com:80/ecc/user/applications/log/60354.log")</f>
        <v>"http://demo.enginatics.com:80/ecc/user/applications/log/60354.log")</v>
      </c>
      <c r="U1395">
        <v>60356</v>
      </c>
      <c r="V1395" t="s">
        <v>38</v>
      </c>
      <c r="W1395" t="s">
        <v>300</v>
      </c>
      <c r="X1395">
        <v>10.00000000000000000000000000000000000002</v>
      </c>
      <c r="Y1395">
        <v>10</v>
      </c>
      <c r="Z1395" t="s">
        <v>46</v>
      </c>
      <c r="AA1395">
        <v>60362</v>
      </c>
      <c r="AB1395" t="s">
        <v>303</v>
      </c>
      <c r="AC1395" t="s">
        <v>56</v>
      </c>
      <c r="AD1395" t="s">
        <v>38</v>
      </c>
      <c r="AE1395" t="s">
        <v>49</v>
      </c>
      <c r="AF1395" t="s">
        <v>50</v>
      </c>
      <c r="AG1395">
        <v>0</v>
      </c>
      <c r="AH1395">
        <v>0</v>
      </c>
      <c r="AI1395" t="s">
        <v>51</v>
      </c>
      <c r="AJ1395" t="s">
        <v>51</v>
      </c>
      <c r="AK1395" t="s">
        <v>51</v>
      </c>
    </row>
    <row r="1396" spans="1:37" x14ac:dyDescent="0.2">
      <c r="A1396">
        <v>60349</v>
      </c>
      <c r="B1396" t="s">
        <v>37</v>
      </c>
      <c r="C1396" t="s">
        <v>38</v>
      </c>
      <c r="D1396" t="s">
        <v>295</v>
      </c>
      <c r="E1396" t="s">
        <v>304</v>
      </c>
      <c r="G1396" s="4">
        <v>43947.162685185185</v>
      </c>
      <c r="H1396" s="4">
        <v>43947.162696759259</v>
      </c>
      <c r="I1396" t="s">
        <v>50</v>
      </c>
      <c r="J1396" s="5">
        <v>.9999999999999999999999999999999999999996</v>
      </c>
      <c r="K1396" t="s">
        <v>38</v>
      </c>
      <c r="M1396">
        <v>60350</v>
      </c>
      <c r="N1396" t="s">
        <v>304</v>
      </c>
      <c r="O1396" t="s">
        <v>305</v>
      </c>
      <c r="P1396" t="s">
        <v>38</v>
      </c>
      <c r="Q1396" t="s">
        <v>50</v>
      </c>
      <c r="R1396">
        <v>.9999999999999999999999999999999999999996</v>
      </c>
      <c r="S1396" t="s">
        <v>45</v>
      </c>
      <c r="T1396" t="str" s="2">
        <f>=HYPERLINK("http://demo.enginatics.com:80/ecc/user/applications/log/60349.log","http://demo.enginatics.com:80/ecc/user/applications/log/60349.log")</f>
        <v>"http://demo.enginatics.com:80/ecc/user/applications/log/60349.log")</v>
      </c>
      <c r="U1396">
        <v>60351</v>
      </c>
      <c r="V1396" t="s">
        <v>38</v>
      </c>
      <c r="W1396" t="s">
        <v>50</v>
      </c>
      <c r="X1396">
        <v>.9999999999999999999999999999999999999996</v>
      </c>
      <c r="Y1396">
        <v>0</v>
      </c>
      <c r="Z1396" t="s">
        <v>46</v>
      </c>
      <c r="AA1396">
        <v>60352</v>
      </c>
      <c r="AB1396" t="s">
        <v>306</v>
      </c>
      <c r="AC1396" t="s">
        <v>68</v>
      </c>
      <c r="AD1396" t="s">
        <v>38</v>
      </c>
      <c r="AE1396" t="s">
        <v>49</v>
      </c>
      <c r="AF1396" t="s">
        <v>50</v>
      </c>
      <c r="AG1396">
        <v>0</v>
      </c>
      <c r="AH1396">
        <v>0</v>
      </c>
      <c r="AI1396" t="s">
        <v>51</v>
      </c>
      <c r="AJ1396" t="s">
        <v>51</v>
      </c>
      <c r="AK1396" t="s">
        <v>51</v>
      </c>
    </row>
    <row r="1397" spans="1:37" x14ac:dyDescent="0.2">
      <c r="A1397">
        <v>60342</v>
      </c>
      <c r="B1397" t="s">
        <v>37</v>
      </c>
      <c r="C1397" t="s">
        <v>38</v>
      </c>
      <c r="D1397" t="s">
        <v>307</v>
      </c>
      <c r="E1397" t="s">
        <v>40</v>
      </c>
      <c r="G1397" s="4">
        <v>43947.162581018519</v>
      </c>
      <c r="H1397" s="4">
        <v>43947.162858796296</v>
      </c>
      <c r="I1397" t="s">
        <v>1153</v>
      </c>
      <c r="J1397" s="5">
        <v>24.00000000000000000000000000000000000002</v>
      </c>
      <c r="K1397" t="s">
        <v>38</v>
      </c>
      <c r="M1397">
        <v>60346</v>
      </c>
      <c r="N1397" t="s">
        <v>309</v>
      </c>
      <c r="O1397" t="s">
        <v>310</v>
      </c>
      <c r="P1397" t="s">
        <v>38</v>
      </c>
      <c r="Q1397" t="s">
        <v>1153</v>
      </c>
      <c r="R1397">
        <v>24.00000000000000000000000000000000000002</v>
      </c>
      <c r="S1397" t="s">
        <v>45</v>
      </c>
      <c r="T1397" t="str" s="2">
        <f>=HYPERLINK("http://demo.enginatics.com:80/ecc/user/applications/log/60342.log","http://demo.enginatics.com:80/ecc/user/applications/log/60342.log")</f>
        <v>"http://demo.enginatics.com:80/ecc/user/applications/log/60342.log")</v>
      </c>
      <c r="U1397">
        <v>60347</v>
      </c>
      <c r="V1397" t="s">
        <v>38</v>
      </c>
      <c r="W1397" t="s">
        <v>1153</v>
      </c>
      <c r="X1397">
        <v>24.00000000000000000000000000000000000002</v>
      </c>
      <c r="Y1397">
        <v>0</v>
      </c>
      <c r="Z1397" t="s">
        <v>46</v>
      </c>
      <c r="AA1397">
        <v>60358</v>
      </c>
      <c r="AB1397" t="s">
        <v>1400</v>
      </c>
      <c r="AC1397" t="s">
        <v>56</v>
      </c>
      <c r="AD1397" t="s">
        <v>38</v>
      </c>
      <c r="AE1397" t="s">
        <v>49</v>
      </c>
      <c r="AF1397" t="s">
        <v>50</v>
      </c>
      <c r="AG1397">
        <v>0</v>
      </c>
      <c r="AH1397">
        <v>0</v>
      </c>
      <c r="AI1397" t="s">
        <v>51</v>
      </c>
      <c r="AJ1397" t="s">
        <v>51</v>
      </c>
      <c r="AK1397" t="s">
        <v>51</v>
      </c>
    </row>
    <row r="1398" spans="1:37" x14ac:dyDescent="0.2">
      <c r="A1398">
        <v>60342</v>
      </c>
      <c r="B1398" t="s">
        <v>37</v>
      </c>
      <c r="C1398" t="s">
        <v>38</v>
      </c>
      <c r="D1398" t="s">
        <v>307</v>
      </c>
      <c r="E1398" t="s">
        <v>40</v>
      </c>
      <c r="G1398" s="4">
        <v>43947.162581018519</v>
      </c>
      <c r="H1398" s="4">
        <v>43947.162858796296</v>
      </c>
      <c r="I1398" t="s">
        <v>1153</v>
      </c>
      <c r="J1398" s="5">
        <v>24.00000000000000000000000000000000000002</v>
      </c>
      <c r="K1398" t="s">
        <v>38</v>
      </c>
      <c r="M1398">
        <v>60346</v>
      </c>
      <c r="N1398" t="s">
        <v>309</v>
      </c>
      <c r="O1398" t="s">
        <v>310</v>
      </c>
      <c r="P1398" t="s">
        <v>38</v>
      </c>
      <c r="Q1398" t="s">
        <v>1153</v>
      </c>
      <c r="R1398">
        <v>24.00000000000000000000000000000000000002</v>
      </c>
      <c r="S1398" t="s">
        <v>45</v>
      </c>
      <c r="T1398" t="str" s="2">
        <f>=HYPERLINK("http://demo.enginatics.com:80/ecc/user/applications/log/60342.log","http://demo.enginatics.com:80/ecc/user/applications/log/60342.log")</f>
        <v>"http://demo.enginatics.com:80/ecc/user/applications/log/60342.log")</v>
      </c>
      <c r="U1398">
        <v>60347</v>
      </c>
      <c r="V1398" t="s">
        <v>38</v>
      </c>
      <c r="W1398" t="s">
        <v>1153</v>
      </c>
      <c r="X1398">
        <v>24.00000000000000000000000000000000000002</v>
      </c>
      <c r="Y1398">
        <v>0</v>
      </c>
      <c r="Z1398" t="s">
        <v>46</v>
      </c>
      <c r="AA1398">
        <v>60353</v>
      </c>
      <c r="AB1398" t="s">
        <v>1401</v>
      </c>
      <c r="AC1398" t="s">
        <v>97</v>
      </c>
      <c r="AD1398" t="s">
        <v>38</v>
      </c>
      <c r="AE1398" t="s">
        <v>49</v>
      </c>
      <c r="AF1398" t="s">
        <v>236</v>
      </c>
      <c r="AG1398">
        <v>12.00000000000000000000000000000000000001</v>
      </c>
      <c r="AH1398">
        <v>11</v>
      </c>
      <c r="AI1398" t="s">
        <v>51</v>
      </c>
      <c r="AJ1398" t="s">
        <v>51</v>
      </c>
      <c r="AK1398" t="s">
        <v>51</v>
      </c>
    </row>
    <row r="1399" spans="1:37" x14ac:dyDescent="0.2">
      <c r="A1399">
        <v>60342</v>
      </c>
      <c r="B1399" t="s">
        <v>37</v>
      </c>
      <c r="C1399" t="s">
        <v>38</v>
      </c>
      <c r="D1399" t="s">
        <v>307</v>
      </c>
      <c r="E1399" t="s">
        <v>40</v>
      </c>
      <c r="G1399" s="4">
        <v>43947.162581018519</v>
      </c>
      <c r="H1399" s="4">
        <v>43947.162858796296</v>
      </c>
      <c r="I1399" t="s">
        <v>1153</v>
      </c>
      <c r="J1399" s="5">
        <v>24.00000000000000000000000000000000000002</v>
      </c>
      <c r="K1399" t="s">
        <v>38</v>
      </c>
      <c r="M1399">
        <v>60346</v>
      </c>
      <c r="N1399" t="s">
        <v>309</v>
      </c>
      <c r="O1399" t="s">
        <v>310</v>
      </c>
      <c r="P1399" t="s">
        <v>38</v>
      </c>
      <c r="Q1399" t="s">
        <v>1153</v>
      </c>
      <c r="R1399">
        <v>24.00000000000000000000000000000000000002</v>
      </c>
      <c r="S1399" t="s">
        <v>45</v>
      </c>
      <c r="T1399" t="str" s="2">
        <f>=HYPERLINK("http://demo.enginatics.com:80/ecc/user/applications/log/60342.log","http://demo.enginatics.com:80/ecc/user/applications/log/60342.log")</f>
        <v>"http://demo.enginatics.com:80/ecc/user/applications/log/60342.log")</v>
      </c>
      <c r="U1399">
        <v>60347</v>
      </c>
      <c r="V1399" t="s">
        <v>38</v>
      </c>
      <c r="W1399" t="s">
        <v>1153</v>
      </c>
      <c r="X1399">
        <v>24.00000000000000000000000000000000000002</v>
      </c>
      <c r="Y1399">
        <v>0</v>
      </c>
      <c r="Z1399" t="s">
        <v>46</v>
      </c>
      <c r="AA1399">
        <v>60348</v>
      </c>
      <c r="AB1399" t="s">
        <v>1402</v>
      </c>
      <c r="AC1399" t="s">
        <v>97</v>
      </c>
      <c r="AD1399" t="s">
        <v>38</v>
      </c>
      <c r="AE1399" t="s">
        <v>49</v>
      </c>
      <c r="AF1399" t="s">
        <v>236</v>
      </c>
      <c r="AG1399">
        <v>12.00000000000000000000000000000000000001</v>
      </c>
      <c r="AH1399">
        <v>11</v>
      </c>
      <c r="AI1399" t="s">
        <v>51</v>
      </c>
      <c r="AJ1399" t="s">
        <v>51</v>
      </c>
      <c r="AK1399" t="s">
        <v>51</v>
      </c>
    </row>
    <row r="1400" spans="1:37" x14ac:dyDescent="0.2">
      <c r="A1400">
        <v>60342</v>
      </c>
      <c r="B1400" t="s">
        <v>37</v>
      </c>
      <c r="C1400" t="s">
        <v>38</v>
      </c>
      <c r="D1400" t="s">
        <v>307</v>
      </c>
      <c r="E1400" t="s">
        <v>40</v>
      </c>
      <c r="G1400" s="4">
        <v>43947.162581018519</v>
      </c>
      <c r="H1400" s="4">
        <v>43947.162858796296</v>
      </c>
      <c r="I1400" t="s">
        <v>1153</v>
      </c>
      <c r="J1400" s="5">
        <v>24.00000000000000000000000000000000000002</v>
      </c>
      <c r="K1400" t="s">
        <v>38</v>
      </c>
      <c r="M1400">
        <v>60343</v>
      </c>
      <c r="N1400" t="s">
        <v>316</v>
      </c>
      <c r="O1400" t="s">
        <v>317</v>
      </c>
      <c r="P1400" t="s">
        <v>38</v>
      </c>
      <c r="Q1400" t="s">
        <v>50</v>
      </c>
      <c r="R1400">
        <v>0</v>
      </c>
      <c r="S1400" t="s">
        <v>45</v>
      </c>
      <c r="T1400" t="str" s="2">
        <f>=HYPERLINK("http://demo.enginatics.com:80/ecc/user/applications/log/60342.log","http://demo.enginatics.com:80/ecc/user/applications/log/60342.log")</f>
        <v>"http://demo.enginatics.com:80/ecc/user/applications/log/60342.log")</v>
      </c>
      <c r="U1400">
        <v>60344</v>
      </c>
      <c r="V1400" t="s">
        <v>38</v>
      </c>
      <c r="W1400" t="s">
        <v>50</v>
      </c>
      <c r="X1400">
        <v>0</v>
      </c>
      <c r="Y1400">
        <v>0</v>
      </c>
      <c r="Z1400" t="s">
        <v>46</v>
      </c>
      <c r="AA1400">
        <v>60345</v>
      </c>
      <c r="AB1400" t="s">
        <v>1403</v>
      </c>
      <c r="AC1400" t="s">
        <v>97</v>
      </c>
      <c r="AD1400" t="s">
        <v>38</v>
      </c>
      <c r="AE1400" t="s">
        <v>49</v>
      </c>
      <c r="AF1400" t="s">
        <v>50</v>
      </c>
      <c r="AG1400">
        <v>0</v>
      </c>
      <c r="AH1400">
        <v>0</v>
      </c>
      <c r="AI1400" t="s">
        <v>51</v>
      </c>
      <c r="AJ1400" t="s">
        <v>51</v>
      </c>
      <c r="AK1400" t="s">
        <v>51</v>
      </c>
    </row>
    <row r="1401" spans="1:37" x14ac:dyDescent="0.2">
      <c r="A1401">
        <v>60337</v>
      </c>
      <c r="B1401" t="s">
        <v>37</v>
      </c>
      <c r="C1401" t="s">
        <v>38</v>
      </c>
      <c r="D1401" t="s">
        <v>253</v>
      </c>
      <c r="E1401" t="s">
        <v>319</v>
      </c>
      <c r="G1401" s="4">
        <v>43947.162256944444</v>
      </c>
      <c r="H1401" s="4">
        <v>43947.162280092593</v>
      </c>
      <c r="I1401" t="s">
        <v>88</v>
      </c>
      <c r="J1401" s="5">
        <v>2</v>
      </c>
      <c r="K1401" t="s">
        <v>38</v>
      </c>
      <c r="M1401">
        <v>60338</v>
      </c>
      <c r="N1401" t="s">
        <v>319</v>
      </c>
      <c r="O1401" t="s">
        <v>320</v>
      </c>
      <c r="P1401" t="s">
        <v>38</v>
      </c>
      <c r="Q1401" t="s">
        <v>88</v>
      </c>
      <c r="R1401">
        <v>2</v>
      </c>
      <c r="S1401" t="s">
        <v>45</v>
      </c>
      <c r="T1401" t="str" s="2">
        <f>=HYPERLINK("http://demo.enginatics.com:80/ecc/user/applications/log/60337.log","http://demo.enginatics.com:80/ecc/user/applications/log/60337.log")</f>
        <v>"http://demo.enginatics.com:80/ecc/user/applications/log/60337.log")</v>
      </c>
      <c r="U1401">
        <v>60339</v>
      </c>
      <c r="V1401" t="s">
        <v>38</v>
      </c>
      <c r="W1401" t="s">
        <v>88</v>
      </c>
      <c r="X1401">
        <v>2</v>
      </c>
      <c r="Y1401">
        <v>1</v>
      </c>
      <c r="Z1401" t="s">
        <v>46</v>
      </c>
      <c r="AA1401">
        <v>60341</v>
      </c>
      <c r="AB1401" t="s">
        <v>321</v>
      </c>
      <c r="AC1401" t="s">
        <v>68</v>
      </c>
      <c r="AD1401" t="s">
        <v>38</v>
      </c>
      <c r="AE1401" t="s">
        <v>49</v>
      </c>
      <c r="AF1401" t="s">
        <v>50</v>
      </c>
      <c r="AG1401">
        <v>0</v>
      </c>
      <c r="AH1401">
        <v>0</v>
      </c>
      <c r="AI1401" t="s">
        <v>51</v>
      </c>
      <c r="AJ1401" t="s">
        <v>51</v>
      </c>
      <c r="AK1401" t="s">
        <v>51</v>
      </c>
    </row>
    <row r="1402" spans="1:37" x14ac:dyDescent="0.2">
      <c r="A1402">
        <v>60337</v>
      </c>
      <c r="B1402" t="s">
        <v>37</v>
      </c>
      <c r="C1402" t="s">
        <v>38</v>
      </c>
      <c r="D1402" t="s">
        <v>253</v>
      </c>
      <c r="E1402" t="s">
        <v>319</v>
      </c>
      <c r="G1402" s="4">
        <v>43947.162256944444</v>
      </c>
      <c r="H1402" s="4">
        <v>43947.162280092593</v>
      </c>
      <c r="I1402" t="s">
        <v>88</v>
      </c>
      <c r="J1402" s="5">
        <v>2</v>
      </c>
      <c r="K1402" t="s">
        <v>38</v>
      </c>
      <c r="M1402">
        <v>60338</v>
      </c>
      <c r="N1402" t="s">
        <v>319</v>
      </c>
      <c r="O1402" t="s">
        <v>320</v>
      </c>
      <c r="P1402" t="s">
        <v>38</v>
      </c>
      <c r="Q1402" t="s">
        <v>88</v>
      </c>
      <c r="R1402">
        <v>2</v>
      </c>
      <c r="S1402" t="s">
        <v>45</v>
      </c>
      <c r="T1402" t="str" s="2">
        <f>=HYPERLINK("http://demo.enginatics.com:80/ecc/user/applications/log/60337.log","http://demo.enginatics.com:80/ecc/user/applications/log/60337.log")</f>
        <v>"http://demo.enginatics.com:80/ecc/user/applications/log/60337.log")</v>
      </c>
      <c r="U1402">
        <v>60339</v>
      </c>
      <c r="V1402" t="s">
        <v>38</v>
      </c>
      <c r="W1402" t="s">
        <v>88</v>
      </c>
      <c r="X1402">
        <v>2</v>
      </c>
      <c r="Y1402">
        <v>1</v>
      </c>
      <c r="Z1402" t="s">
        <v>46</v>
      </c>
      <c r="AA1402">
        <v>60340</v>
      </c>
      <c r="AB1402" t="s">
        <v>322</v>
      </c>
      <c r="AC1402" t="s">
        <v>56</v>
      </c>
      <c r="AD1402" t="s">
        <v>38</v>
      </c>
      <c r="AE1402" t="s">
        <v>49</v>
      </c>
      <c r="AF1402" t="s">
        <v>50</v>
      </c>
      <c r="AG1402">
        <v>0</v>
      </c>
      <c r="AH1402">
        <v>0</v>
      </c>
      <c r="AI1402" t="s">
        <v>51</v>
      </c>
      <c r="AJ1402" t="s">
        <v>51</v>
      </c>
      <c r="AK1402" t="s">
        <v>51</v>
      </c>
    </row>
    <row r="1403" spans="1:37" x14ac:dyDescent="0.2">
      <c r="A1403">
        <v>60333</v>
      </c>
      <c r="B1403" t="s">
        <v>37</v>
      </c>
      <c r="C1403" t="s">
        <v>38</v>
      </c>
      <c r="D1403" t="s">
        <v>253</v>
      </c>
      <c r="E1403" t="s">
        <v>358</v>
      </c>
      <c r="G1403" s="4">
        <v>43947.162141203704</v>
      </c>
      <c r="H1403" s="4">
        <v>43947.162152777778</v>
      </c>
      <c r="I1403" t="s">
        <v>50</v>
      </c>
      <c r="J1403" s="5">
        <v>.9999999999999999999999999999999999999996</v>
      </c>
      <c r="K1403" t="s">
        <v>38</v>
      </c>
      <c r="M1403">
        <v>60334</v>
      </c>
      <c r="N1403" t="s">
        <v>358</v>
      </c>
      <c r="O1403" t="s">
        <v>359</v>
      </c>
      <c r="P1403" t="s">
        <v>38</v>
      </c>
      <c r="Q1403" t="s">
        <v>50</v>
      </c>
      <c r="R1403">
        <v>.9999999999999999999999999999999999999996</v>
      </c>
      <c r="S1403" t="s">
        <v>45</v>
      </c>
      <c r="T1403" t="str" s="2">
        <f>=HYPERLINK("http://demo.enginatics.com:80/ecc/user/applications/log/60333.log","http://demo.enginatics.com:80/ecc/user/applications/log/60333.log")</f>
        <v>"http://demo.enginatics.com:80/ecc/user/applications/log/60333.log")</v>
      </c>
      <c r="U1403">
        <v>60335</v>
      </c>
      <c r="V1403" t="s">
        <v>38</v>
      </c>
      <c r="W1403" t="s">
        <v>50</v>
      </c>
      <c r="X1403">
        <v>0</v>
      </c>
      <c r="Y1403">
        <v>0</v>
      </c>
      <c r="Z1403" t="s">
        <v>46</v>
      </c>
      <c r="AA1403">
        <v>60336</v>
      </c>
      <c r="AB1403" t="s">
        <v>360</v>
      </c>
      <c r="AC1403" t="s">
        <v>68</v>
      </c>
      <c r="AD1403" t="s">
        <v>38</v>
      </c>
      <c r="AE1403" t="s">
        <v>49</v>
      </c>
      <c r="AF1403" t="s">
        <v>50</v>
      </c>
      <c r="AG1403">
        <v>0</v>
      </c>
      <c r="AH1403">
        <v>0</v>
      </c>
      <c r="AI1403" t="s">
        <v>51</v>
      </c>
      <c r="AJ1403" t="s">
        <v>51</v>
      </c>
      <c r="AK1403" t="s">
        <v>51</v>
      </c>
    </row>
    <row r="1404" spans="1:37" x14ac:dyDescent="0.2">
      <c r="A1404">
        <v>60302</v>
      </c>
      <c r="B1404" t="s">
        <v>37</v>
      </c>
      <c r="C1404" t="s">
        <v>38</v>
      </c>
      <c r="D1404" t="s">
        <v>323</v>
      </c>
      <c r="E1404" t="s">
        <v>40</v>
      </c>
      <c r="G1404" s="4">
        <v>43947.161956018519</v>
      </c>
      <c r="H1404" s="4">
        <v>43947.16212962963</v>
      </c>
      <c r="I1404" t="s">
        <v>315</v>
      </c>
      <c r="J1404" s="5">
        <v>14.99999999999999999999999999999999999999</v>
      </c>
      <c r="K1404" t="s">
        <v>38</v>
      </c>
      <c r="M1404">
        <v>60330</v>
      </c>
      <c r="N1404" t="s">
        <v>325</v>
      </c>
      <c r="O1404" t="s">
        <v>326</v>
      </c>
      <c r="P1404" t="s">
        <v>38</v>
      </c>
      <c r="Q1404" t="s">
        <v>50</v>
      </c>
      <c r="R1404">
        <v>0</v>
      </c>
      <c r="S1404" t="s">
        <v>45</v>
      </c>
      <c r="T1404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04">
        <v>60331</v>
      </c>
      <c r="V1404" t="s">
        <v>38</v>
      </c>
      <c r="W1404" t="s">
        <v>50</v>
      </c>
      <c r="X1404">
        <v>0</v>
      </c>
      <c r="Y1404">
        <v>0</v>
      </c>
      <c r="Z1404" t="s">
        <v>46</v>
      </c>
      <c r="AA1404">
        <v>60332</v>
      </c>
      <c r="AB1404" t="s">
        <v>1404</v>
      </c>
      <c r="AC1404" t="s">
        <v>97</v>
      </c>
      <c r="AD1404" t="s">
        <v>38</v>
      </c>
      <c r="AE1404" t="s">
        <v>49</v>
      </c>
      <c r="AF1404" t="s">
        <v>50</v>
      </c>
      <c r="AG1404">
        <v>0</v>
      </c>
      <c r="AH1404">
        <v>0</v>
      </c>
      <c r="AI1404" t="s">
        <v>51</v>
      </c>
      <c r="AJ1404" t="s">
        <v>51</v>
      </c>
      <c r="AK1404" t="s">
        <v>51</v>
      </c>
    </row>
    <row r="1405" spans="1:37" x14ac:dyDescent="0.2">
      <c r="A1405">
        <v>60302</v>
      </c>
      <c r="B1405" t="s">
        <v>37</v>
      </c>
      <c r="C1405" t="s">
        <v>38</v>
      </c>
      <c r="D1405" t="s">
        <v>323</v>
      </c>
      <c r="E1405" t="s">
        <v>40</v>
      </c>
      <c r="G1405" s="4">
        <v>43947.161956018519</v>
      </c>
      <c r="H1405" s="4">
        <v>43947.16212962963</v>
      </c>
      <c r="I1405" t="s">
        <v>315</v>
      </c>
      <c r="J1405" s="5">
        <v>14.99999999999999999999999999999999999999</v>
      </c>
      <c r="K1405" t="s">
        <v>38</v>
      </c>
      <c r="M1405">
        <v>60323</v>
      </c>
      <c r="N1405" t="s">
        <v>328</v>
      </c>
      <c r="O1405" t="s">
        <v>329</v>
      </c>
      <c r="P1405" t="s">
        <v>38</v>
      </c>
      <c r="Q1405" t="s">
        <v>50</v>
      </c>
      <c r="R1405">
        <v>.9999999999999999999999999999999999999996</v>
      </c>
      <c r="S1405" t="s">
        <v>45</v>
      </c>
      <c r="T1405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05">
        <v>60324</v>
      </c>
      <c r="V1405" t="s">
        <v>38</v>
      </c>
      <c r="W1405" t="s">
        <v>50</v>
      </c>
      <c r="X1405">
        <v>.9999999999999999999999999999999999999996</v>
      </c>
      <c r="Y1405">
        <v>0</v>
      </c>
      <c r="Z1405" t="s">
        <v>46</v>
      </c>
      <c r="AA1405">
        <v>60329</v>
      </c>
      <c r="AB1405" t="s">
        <v>1405</v>
      </c>
      <c r="AC1405" t="s">
        <v>97</v>
      </c>
      <c r="AD1405" t="s">
        <v>38</v>
      </c>
      <c r="AE1405" t="s">
        <v>49</v>
      </c>
      <c r="AF1405" t="s">
        <v>50</v>
      </c>
      <c r="AG1405">
        <v>0</v>
      </c>
      <c r="AH1405">
        <v>0</v>
      </c>
      <c r="AI1405" t="s">
        <v>51</v>
      </c>
      <c r="AJ1405" t="s">
        <v>51</v>
      </c>
      <c r="AK1405" t="s">
        <v>51</v>
      </c>
    </row>
    <row r="1406" spans="1:37" x14ac:dyDescent="0.2">
      <c r="A1406">
        <v>60302</v>
      </c>
      <c r="B1406" t="s">
        <v>37</v>
      </c>
      <c r="C1406" t="s">
        <v>38</v>
      </c>
      <c r="D1406" t="s">
        <v>323</v>
      </c>
      <c r="E1406" t="s">
        <v>40</v>
      </c>
      <c r="G1406" s="4">
        <v>43947.161956018519</v>
      </c>
      <c r="H1406" s="4">
        <v>43947.16212962963</v>
      </c>
      <c r="I1406" t="s">
        <v>315</v>
      </c>
      <c r="J1406" s="5">
        <v>14.99999999999999999999999999999999999999</v>
      </c>
      <c r="K1406" t="s">
        <v>38</v>
      </c>
      <c r="M1406">
        <v>60323</v>
      </c>
      <c r="N1406" t="s">
        <v>328</v>
      </c>
      <c r="O1406" t="s">
        <v>329</v>
      </c>
      <c r="P1406" t="s">
        <v>38</v>
      </c>
      <c r="Q1406" t="s">
        <v>50</v>
      </c>
      <c r="R1406">
        <v>.9999999999999999999999999999999999999996</v>
      </c>
      <c r="S1406" t="s">
        <v>45</v>
      </c>
      <c r="T1406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06">
        <v>60324</v>
      </c>
      <c r="V1406" t="s">
        <v>38</v>
      </c>
      <c r="W1406" t="s">
        <v>50</v>
      </c>
      <c r="X1406">
        <v>.9999999999999999999999999999999999999996</v>
      </c>
      <c r="Y1406">
        <v>0</v>
      </c>
      <c r="Z1406" t="s">
        <v>46</v>
      </c>
      <c r="AA1406">
        <v>60328</v>
      </c>
      <c r="AB1406" t="s">
        <v>1406</v>
      </c>
      <c r="AC1406" t="s">
        <v>97</v>
      </c>
      <c r="AD1406" t="s">
        <v>38</v>
      </c>
      <c r="AE1406" t="s">
        <v>49</v>
      </c>
      <c r="AF1406" t="s">
        <v>50</v>
      </c>
      <c r="AG1406">
        <v>0</v>
      </c>
      <c r="AH1406">
        <v>0</v>
      </c>
      <c r="AI1406" t="s">
        <v>51</v>
      </c>
      <c r="AJ1406" t="s">
        <v>51</v>
      </c>
      <c r="AK1406" t="s">
        <v>51</v>
      </c>
    </row>
    <row r="1407" spans="1:37" x14ac:dyDescent="0.2">
      <c r="A1407">
        <v>60302</v>
      </c>
      <c r="B1407" t="s">
        <v>37</v>
      </c>
      <c r="C1407" t="s">
        <v>38</v>
      </c>
      <c r="D1407" t="s">
        <v>323</v>
      </c>
      <c r="E1407" t="s">
        <v>40</v>
      </c>
      <c r="G1407" s="4">
        <v>43947.161956018519</v>
      </c>
      <c r="H1407" s="4">
        <v>43947.16212962963</v>
      </c>
      <c r="I1407" t="s">
        <v>315</v>
      </c>
      <c r="J1407" s="5">
        <v>14.99999999999999999999999999999999999999</v>
      </c>
      <c r="K1407" t="s">
        <v>38</v>
      </c>
      <c r="M1407">
        <v>60323</v>
      </c>
      <c r="N1407" t="s">
        <v>328</v>
      </c>
      <c r="O1407" t="s">
        <v>329</v>
      </c>
      <c r="P1407" t="s">
        <v>38</v>
      </c>
      <c r="Q1407" t="s">
        <v>50</v>
      </c>
      <c r="R1407">
        <v>.9999999999999999999999999999999999999996</v>
      </c>
      <c r="S1407" t="s">
        <v>45</v>
      </c>
      <c r="T1407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07">
        <v>60324</v>
      </c>
      <c r="V1407" t="s">
        <v>38</v>
      </c>
      <c r="W1407" t="s">
        <v>50</v>
      </c>
      <c r="X1407">
        <v>.9999999999999999999999999999999999999996</v>
      </c>
      <c r="Y1407">
        <v>0</v>
      </c>
      <c r="Z1407" t="s">
        <v>46</v>
      </c>
      <c r="AA1407">
        <v>60327</v>
      </c>
      <c r="AB1407" t="s">
        <v>1407</v>
      </c>
      <c r="AC1407" t="s">
        <v>97</v>
      </c>
      <c r="AD1407" t="s">
        <v>38</v>
      </c>
      <c r="AE1407" t="s">
        <v>49</v>
      </c>
      <c r="AF1407" t="s">
        <v>50</v>
      </c>
      <c r="AG1407">
        <v>0</v>
      </c>
      <c r="AH1407">
        <v>0</v>
      </c>
      <c r="AI1407" t="s">
        <v>51</v>
      </c>
      <c r="AJ1407" t="s">
        <v>51</v>
      </c>
      <c r="AK1407" t="s">
        <v>51</v>
      </c>
    </row>
    <row r="1408" spans="1:37" x14ac:dyDescent="0.2">
      <c r="A1408">
        <v>60302</v>
      </c>
      <c r="B1408" t="s">
        <v>37</v>
      </c>
      <c r="C1408" t="s">
        <v>38</v>
      </c>
      <c r="D1408" t="s">
        <v>323</v>
      </c>
      <c r="E1408" t="s">
        <v>40</v>
      </c>
      <c r="G1408" s="4">
        <v>43947.161956018519</v>
      </c>
      <c r="H1408" s="4">
        <v>43947.16212962963</v>
      </c>
      <c r="I1408" t="s">
        <v>315</v>
      </c>
      <c r="J1408" s="5">
        <v>14.99999999999999999999999999999999999999</v>
      </c>
      <c r="K1408" t="s">
        <v>38</v>
      </c>
      <c r="M1408">
        <v>60323</v>
      </c>
      <c r="N1408" t="s">
        <v>328</v>
      </c>
      <c r="O1408" t="s">
        <v>329</v>
      </c>
      <c r="P1408" t="s">
        <v>38</v>
      </c>
      <c r="Q1408" t="s">
        <v>50</v>
      </c>
      <c r="R1408">
        <v>.9999999999999999999999999999999999999996</v>
      </c>
      <c r="S1408" t="s">
        <v>45</v>
      </c>
      <c r="T1408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08">
        <v>60324</v>
      </c>
      <c r="V1408" t="s">
        <v>38</v>
      </c>
      <c r="W1408" t="s">
        <v>50</v>
      </c>
      <c r="X1408">
        <v>.9999999999999999999999999999999999999996</v>
      </c>
      <c r="Y1408">
        <v>0</v>
      </c>
      <c r="Z1408" t="s">
        <v>46</v>
      </c>
      <c r="AA1408">
        <v>60326</v>
      </c>
      <c r="AB1408" t="s">
        <v>1408</v>
      </c>
      <c r="AC1408" t="s">
        <v>97</v>
      </c>
      <c r="AD1408" t="s">
        <v>38</v>
      </c>
      <c r="AE1408" t="s">
        <v>49</v>
      </c>
      <c r="AF1408" t="s">
        <v>50</v>
      </c>
      <c r="AG1408">
        <v>0</v>
      </c>
      <c r="AH1408">
        <v>0</v>
      </c>
      <c r="AI1408" t="s">
        <v>51</v>
      </c>
      <c r="AJ1408" t="s">
        <v>51</v>
      </c>
      <c r="AK1408" t="s">
        <v>51</v>
      </c>
    </row>
    <row r="1409" spans="1:37" x14ac:dyDescent="0.2">
      <c r="A1409">
        <v>60302</v>
      </c>
      <c r="B1409" t="s">
        <v>37</v>
      </c>
      <c r="C1409" t="s">
        <v>38</v>
      </c>
      <c r="D1409" t="s">
        <v>323</v>
      </c>
      <c r="E1409" t="s">
        <v>40</v>
      </c>
      <c r="G1409" s="4">
        <v>43947.161956018519</v>
      </c>
      <c r="H1409" s="4">
        <v>43947.16212962963</v>
      </c>
      <c r="I1409" t="s">
        <v>315</v>
      </c>
      <c r="J1409" s="5">
        <v>14.99999999999999999999999999999999999999</v>
      </c>
      <c r="K1409" t="s">
        <v>38</v>
      </c>
      <c r="M1409">
        <v>60323</v>
      </c>
      <c r="N1409" t="s">
        <v>328</v>
      </c>
      <c r="O1409" t="s">
        <v>329</v>
      </c>
      <c r="P1409" t="s">
        <v>38</v>
      </c>
      <c r="Q1409" t="s">
        <v>50</v>
      </c>
      <c r="R1409">
        <v>.9999999999999999999999999999999999999996</v>
      </c>
      <c r="S1409" t="s">
        <v>45</v>
      </c>
      <c r="T1409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09">
        <v>60324</v>
      </c>
      <c r="V1409" t="s">
        <v>38</v>
      </c>
      <c r="W1409" t="s">
        <v>50</v>
      </c>
      <c r="X1409">
        <v>.9999999999999999999999999999999999999996</v>
      </c>
      <c r="Y1409">
        <v>0</v>
      </c>
      <c r="Z1409" t="s">
        <v>46</v>
      </c>
      <c r="AA1409">
        <v>60325</v>
      </c>
      <c r="AB1409" t="s">
        <v>1409</v>
      </c>
      <c r="AC1409" t="s">
        <v>97</v>
      </c>
      <c r="AD1409" t="s">
        <v>38</v>
      </c>
      <c r="AE1409" t="s">
        <v>49</v>
      </c>
      <c r="AF1409" t="s">
        <v>50</v>
      </c>
      <c r="AG1409">
        <v>0</v>
      </c>
      <c r="AH1409">
        <v>0</v>
      </c>
      <c r="AI1409" t="s">
        <v>51</v>
      </c>
      <c r="AJ1409" t="s">
        <v>51</v>
      </c>
      <c r="AK1409" t="s">
        <v>51</v>
      </c>
    </row>
    <row r="1410" spans="1:37" x14ac:dyDescent="0.2">
      <c r="A1410">
        <v>60302</v>
      </c>
      <c r="B1410" t="s">
        <v>37</v>
      </c>
      <c r="C1410" t="s">
        <v>38</v>
      </c>
      <c r="D1410" t="s">
        <v>323</v>
      </c>
      <c r="E1410" t="s">
        <v>40</v>
      </c>
      <c r="G1410" s="4">
        <v>43947.161956018519</v>
      </c>
      <c r="H1410" s="4">
        <v>43947.16212962963</v>
      </c>
      <c r="I1410" t="s">
        <v>315</v>
      </c>
      <c r="J1410" s="5">
        <v>14.99999999999999999999999999999999999999</v>
      </c>
      <c r="K1410" t="s">
        <v>38</v>
      </c>
      <c r="M1410">
        <v>60315</v>
      </c>
      <c r="N1410" t="s">
        <v>335</v>
      </c>
      <c r="O1410" t="s">
        <v>336</v>
      </c>
      <c r="P1410" t="s">
        <v>38</v>
      </c>
      <c r="Q1410" t="s">
        <v>337</v>
      </c>
      <c r="R1410">
        <v>11.00000000000000000000000000000000000002</v>
      </c>
      <c r="S1410" t="s">
        <v>45</v>
      </c>
      <c r="T1410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0">
        <v>60316</v>
      </c>
      <c r="V1410" t="s">
        <v>38</v>
      </c>
      <c r="W1410" t="s">
        <v>337</v>
      </c>
      <c r="X1410">
        <v>11.00000000000000000000000000000000000002</v>
      </c>
      <c r="Y1410">
        <v>0</v>
      </c>
      <c r="Z1410" t="s">
        <v>46</v>
      </c>
      <c r="AA1410">
        <v>60322</v>
      </c>
      <c r="AB1410" t="s">
        <v>1410</v>
      </c>
      <c r="AC1410" t="s">
        <v>97</v>
      </c>
      <c r="AD1410" t="s">
        <v>38</v>
      </c>
      <c r="AE1410" t="s">
        <v>49</v>
      </c>
      <c r="AF1410" t="s">
        <v>50</v>
      </c>
      <c r="AG1410">
        <v>0</v>
      </c>
      <c r="AH1410">
        <v>0</v>
      </c>
      <c r="AI1410" t="s">
        <v>51</v>
      </c>
      <c r="AJ1410" t="s">
        <v>51</v>
      </c>
      <c r="AK1410" t="s">
        <v>51</v>
      </c>
    </row>
    <row r="1411" spans="1:37" x14ac:dyDescent="0.2">
      <c r="A1411">
        <v>60302</v>
      </c>
      <c r="B1411" t="s">
        <v>37</v>
      </c>
      <c r="C1411" t="s">
        <v>38</v>
      </c>
      <c r="D1411" t="s">
        <v>323</v>
      </c>
      <c r="E1411" t="s">
        <v>40</v>
      </c>
      <c r="G1411" s="4">
        <v>43947.161956018519</v>
      </c>
      <c r="H1411" s="4">
        <v>43947.16212962963</v>
      </c>
      <c r="I1411" t="s">
        <v>315</v>
      </c>
      <c r="J1411" s="5">
        <v>14.99999999999999999999999999999999999999</v>
      </c>
      <c r="K1411" t="s">
        <v>38</v>
      </c>
      <c r="M1411">
        <v>60315</v>
      </c>
      <c r="N1411" t="s">
        <v>335</v>
      </c>
      <c r="O1411" t="s">
        <v>336</v>
      </c>
      <c r="P1411" t="s">
        <v>38</v>
      </c>
      <c r="Q1411" t="s">
        <v>337</v>
      </c>
      <c r="R1411">
        <v>11.00000000000000000000000000000000000002</v>
      </c>
      <c r="S1411" t="s">
        <v>45</v>
      </c>
      <c r="T1411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1">
        <v>60316</v>
      </c>
      <c r="V1411" t="s">
        <v>38</v>
      </c>
      <c r="W1411" t="s">
        <v>337</v>
      </c>
      <c r="X1411">
        <v>11.00000000000000000000000000000000000002</v>
      </c>
      <c r="Y1411">
        <v>0</v>
      </c>
      <c r="Z1411" t="s">
        <v>46</v>
      </c>
      <c r="AA1411">
        <v>60321</v>
      </c>
      <c r="AB1411" t="s">
        <v>1411</v>
      </c>
      <c r="AC1411" t="s">
        <v>97</v>
      </c>
      <c r="AD1411" t="s">
        <v>38</v>
      </c>
      <c r="AE1411" t="s">
        <v>49</v>
      </c>
      <c r="AF1411" t="s">
        <v>50</v>
      </c>
      <c r="AG1411">
        <v>0</v>
      </c>
      <c r="AH1411">
        <v>0</v>
      </c>
      <c r="AI1411" t="s">
        <v>51</v>
      </c>
      <c r="AJ1411" t="s">
        <v>51</v>
      </c>
      <c r="AK1411" t="s">
        <v>51</v>
      </c>
    </row>
    <row r="1412" spans="1:37" x14ac:dyDescent="0.2">
      <c r="A1412">
        <v>60302</v>
      </c>
      <c r="B1412" t="s">
        <v>37</v>
      </c>
      <c r="C1412" t="s">
        <v>38</v>
      </c>
      <c r="D1412" t="s">
        <v>323</v>
      </c>
      <c r="E1412" t="s">
        <v>40</v>
      </c>
      <c r="G1412" s="4">
        <v>43947.161956018519</v>
      </c>
      <c r="H1412" s="4">
        <v>43947.16212962963</v>
      </c>
      <c r="I1412" t="s">
        <v>315</v>
      </c>
      <c r="J1412" s="5">
        <v>14.99999999999999999999999999999999999999</v>
      </c>
      <c r="K1412" t="s">
        <v>38</v>
      </c>
      <c r="M1412">
        <v>60315</v>
      </c>
      <c r="N1412" t="s">
        <v>335</v>
      </c>
      <c r="O1412" t="s">
        <v>336</v>
      </c>
      <c r="P1412" t="s">
        <v>38</v>
      </c>
      <c r="Q1412" t="s">
        <v>337</v>
      </c>
      <c r="R1412">
        <v>11.00000000000000000000000000000000000002</v>
      </c>
      <c r="S1412" t="s">
        <v>45</v>
      </c>
      <c r="T1412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2">
        <v>60316</v>
      </c>
      <c r="V1412" t="s">
        <v>38</v>
      </c>
      <c r="W1412" t="s">
        <v>337</v>
      </c>
      <c r="X1412">
        <v>11.00000000000000000000000000000000000002</v>
      </c>
      <c r="Y1412">
        <v>0</v>
      </c>
      <c r="Z1412" t="s">
        <v>46</v>
      </c>
      <c r="AA1412">
        <v>60320</v>
      </c>
      <c r="AB1412" t="s">
        <v>1412</v>
      </c>
      <c r="AC1412" t="s">
        <v>97</v>
      </c>
      <c r="AD1412" t="s">
        <v>38</v>
      </c>
      <c r="AE1412" t="s">
        <v>49</v>
      </c>
      <c r="AF1412" t="s">
        <v>50</v>
      </c>
      <c r="AG1412">
        <v>.9999999999999999999999999999999999999996</v>
      </c>
      <c r="AH1412">
        <v>0</v>
      </c>
      <c r="AI1412" t="s">
        <v>51</v>
      </c>
      <c r="AJ1412" t="s">
        <v>51</v>
      </c>
      <c r="AK1412" t="s">
        <v>51</v>
      </c>
    </row>
    <row r="1413" spans="1:37" x14ac:dyDescent="0.2">
      <c r="A1413">
        <v>60302</v>
      </c>
      <c r="B1413" t="s">
        <v>37</v>
      </c>
      <c r="C1413" t="s">
        <v>38</v>
      </c>
      <c r="D1413" t="s">
        <v>323</v>
      </c>
      <c r="E1413" t="s">
        <v>40</v>
      </c>
      <c r="G1413" s="4">
        <v>43947.161956018519</v>
      </c>
      <c r="H1413" s="4">
        <v>43947.16212962963</v>
      </c>
      <c r="I1413" t="s">
        <v>315</v>
      </c>
      <c r="J1413" s="5">
        <v>14.99999999999999999999999999999999999999</v>
      </c>
      <c r="K1413" t="s">
        <v>38</v>
      </c>
      <c r="M1413">
        <v>60315</v>
      </c>
      <c r="N1413" t="s">
        <v>335</v>
      </c>
      <c r="O1413" t="s">
        <v>336</v>
      </c>
      <c r="P1413" t="s">
        <v>38</v>
      </c>
      <c r="Q1413" t="s">
        <v>337</v>
      </c>
      <c r="R1413">
        <v>11.00000000000000000000000000000000000002</v>
      </c>
      <c r="S1413" t="s">
        <v>45</v>
      </c>
      <c r="T1413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3">
        <v>60316</v>
      </c>
      <c r="V1413" t="s">
        <v>38</v>
      </c>
      <c r="W1413" t="s">
        <v>337</v>
      </c>
      <c r="X1413">
        <v>11.00000000000000000000000000000000000002</v>
      </c>
      <c r="Y1413">
        <v>0</v>
      </c>
      <c r="Z1413" t="s">
        <v>46</v>
      </c>
      <c r="AA1413">
        <v>60319</v>
      </c>
      <c r="AB1413" t="s">
        <v>1413</v>
      </c>
      <c r="AC1413" t="s">
        <v>97</v>
      </c>
      <c r="AD1413" t="s">
        <v>38</v>
      </c>
      <c r="AE1413" t="s">
        <v>49</v>
      </c>
      <c r="AF1413" t="s">
        <v>88</v>
      </c>
      <c r="AG1413">
        <v>2</v>
      </c>
      <c r="AH1413">
        <v>1</v>
      </c>
      <c r="AI1413" t="s">
        <v>51</v>
      </c>
      <c r="AJ1413" t="s">
        <v>51</v>
      </c>
      <c r="AK1413" t="s">
        <v>51</v>
      </c>
    </row>
    <row r="1414" spans="1:37" x14ac:dyDescent="0.2">
      <c r="A1414">
        <v>60302</v>
      </c>
      <c r="B1414" t="s">
        <v>37</v>
      </c>
      <c r="C1414" t="s">
        <v>38</v>
      </c>
      <c r="D1414" t="s">
        <v>323</v>
      </c>
      <c r="E1414" t="s">
        <v>40</v>
      </c>
      <c r="G1414" s="4">
        <v>43947.161956018519</v>
      </c>
      <c r="H1414" s="4">
        <v>43947.16212962963</v>
      </c>
      <c r="I1414" t="s">
        <v>315</v>
      </c>
      <c r="J1414" s="5">
        <v>14.99999999999999999999999999999999999999</v>
      </c>
      <c r="K1414" t="s">
        <v>38</v>
      </c>
      <c r="M1414">
        <v>60315</v>
      </c>
      <c r="N1414" t="s">
        <v>335</v>
      </c>
      <c r="O1414" t="s">
        <v>336</v>
      </c>
      <c r="P1414" t="s">
        <v>38</v>
      </c>
      <c r="Q1414" t="s">
        <v>337</v>
      </c>
      <c r="R1414">
        <v>11.00000000000000000000000000000000000002</v>
      </c>
      <c r="S1414" t="s">
        <v>45</v>
      </c>
      <c r="T1414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4">
        <v>60316</v>
      </c>
      <c r="V1414" t="s">
        <v>38</v>
      </c>
      <c r="W1414" t="s">
        <v>337</v>
      </c>
      <c r="X1414">
        <v>11.00000000000000000000000000000000000002</v>
      </c>
      <c r="Y1414">
        <v>0</v>
      </c>
      <c r="Z1414" t="s">
        <v>46</v>
      </c>
      <c r="AA1414">
        <v>60318</v>
      </c>
      <c r="AB1414" t="s">
        <v>1414</v>
      </c>
      <c r="AC1414" t="s">
        <v>97</v>
      </c>
      <c r="AD1414" t="s">
        <v>38</v>
      </c>
      <c r="AE1414" t="s">
        <v>49</v>
      </c>
      <c r="AF1414" t="s">
        <v>75</v>
      </c>
      <c r="AG1414">
        <v>6</v>
      </c>
      <c r="AH1414">
        <v>6</v>
      </c>
      <c r="AI1414" t="s">
        <v>51</v>
      </c>
      <c r="AJ1414" t="s">
        <v>51</v>
      </c>
      <c r="AK1414" t="s">
        <v>51</v>
      </c>
    </row>
    <row r="1415" spans="1:37" x14ac:dyDescent="0.2">
      <c r="A1415">
        <v>60302</v>
      </c>
      <c r="B1415" t="s">
        <v>37</v>
      </c>
      <c r="C1415" t="s">
        <v>38</v>
      </c>
      <c r="D1415" t="s">
        <v>323</v>
      </c>
      <c r="E1415" t="s">
        <v>40</v>
      </c>
      <c r="G1415" s="4">
        <v>43947.161956018519</v>
      </c>
      <c r="H1415" s="4">
        <v>43947.16212962963</v>
      </c>
      <c r="I1415" t="s">
        <v>315</v>
      </c>
      <c r="J1415" s="5">
        <v>14.99999999999999999999999999999999999999</v>
      </c>
      <c r="K1415" t="s">
        <v>38</v>
      </c>
      <c r="M1415">
        <v>60315</v>
      </c>
      <c r="N1415" t="s">
        <v>335</v>
      </c>
      <c r="O1415" t="s">
        <v>336</v>
      </c>
      <c r="P1415" t="s">
        <v>38</v>
      </c>
      <c r="Q1415" t="s">
        <v>337</v>
      </c>
      <c r="R1415">
        <v>11.00000000000000000000000000000000000002</v>
      </c>
      <c r="S1415" t="s">
        <v>45</v>
      </c>
      <c r="T1415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5">
        <v>60316</v>
      </c>
      <c r="V1415" t="s">
        <v>38</v>
      </c>
      <c r="W1415" t="s">
        <v>337</v>
      </c>
      <c r="X1415">
        <v>11.00000000000000000000000000000000000002</v>
      </c>
      <c r="Y1415">
        <v>0</v>
      </c>
      <c r="Z1415" t="s">
        <v>46</v>
      </c>
      <c r="AA1415">
        <v>60317</v>
      </c>
      <c r="AB1415" t="s">
        <v>1415</v>
      </c>
      <c r="AC1415" t="s">
        <v>97</v>
      </c>
      <c r="AD1415" t="s">
        <v>38</v>
      </c>
      <c r="AE1415" t="s">
        <v>49</v>
      </c>
      <c r="AF1415" t="s">
        <v>50</v>
      </c>
      <c r="AG1415">
        <v>.9999999999999999999999999999999999999996</v>
      </c>
      <c r="AH1415">
        <v>1</v>
      </c>
      <c r="AI1415" t="s">
        <v>51</v>
      </c>
      <c r="AJ1415" t="s">
        <v>51</v>
      </c>
      <c r="AK1415" t="s">
        <v>51</v>
      </c>
    </row>
    <row r="1416" spans="1:37" x14ac:dyDescent="0.2">
      <c r="A1416">
        <v>60302</v>
      </c>
      <c r="B1416" t="s">
        <v>37</v>
      </c>
      <c r="C1416" t="s">
        <v>38</v>
      </c>
      <c r="D1416" t="s">
        <v>323</v>
      </c>
      <c r="E1416" t="s">
        <v>40</v>
      </c>
      <c r="G1416" s="4">
        <v>43947.161956018519</v>
      </c>
      <c r="H1416" s="4">
        <v>43947.16212962963</v>
      </c>
      <c r="I1416" t="s">
        <v>315</v>
      </c>
      <c r="J1416" s="5">
        <v>14.99999999999999999999999999999999999999</v>
      </c>
      <c r="K1416" t="s">
        <v>38</v>
      </c>
      <c r="M1416">
        <v>60311</v>
      </c>
      <c r="N1416" t="s">
        <v>344</v>
      </c>
      <c r="O1416" t="s">
        <v>345</v>
      </c>
      <c r="P1416" t="s">
        <v>38</v>
      </c>
      <c r="Q1416" t="s">
        <v>50</v>
      </c>
      <c r="R1416">
        <v>.9999999999999999999999999999999999999996</v>
      </c>
      <c r="S1416" t="s">
        <v>45</v>
      </c>
      <c r="T1416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6">
        <v>60312</v>
      </c>
      <c r="V1416" t="s">
        <v>38</v>
      </c>
      <c r="W1416" t="s">
        <v>50</v>
      </c>
      <c r="X1416">
        <v>.9999999999999999999999999999999999999996</v>
      </c>
      <c r="Y1416">
        <v>0</v>
      </c>
      <c r="Z1416" t="s">
        <v>46</v>
      </c>
      <c r="AA1416">
        <v>60314</v>
      </c>
      <c r="AB1416" t="s">
        <v>1416</v>
      </c>
      <c r="AC1416" t="s">
        <v>56</v>
      </c>
      <c r="AD1416" t="s">
        <v>38</v>
      </c>
      <c r="AE1416" t="s">
        <v>49</v>
      </c>
      <c r="AF1416" t="s">
        <v>50</v>
      </c>
      <c r="AG1416">
        <v>0</v>
      </c>
      <c r="AH1416">
        <v>0</v>
      </c>
      <c r="AI1416" t="s">
        <v>51</v>
      </c>
      <c r="AJ1416" t="s">
        <v>51</v>
      </c>
      <c r="AK1416" t="s">
        <v>51</v>
      </c>
    </row>
    <row r="1417" spans="1:37" x14ac:dyDescent="0.2">
      <c r="A1417">
        <v>60302</v>
      </c>
      <c r="B1417" t="s">
        <v>37</v>
      </c>
      <c r="C1417" t="s">
        <v>38</v>
      </c>
      <c r="D1417" t="s">
        <v>323</v>
      </c>
      <c r="E1417" t="s">
        <v>40</v>
      </c>
      <c r="G1417" s="4">
        <v>43947.161956018519</v>
      </c>
      <c r="H1417" s="4">
        <v>43947.16212962963</v>
      </c>
      <c r="I1417" t="s">
        <v>315</v>
      </c>
      <c r="J1417" s="5">
        <v>14.99999999999999999999999999999999999999</v>
      </c>
      <c r="K1417" t="s">
        <v>38</v>
      </c>
      <c r="M1417">
        <v>60311</v>
      </c>
      <c r="N1417" t="s">
        <v>344</v>
      </c>
      <c r="O1417" t="s">
        <v>345</v>
      </c>
      <c r="P1417" t="s">
        <v>38</v>
      </c>
      <c r="Q1417" t="s">
        <v>50</v>
      </c>
      <c r="R1417">
        <v>.9999999999999999999999999999999999999996</v>
      </c>
      <c r="S1417" t="s">
        <v>45</v>
      </c>
      <c r="T1417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7">
        <v>60312</v>
      </c>
      <c r="V1417" t="s">
        <v>38</v>
      </c>
      <c r="W1417" t="s">
        <v>50</v>
      </c>
      <c r="X1417">
        <v>.9999999999999999999999999999999999999996</v>
      </c>
      <c r="Y1417">
        <v>0</v>
      </c>
      <c r="Z1417" t="s">
        <v>46</v>
      </c>
      <c r="AA1417">
        <v>60313</v>
      </c>
      <c r="AB1417" t="s">
        <v>1417</v>
      </c>
      <c r="AC1417" t="s">
        <v>97</v>
      </c>
      <c r="AD1417" t="s">
        <v>38</v>
      </c>
      <c r="AE1417" t="s">
        <v>49</v>
      </c>
      <c r="AF1417" t="s">
        <v>50</v>
      </c>
      <c r="AG1417">
        <v>.9999999999999999999999999999999999999996</v>
      </c>
      <c r="AH1417">
        <v>0</v>
      </c>
      <c r="AI1417" t="s">
        <v>51</v>
      </c>
      <c r="AJ1417" t="s">
        <v>51</v>
      </c>
      <c r="AK1417" t="s">
        <v>51</v>
      </c>
    </row>
    <row r="1418" spans="1:37" x14ac:dyDescent="0.2">
      <c r="A1418">
        <v>60302</v>
      </c>
      <c r="B1418" t="s">
        <v>37</v>
      </c>
      <c r="C1418" t="s">
        <v>38</v>
      </c>
      <c r="D1418" t="s">
        <v>323</v>
      </c>
      <c r="E1418" t="s">
        <v>40</v>
      </c>
      <c r="G1418" s="4">
        <v>43947.161956018519</v>
      </c>
      <c r="H1418" s="4">
        <v>43947.16212962963</v>
      </c>
      <c r="I1418" t="s">
        <v>315</v>
      </c>
      <c r="J1418" s="5">
        <v>14.99999999999999999999999999999999999999</v>
      </c>
      <c r="K1418" t="s">
        <v>38</v>
      </c>
      <c r="M1418">
        <v>60308</v>
      </c>
      <c r="N1418" t="s">
        <v>350</v>
      </c>
      <c r="O1418" t="s">
        <v>351</v>
      </c>
      <c r="P1418" t="s">
        <v>38</v>
      </c>
      <c r="Q1418" t="s">
        <v>50</v>
      </c>
      <c r="R1418">
        <v>0</v>
      </c>
      <c r="S1418" t="s">
        <v>45</v>
      </c>
      <c r="T1418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8">
        <v>60309</v>
      </c>
      <c r="V1418" t="s">
        <v>38</v>
      </c>
      <c r="W1418" t="s">
        <v>50</v>
      </c>
      <c r="X1418">
        <v>0</v>
      </c>
      <c r="Y1418">
        <v>0</v>
      </c>
      <c r="Z1418" t="s">
        <v>46</v>
      </c>
      <c r="AA1418">
        <v>60310</v>
      </c>
      <c r="AB1418" t="s">
        <v>1418</v>
      </c>
      <c r="AC1418" t="s">
        <v>97</v>
      </c>
      <c r="AD1418" t="s">
        <v>38</v>
      </c>
      <c r="AE1418" t="s">
        <v>49</v>
      </c>
      <c r="AF1418" t="s">
        <v>50</v>
      </c>
      <c r="AG1418">
        <v>0</v>
      </c>
      <c r="AH1418">
        <v>0</v>
      </c>
      <c r="AI1418" t="s">
        <v>51</v>
      </c>
      <c r="AJ1418" t="s">
        <v>51</v>
      </c>
      <c r="AK1418" t="s">
        <v>51</v>
      </c>
    </row>
    <row r="1419" spans="1:37" x14ac:dyDescent="0.2">
      <c r="A1419">
        <v>60302</v>
      </c>
      <c r="B1419" t="s">
        <v>37</v>
      </c>
      <c r="C1419" t="s">
        <v>38</v>
      </c>
      <c r="D1419" t="s">
        <v>323</v>
      </c>
      <c r="E1419" t="s">
        <v>40</v>
      </c>
      <c r="G1419" s="4">
        <v>43947.161956018519</v>
      </c>
      <c r="H1419" s="4">
        <v>43947.16212962963</v>
      </c>
      <c r="I1419" t="s">
        <v>315</v>
      </c>
      <c r="J1419" s="5">
        <v>14.99999999999999999999999999999999999999</v>
      </c>
      <c r="K1419" t="s">
        <v>38</v>
      </c>
      <c r="M1419">
        <v>60303</v>
      </c>
      <c r="N1419" t="s">
        <v>353</v>
      </c>
      <c r="O1419" t="s">
        <v>354</v>
      </c>
      <c r="P1419" t="s">
        <v>38</v>
      </c>
      <c r="Q1419" t="s">
        <v>50</v>
      </c>
      <c r="R1419">
        <v>.9999999999999999999999999999999999999996</v>
      </c>
      <c r="S1419" t="s">
        <v>45</v>
      </c>
      <c r="T1419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19">
        <v>60304</v>
      </c>
      <c r="V1419" t="s">
        <v>38</v>
      </c>
      <c r="W1419" t="s">
        <v>50</v>
      </c>
      <c r="X1419">
        <v>.9999999999999999999999999999999999999996</v>
      </c>
      <c r="Y1419">
        <v>0</v>
      </c>
      <c r="Z1419" t="s">
        <v>46</v>
      </c>
      <c r="AA1419">
        <v>60307</v>
      </c>
      <c r="AB1419" t="s">
        <v>1419</v>
      </c>
      <c r="AC1419" t="s">
        <v>97</v>
      </c>
      <c r="AD1419" t="s">
        <v>38</v>
      </c>
      <c r="AE1419" t="s">
        <v>49</v>
      </c>
      <c r="AF1419" t="s">
        <v>50</v>
      </c>
      <c r="AG1419">
        <v>0</v>
      </c>
      <c r="AH1419">
        <v>0</v>
      </c>
      <c r="AI1419" t="s">
        <v>51</v>
      </c>
      <c r="AJ1419" t="s">
        <v>51</v>
      </c>
      <c r="AK1419" t="s">
        <v>51</v>
      </c>
    </row>
    <row r="1420" spans="1:37" x14ac:dyDescent="0.2">
      <c r="A1420">
        <v>60302</v>
      </c>
      <c r="B1420" t="s">
        <v>37</v>
      </c>
      <c r="C1420" t="s">
        <v>38</v>
      </c>
      <c r="D1420" t="s">
        <v>323</v>
      </c>
      <c r="E1420" t="s">
        <v>40</v>
      </c>
      <c r="G1420" s="4">
        <v>43947.161956018519</v>
      </c>
      <c r="H1420" s="4">
        <v>43947.16212962963</v>
      </c>
      <c r="I1420" t="s">
        <v>315</v>
      </c>
      <c r="J1420" s="5">
        <v>14.99999999999999999999999999999999999999</v>
      </c>
      <c r="K1420" t="s">
        <v>38</v>
      </c>
      <c r="M1420">
        <v>60303</v>
      </c>
      <c r="N1420" t="s">
        <v>353</v>
      </c>
      <c r="O1420" t="s">
        <v>354</v>
      </c>
      <c r="P1420" t="s">
        <v>38</v>
      </c>
      <c r="Q1420" t="s">
        <v>50</v>
      </c>
      <c r="R1420">
        <v>.9999999999999999999999999999999999999996</v>
      </c>
      <c r="S1420" t="s">
        <v>45</v>
      </c>
      <c r="T1420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20">
        <v>60304</v>
      </c>
      <c r="V1420" t="s">
        <v>38</v>
      </c>
      <c r="W1420" t="s">
        <v>50</v>
      </c>
      <c r="X1420">
        <v>.9999999999999999999999999999999999999996</v>
      </c>
      <c r="Y1420">
        <v>0</v>
      </c>
      <c r="Z1420" t="s">
        <v>46</v>
      </c>
      <c r="AA1420">
        <v>60306</v>
      </c>
      <c r="AB1420" t="s">
        <v>1420</v>
      </c>
      <c r="AC1420" t="s">
        <v>97</v>
      </c>
      <c r="AD1420" t="s">
        <v>38</v>
      </c>
      <c r="AE1420" t="s">
        <v>49</v>
      </c>
      <c r="AF1420" t="s">
        <v>50</v>
      </c>
      <c r="AG1420">
        <v>.9999999999999999999999999999999999999996</v>
      </c>
      <c r="AH1420">
        <v>0</v>
      </c>
      <c r="AI1420" t="s">
        <v>51</v>
      </c>
      <c r="AJ1420" t="s">
        <v>51</v>
      </c>
      <c r="AK1420" t="s">
        <v>51</v>
      </c>
    </row>
    <row r="1421" spans="1:37" x14ac:dyDescent="0.2">
      <c r="A1421">
        <v>60302</v>
      </c>
      <c r="B1421" t="s">
        <v>37</v>
      </c>
      <c r="C1421" t="s">
        <v>38</v>
      </c>
      <c r="D1421" t="s">
        <v>323</v>
      </c>
      <c r="E1421" t="s">
        <v>40</v>
      </c>
      <c r="G1421" s="4">
        <v>43947.161956018519</v>
      </c>
      <c r="H1421" s="4">
        <v>43947.16212962963</v>
      </c>
      <c r="I1421" t="s">
        <v>315</v>
      </c>
      <c r="J1421" s="5">
        <v>14.99999999999999999999999999999999999999</v>
      </c>
      <c r="K1421" t="s">
        <v>38</v>
      </c>
      <c r="M1421">
        <v>60303</v>
      </c>
      <c r="N1421" t="s">
        <v>353</v>
      </c>
      <c r="O1421" t="s">
        <v>354</v>
      </c>
      <c r="P1421" t="s">
        <v>38</v>
      </c>
      <c r="Q1421" t="s">
        <v>50</v>
      </c>
      <c r="R1421">
        <v>.9999999999999999999999999999999999999996</v>
      </c>
      <c r="S1421" t="s">
        <v>45</v>
      </c>
      <c r="T1421" t="str" s="2">
        <f>=HYPERLINK("http://demo.enginatics.com:80/ecc/user/applications/log/60302.log","http://demo.enginatics.com:80/ecc/user/applications/log/60302.log")</f>
        <v>"http://demo.enginatics.com:80/ecc/user/applications/log/60302.log")</v>
      </c>
      <c r="U1421">
        <v>60304</v>
      </c>
      <c r="V1421" t="s">
        <v>38</v>
      </c>
      <c r="W1421" t="s">
        <v>50</v>
      </c>
      <c r="X1421">
        <v>.9999999999999999999999999999999999999996</v>
      </c>
      <c r="Y1421">
        <v>0</v>
      </c>
      <c r="Z1421" t="s">
        <v>46</v>
      </c>
      <c r="AA1421">
        <v>60305</v>
      </c>
      <c r="AB1421" t="s">
        <v>1421</v>
      </c>
      <c r="AC1421" t="s">
        <v>97</v>
      </c>
      <c r="AD1421" t="s">
        <v>38</v>
      </c>
      <c r="AE1421" t="s">
        <v>49</v>
      </c>
      <c r="AF1421" t="s">
        <v>50</v>
      </c>
      <c r="AG1421">
        <v>0</v>
      </c>
      <c r="AH1421">
        <v>0</v>
      </c>
      <c r="AI1421" t="s">
        <v>51</v>
      </c>
      <c r="AJ1421" t="s">
        <v>51</v>
      </c>
      <c r="AK1421" t="s">
        <v>51</v>
      </c>
    </row>
    <row r="1422" spans="1:37" x14ac:dyDescent="0.2">
      <c r="A1422">
        <v>60247</v>
      </c>
      <c r="B1422" t="s">
        <v>37</v>
      </c>
      <c r="C1422" t="s">
        <v>196</v>
      </c>
      <c r="D1422" t="s">
        <v>361</v>
      </c>
      <c r="E1422" t="s">
        <v>40</v>
      </c>
      <c r="G1422" s="4">
        <v>43947.161863425926</v>
      </c>
      <c r="H1422" s="4">
        <v>43947.161956018519</v>
      </c>
      <c r="I1422" t="s">
        <v>652</v>
      </c>
      <c r="J1422" s="5">
        <v>8</v>
      </c>
      <c r="K1422" t="s">
        <v>196</v>
      </c>
      <c r="M1422">
        <v>60300</v>
      </c>
      <c r="N1422" t="s">
        <v>362</v>
      </c>
      <c r="O1422" t="s">
        <v>363</v>
      </c>
      <c r="P1422" t="s">
        <v>196</v>
      </c>
      <c r="Q1422" t="s">
        <v>50</v>
      </c>
      <c r="R1422">
        <v>.9999999999999999999999999999999999999996</v>
      </c>
      <c r="S1422" t="s">
        <v>364</v>
      </c>
      <c r="T1422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2">
        <v>60301</v>
      </c>
      <c r="V1422" t="s">
        <v>196</v>
      </c>
      <c r="W1422" t="s">
        <v>50</v>
      </c>
      <c r="X1422">
        <v>0</v>
      </c>
      <c r="Y1422">
        <v>0</v>
      </c>
      <c r="Z1422" t="s">
        <v>1422</v>
      </c>
    </row>
    <row r="1423" spans="1:37" x14ac:dyDescent="0.2">
      <c r="A1423">
        <v>60247</v>
      </c>
      <c r="B1423" t="s">
        <v>37</v>
      </c>
      <c r="C1423" t="s">
        <v>196</v>
      </c>
      <c r="D1423" t="s">
        <v>361</v>
      </c>
      <c r="E1423" t="s">
        <v>40</v>
      </c>
      <c r="G1423" s="4">
        <v>43947.161863425926</v>
      </c>
      <c r="H1423" s="4">
        <v>43947.161956018519</v>
      </c>
      <c r="I1423" t="s">
        <v>652</v>
      </c>
      <c r="J1423" s="5">
        <v>8</v>
      </c>
      <c r="K1423" t="s">
        <v>196</v>
      </c>
      <c r="M1423">
        <v>60297</v>
      </c>
      <c r="N1423" t="s">
        <v>366</v>
      </c>
      <c r="O1423" t="s">
        <v>367</v>
      </c>
      <c r="P1423" t="s">
        <v>38</v>
      </c>
      <c r="Q1423" t="s">
        <v>50</v>
      </c>
      <c r="R1423">
        <v>.9999999999999999999999999999999999999996</v>
      </c>
      <c r="S1423" t="s">
        <v>45</v>
      </c>
      <c r="T1423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3">
        <v>60298</v>
      </c>
      <c r="V1423" t="s">
        <v>38</v>
      </c>
      <c r="W1423" t="s">
        <v>50</v>
      </c>
      <c r="X1423">
        <v>.9999999999999999999999999999999999999996</v>
      </c>
      <c r="Y1423">
        <v>0</v>
      </c>
      <c r="Z1423" t="s">
        <v>46</v>
      </c>
      <c r="AA1423">
        <v>60299</v>
      </c>
      <c r="AB1423" t="s">
        <v>1423</v>
      </c>
      <c r="AC1423" t="s">
        <v>97</v>
      </c>
      <c r="AD1423" t="s">
        <v>38</v>
      </c>
      <c r="AE1423" t="s">
        <v>49</v>
      </c>
      <c r="AF1423" t="s">
        <v>50</v>
      </c>
      <c r="AG1423">
        <v>0</v>
      </c>
      <c r="AH1423">
        <v>0</v>
      </c>
      <c r="AI1423" t="s">
        <v>51</v>
      </c>
      <c r="AJ1423" t="s">
        <v>51</v>
      </c>
      <c r="AK1423" t="s">
        <v>51</v>
      </c>
    </row>
    <row r="1424" spans="1:37" x14ac:dyDescent="0.2">
      <c r="A1424">
        <v>60247</v>
      </c>
      <c r="B1424" t="s">
        <v>37</v>
      </c>
      <c r="C1424" t="s">
        <v>196</v>
      </c>
      <c r="D1424" t="s">
        <v>361</v>
      </c>
      <c r="E1424" t="s">
        <v>40</v>
      </c>
      <c r="G1424" s="4">
        <v>43947.161863425926</v>
      </c>
      <c r="H1424" s="4">
        <v>43947.161956018519</v>
      </c>
      <c r="I1424" t="s">
        <v>652</v>
      </c>
      <c r="J1424" s="5">
        <v>8</v>
      </c>
      <c r="K1424" t="s">
        <v>196</v>
      </c>
      <c r="M1424">
        <v>60295</v>
      </c>
      <c r="N1424" t="s">
        <v>369</v>
      </c>
      <c r="O1424" t="s">
        <v>345</v>
      </c>
      <c r="P1424" t="s">
        <v>196</v>
      </c>
      <c r="Q1424" t="s">
        <v>50</v>
      </c>
      <c r="R1424">
        <v>0</v>
      </c>
      <c r="S1424" t="s">
        <v>370</v>
      </c>
      <c r="T1424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4">
        <v>60296</v>
      </c>
      <c r="V1424" t="s">
        <v>196</v>
      </c>
      <c r="W1424" t="s">
        <v>50</v>
      </c>
      <c r="X1424">
        <v>0</v>
      </c>
      <c r="Y1424">
        <v>0</v>
      </c>
      <c r="Z1424" t="s">
        <v>1424</v>
      </c>
    </row>
    <row r="1425" spans="1:37" x14ac:dyDescent="0.2">
      <c r="A1425">
        <v>60247</v>
      </c>
      <c r="B1425" t="s">
        <v>37</v>
      </c>
      <c r="C1425" t="s">
        <v>196</v>
      </c>
      <c r="D1425" t="s">
        <v>361</v>
      </c>
      <c r="E1425" t="s">
        <v>40</v>
      </c>
      <c r="G1425" s="4">
        <v>43947.161863425926</v>
      </c>
      <c r="H1425" s="4">
        <v>43947.161956018519</v>
      </c>
      <c r="I1425" t="s">
        <v>652</v>
      </c>
      <c r="J1425" s="5">
        <v>8</v>
      </c>
      <c r="K1425" t="s">
        <v>196</v>
      </c>
      <c r="M1425">
        <v>60287</v>
      </c>
      <c r="N1425" t="s">
        <v>372</v>
      </c>
      <c r="O1425" t="s">
        <v>373</v>
      </c>
      <c r="P1425" t="s">
        <v>38</v>
      </c>
      <c r="Q1425" t="s">
        <v>50</v>
      </c>
      <c r="R1425">
        <v>.9999999999999999999999999999999999999996</v>
      </c>
      <c r="S1425" t="s">
        <v>45</v>
      </c>
      <c r="T1425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5">
        <v>60288</v>
      </c>
      <c r="V1425" t="s">
        <v>38</v>
      </c>
      <c r="W1425" t="s">
        <v>50</v>
      </c>
      <c r="X1425">
        <v>.9999999999999999999999999999999999999996</v>
      </c>
      <c r="Y1425">
        <v>0</v>
      </c>
      <c r="Z1425" t="s">
        <v>46</v>
      </c>
      <c r="AA1425">
        <v>60294</v>
      </c>
      <c r="AB1425" t="s">
        <v>1425</v>
      </c>
      <c r="AC1425" t="s">
        <v>103</v>
      </c>
      <c r="AD1425" t="s">
        <v>38</v>
      </c>
      <c r="AE1425" t="s">
        <v>49</v>
      </c>
      <c r="AF1425" t="s">
        <v>50</v>
      </c>
      <c r="AG1425">
        <v>0</v>
      </c>
      <c r="AH1425">
        <v>0</v>
      </c>
      <c r="AI1425" t="s">
        <v>51</v>
      </c>
      <c r="AJ1425" t="s">
        <v>51</v>
      </c>
      <c r="AK1425" t="s">
        <v>51</v>
      </c>
    </row>
    <row r="1426" spans="1:37" x14ac:dyDescent="0.2">
      <c r="A1426">
        <v>60247</v>
      </c>
      <c r="B1426" t="s">
        <v>37</v>
      </c>
      <c r="C1426" t="s">
        <v>196</v>
      </c>
      <c r="D1426" t="s">
        <v>361</v>
      </c>
      <c r="E1426" t="s">
        <v>40</v>
      </c>
      <c r="G1426" s="4">
        <v>43947.161863425926</v>
      </c>
      <c r="H1426" s="4">
        <v>43947.161956018519</v>
      </c>
      <c r="I1426" t="s">
        <v>652</v>
      </c>
      <c r="J1426" s="5">
        <v>8</v>
      </c>
      <c r="K1426" t="s">
        <v>196</v>
      </c>
      <c r="M1426">
        <v>60287</v>
      </c>
      <c r="N1426" t="s">
        <v>372</v>
      </c>
      <c r="O1426" t="s">
        <v>373</v>
      </c>
      <c r="P1426" t="s">
        <v>38</v>
      </c>
      <c r="Q1426" t="s">
        <v>50</v>
      </c>
      <c r="R1426">
        <v>.9999999999999999999999999999999999999996</v>
      </c>
      <c r="S1426" t="s">
        <v>45</v>
      </c>
      <c r="T1426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6">
        <v>60288</v>
      </c>
      <c r="V1426" t="s">
        <v>38</v>
      </c>
      <c r="W1426" t="s">
        <v>50</v>
      </c>
      <c r="X1426">
        <v>.9999999999999999999999999999999999999996</v>
      </c>
      <c r="Y1426">
        <v>0</v>
      </c>
      <c r="Z1426" t="s">
        <v>46</v>
      </c>
      <c r="AA1426">
        <v>60293</v>
      </c>
      <c r="AB1426" t="s">
        <v>1426</v>
      </c>
      <c r="AC1426" t="s">
        <v>103</v>
      </c>
      <c r="AD1426" t="s">
        <v>38</v>
      </c>
      <c r="AE1426" t="s">
        <v>49</v>
      </c>
      <c r="AF1426" t="s">
        <v>50</v>
      </c>
      <c r="AG1426">
        <v>0</v>
      </c>
      <c r="AH1426">
        <v>0</v>
      </c>
      <c r="AI1426" t="s">
        <v>51</v>
      </c>
      <c r="AJ1426" t="s">
        <v>51</v>
      </c>
      <c r="AK1426" t="s">
        <v>51</v>
      </c>
    </row>
    <row r="1427" spans="1:37" x14ac:dyDescent="0.2">
      <c r="A1427">
        <v>60247</v>
      </c>
      <c r="B1427" t="s">
        <v>37</v>
      </c>
      <c r="C1427" t="s">
        <v>196</v>
      </c>
      <c r="D1427" t="s">
        <v>361</v>
      </c>
      <c r="E1427" t="s">
        <v>40</v>
      </c>
      <c r="G1427" s="4">
        <v>43947.161863425926</v>
      </c>
      <c r="H1427" s="4">
        <v>43947.161956018519</v>
      </c>
      <c r="I1427" t="s">
        <v>652</v>
      </c>
      <c r="J1427" s="5">
        <v>8</v>
      </c>
      <c r="K1427" t="s">
        <v>196</v>
      </c>
      <c r="M1427">
        <v>60287</v>
      </c>
      <c r="N1427" t="s">
        <v>372</v>
      </c>
      <c r="O1427" t="s">
        <v>373</v>
      </c>
      <c r="P1427" t="s">
        <v>38</v>
      </c>
      <c r="Q1427" t="s">
        <v>50</v>
      </c>
      <c r="R1427">
        <v>.9999999999999999999999999999999999999996</v>
      </c>
      <c r="S1427" t="s">
        <v>45</v>
      </c>
      <c r="T1427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7">
        <v>60288</v>
      </c>
      <c r="V1427" t="s">
        <v>38</v>
      </c>
      <c r="W1427" t="s">
        <v>50</v>
      </c>
      <c r="X1427">
        <v>.9999999999999999999999999999999999999996</v>
      </c>
      <c r="Y1427">
        <v>0</v>
      </c>
      <c r="Z1427" t="s">
        <v>46</v>
      </c>
      <c r="AA1427">
        <v>60292</v>
      </c>
      <c r="AB1427" t="s">
        <v>1427</v>
      </c>
      <c r="AC1427" t="s">
        <v>103</v>
      </c>
      <c r="AD1427" t="s">
        <v>38</v>
      </c>
      <c r="AE1427" t="s">
        <v>49</v>
      </c>
      <c r="AF1427" t="s">
        <v>50</v>
      </c>
      <c r="AG1427">
        <v>0</v>
      </c>
      <c r="AH1427">
        <v>0</v>
      </c>
      <c r="AI1427" t="s">
        <v>51</v>
      </c>
      <c r="AJ1427" t="s">
        <v>51</v>
      </c>
      <c r="AK1427" t="s">
        <v>51</v>
      </c>
    </row>
    <row r="1428" spans="1:37" x14ac:dyDescent="0.2">
      <c r="A1428">
        <v>60247</v>
      </c>
      <c r="B1428" t="s">
        <v>37</v>
      </c>
      <c r="C1428" t="s">
        <v>196</v>
      </c>
      <c r="D1428" t="s">
        <v>361</v>
      </c>
      <c r="E1428" t="s">
        <v>40</v>
      </c>
      <c r="G1428" s="4">
        <v>43947.161863425926</v>
      </c>
      <c r="H1428" s="4">
        <v>43947.161956018519</v>
      </c>
      <c r="I1428" t="s">
        <v>652</v>
      </c>
      <c r="J1428" s="5">
        <v>8</v>
      </c>
      <c r="K1428" t="s">
        <v>196</v>
      </c>
      <c r="M1428">
        <v>60287</v>
      </c>
      <c r="N1428" t="s">
        <v>372</v>
      </c>
      <c r="O1428" t="s">
        <v>373</v>
      </c>
      <c r="P1428" t="s">
        <v>38</v>
      </c>
      <c r="Q1428" t="s">
        <v>50</v>
      </c>
      <c r="R1428">
        <v>.9999999999999999999999999999999999999996</v>
      </c>
      <c r="S1428" t="s">
        <v>45</v>
      </c>
      <c r="T1428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8">
        <v>60288</v>
      </c>
      <c r="V1428" t="s">
        <v>38</v>
      </c>
      <c r="W1428" t="s">
        <v>50</v>
      </c>
      <c r="X1428">
        <v>.9999999999999999999999999999999999999996</v>
      </c>
      <c r="Y1428">
        <v>0</v>
      </c>
      <c r="Z1428" t="s">
        <v>46</v>
      </c>
      <c r="AA1428">
        <v>60291</v>
      </c>
      <c r="AB1428" t="s">
        <v>1428</v>
      </c>
      <c r="AC1428" t="s">
        <v>103</v>
      </c>
      <c r="AD1428" t="s">
        <v>38</v>
      </c>
      <c r="AE1428" t="s">
        <v>49</v>
      </c>
      <c r="AF1428" t="s">
        <v>50</v>
      </c>
      <c r="AG1428">
        <v>0</v>
      </c>
      <c r="AH1428">
        <v>0</v>
      </c>
      <c r="AI1428" t="s">
        <v>51</v>
      </c>
      <c r="AJ1428" t="s">
        <v>51</v>
      </c>
      <c r="AK1428" t="s">
        <v>51</v>
      </c>
    </row>
    <row r="1429" spans="1:37" x14ac:dyDescent="0.2">
      <c r="A1429">
        <v>60247</v>
      </c>
      <c r="B1429" t="s">
        <v>37</v>
      </c>
      <c r="C1429" t="s">
        <v>196</v>
      </c>
      <c r="D1429" t="s">
        <v>361</v>
      </c>
      <c r="E1429" t="s">
        <v>40</v>
      </c>
      <c r="G1429" s="4">
        <v>43947.161863425926</v>
      </c>
      <c r="H1429" s="4">
        <v>43947.161956018519</v>
      </c>
      <c r="I1429" t="s">
        <v>652</v>
      </c>
      <c r="J1429" s="5">
        <v>8</v>
      </c>
      <c r="K1429" t="s">
        <v>196</v>
      </c>
      <c r="M1429">
        <v>60287</v>
      </c>
      <c r="N1429" t="s">
        <v>372</v>
      </c>
      <c r="O1429" t="s">
        <v>373</v>
      </c>
      <c r="P1429" t="s">
        <v>38</v>
      </c>
      <c r="Q1429" t="s">
        <v>50</v>
      </c>
      <c r="R1429">
        <v>.9999999999999999999999999999999999999996</v>
      </c>
      <c r="S1429" t="s">
        <v>45</v>
      </c>
      <c r="T1429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29">
        <v>60288</v>
      </c>
      <c r="V1429" t="s">
        <v>38</v>
      </c>
      <c r="W1429" t="s">
        <v>50</v>
      </c>
      <c r="X1429">
        <v>.9999999999999999999999999999999999999996</v>
      </c>
      <c r="Y1429">
        <v>0</v>
      </c>
      <c r="Z1429" t="s">
        <v>46</v>
      </c>
      <c r="AA1429">
        <v>60290</v>
      </c>
      <c r="AB1429" t="s">
        <v>1429</v>
      </c>
      <c r="AC1429" t="s">
        <v>103</v>
      </c>
      <c r="AD1429" t="s">
        <v>38</v>
      </c>
      <c r="AE1429" t="s">
        <v>49</v>
      </c>
      <c r="AF1429" t="s">
        <v>50</v>
      </c>
      <c r="AG1429">
        <v>.9999999999999999999999999999999999999996</v>
      </c>
      <c r="AH1429">
        <v>0</v>
      </c>
      <c r="AI1429" t="s">
        <v>51</v>
      </c>
      <c r="AJ1429" t="s">
        <v>51</v>
      </c>
      <c r="AK1429" t="s">
        <v>51</v>
      </c>
    </row>
    <row r="1430" spans="1:37" x14ac:dyDescent="0.2">
      <c r="A1430">
        <v>60247</v>
      </c>
      <c r="B1430" t="s">
        <v>37</v>
      </c>
      <c r="C1430" t="s">
        <v>196</v>
      </c>
      <c r="D1430" t="s">
        <v>361</v>
      </c>
      <c r="E1430" t="s">
        <v>40</v>
      </c>
      <c r="G1430" s="4">
        <v>43947.161863425926</v>
      </c>
      <c r="H1430" s="4">
        <v>43947.161956018519</v>
      </c>
      <c r="I1430" t="s">
        <v>652</v>
      </c>
      <c r="J1430" s="5">
        <v>8</v>
      </c>
      <c r="K1430" t="s">
        <v>196</v>
      </c>
      <c r="M1430">
        <v>60287</v>
      </c>
      <c r="N1430" t="s">
        <v>372</v>
      </c>
      <c r="O1430" t="s">
        <v>373</v>
      </c>
      <c r="P1430" t="s">
        <v>38</v>
      </c>
      <c r="Q1430" t="s">
        <v>50</v>
      </c>
      <c r="R1430">
        <v>.9999999999999999999999999999999999999996</v>
      </c>
      <c r="S1430" t="s">
        <v>45</v>
      </c>
      <c r="T1430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0">
        <v>60288</v>
      </c>
      <c r="V1430" t="s">
        <v>38</v>
      </c>
      <c r="W1430" t="s">
        <v>50</v>
      </c>
      <c r="X1430">
        <v>.9999999999999999999999999999999999999996</v>
      </c>
      <c r="Y1430">
        <v>0</v>
      </c>
      <c r="Z1430" t="s">
        <v>46</v>
      </c>
      <c r="AA1430">
        <v>60289</v>
      </c>
      <c r="AB1430" t="s">
        <v>1430</v>
      </c>
      <c r="AC1430" t="s">
        <v>103</v>
      </c>
      <c r="AD1430" t="s">
        <v>38</v>
      </c>
      <c r="AE1430" t="s">
        <v>49</v>
      </c>
      <c r="AF1430" t="s">
        <v>50</v>
      </c>
      <c r="AG1430">
        <v>0</v>
      </c>
      <c r="AH1430">
        <v>0</v>
      </c>
      <c r="AI1430" t="s">
        <v>51</v>
      </c>
      <c r="AJ1430" t="s">
        <v>51</v>
      </c>
      <c r="AK1430" t="s">
        <v>51</v>
      </c>
    </row>
    <row r="1431" spans="1:37" x14ac:dyDescent="0.2">
      <c r="A1431">
        <v>60247</v>
      </c>
      <c r="B1431" t="s">
        <v>37</v>
      </c>
      <c r="C1431" t="s">
        <v>196</v>
      </c>
      <c r="D1431" t="s">
        <v>361</v>
      </c>
      <c r="E1431" t="s">
        <v>40</v>
      </c>
      <c r="G1431" s="4">
        <v>43947.161863425926</v>
      </c>
      <c r="H1431" s="4">
        <v>43947.161956018519</v>
      </c>
      <c r="I1431" t="s">
        <v>652</v>
      </c>
      <c r="J1431" s="5">
        <v>8</v>
      </c>
      <c r="K1431" t="s">
        <v>196</v>
      </c>
      <c r="M1431">
        <v>60279</v>
      </c>
      <c r="N1431" t="s">
        <v>380</v>
      </c>
      <c r="O1431" t="s">
        <v>381</v>
      </c>
      <c r="P1431" t="s">
        <v>38</v>
      </c>
      <c r="Q1431" t="s">
        <v>50</v>
      </c>
      <c r="R1431">
        <v>0</v>
      </c>
      <c r="S1431" t="s">
        <v>45</v>
      </c>
      <c r="T1431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1">
        <v>60280</v>
      </c>
      <c r="V1431" t="s">
        <v>38</v>
      </c>
      <c r="W1431" t="s">
        <v>50</v>
      </c>
      <c r="X1431">
        <v>0</v>
      </c>
      <c r="Y1431">
        <v>0</v>
      </c>
      <c r="Z1431" t="s">
        <v>46</v>
      </c>
      <c r="AA1431">
        <v>60286</v>
      </c>
      <c r="AB1431" t="s">
        <v>1431</v>
      </c>
      <c r="AC1431" t="s">
        <v>103</v>
      </c>
      <c r="AD1431" t="s">
        <v>38</v>
      </c>
      <c r="AE1431" t="s">
        <v>49</v>
      </c>
      <c r="AF1431" t="s">
        <v>50</v>
      </c>
      <c r="AG1431">
        <v>0</v>
      </c>
      <c r="AH1431">
        <v>0</v>
      </c>
      <c r="AI1431" t="s">
        <v>51</v>
      </c>
      <c r="AJ1431" t="s">
        <v>51</v>
      </c>
      <c r="AK1431" t="s">
        <v>51</v>
      </c>
    </row>
    <row r="1432" spans="1:37" x14ac:dyDescent="0.2">
      <c r="A1432">
        <v>60247</v>
      </c>
      <c r="B1432" t="s">
        <v>37</v>
      </c>
      <c r="C1432" t="s">
        <v>196</v>
      </c>
      <c r="D1432" t="s">
        <v>361</v>
      </c>
      <c r="E1432" t="s">
        <v>40</v>
      </c>
      <c r="G1432" s="4">
        <v>43947.161863425926</v>
      </c>
      <c r="H1432" s="4">
        <v>43947.161956018519</v>
      </c>
      <c r="I1432" t="s">
        <v>652</v>
      </c>
      <c r="J1432" s="5">
        <v>8</v>
      </c>
      <c r="K1432" t="s">
        <v>196</v>
      </c>
      <c r="M1432">
        <v>60279</v>
      </c>
      <c r="N1432" t="s">
        <v>380</v>
      </c>
      <c r="O1432" t="s">
        <v>381</v>
      </c>
      <c r="P1432" t="s">
        <v>38</v>
      </c>
      <c r="Q1432" t="s">
        <v>50</v>
      </c>
      <c r="R1432">
        <v>0</v>
      </c>
      <c r="S1432" t="s">
        <v>45</v>
      </c>
      <c r="T1432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2">
        <v>60280</v>
      </c>
      <c r="V1432" t="s">
        <v>38</v>
      </c>
      <c r="W1432" t="s">
        <v>50</v>
      </c>
      <c r="X1432">
        <v>0</v>
      </c>
      <c r="Y1432">
        <v>0</v>
      </c>
      <c r="Z1432" t="s">
        <v>46</v>
      </c>
      <c r="AA1432">
        <v>60285</v>
      </c>
      <c r="AB1432" t="s">
        <v>1432</v>
      </c>
      <c r="AC1432" t="s">
        <v>103</v>
      </c>
      <c r="AD1432" t="s">
        <v>38</v>
      </c>
      <c r="AE1432" t="s">
        <v>49</v>
      </c>
      <c r="AF1432" t="s">
        <v>50</v>
      </c>
      <c r="AG1432">
        <v>0</v>
      </c>
      <c r="AH1432">
        <v>0</v>
      </c>
      <c r="AI1432" t="s">
        <v>51</v>
      </c>
      <c r="AJ1432" t="s">
        <v>51</v>
      </c>
      <c r="AK1432" t="s">
        <v>51</v>
      </c>
    </row>
    <row r="1433" spans="1:37" x14ac:dyDescent="0.2">
      <c r="A1433">
        <v>60247</v>
      </c>
      <c r="B1433" t="s">
        <v>37</v>
      </c>
      <c r="C1433" t="s">
        <v>196</v>
      </c>
      <c r="D1433" t="s">
        <v>361</v>
      </c>
      <c r="E1433" t="s">
        <v>40</v>
      </c>
      <c r="G1433" s="4">
        <v>43947.161863425926</v>
      </c>
      <c r="H1433" s="4">
        <v>43947.161956018519</v>
      </c>
      <c r="I1433" t="s">
        <v>652</v>
      </c>
      <c r="J1433" s="5">
        <v>8</v>
      </c>
      <c r="K1433" t="s">
        <v>196</v>
      </c>
      <c r="M1433">
        <v>60279</v>
      </c>
      <c r="N1433" t="s">
        <v>380</v>
      </c>
      <c r="O1433" t="s">
        <v>381</v>
      </c>
      <c r="P1433" t="s">
        <v>38</v>
      </c>
      <c r="Q1433" t="s">
        <v>50</v>
      </c>
      <c r="R1433">
        <v>0</v>
      </c>
      <c r="S1433" t="s">
        <v>45</v>
      </c>
      <c r="T1433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3">
        <v>60280</v>
      </c>
      <c r="V1433" t="s">
        <v>38</v>
      </c>
      <c r="W1433" t="s">
        <v>50</v>
      </c>
      <c r="X1433">
        <v>0</v>
      </c>
      <c r="Y1433">
        <v>0</v>
      </c>
      <c r="Z1433" t="s">
        <v>46</v>
      </c>
      <c r="AA1433">
        <v>60284</v>
      </c>
      <c r="AB1433" t="s">
        <v>1433</v>
      </c>
      <c r="AC1433" t="s">
        <v>103</v>
      </c>
      <c r="AD1433" t="s">
        <v>38</v>
      </c>
      <c r="AE1433" t="s">
        <v>49</v>
      </c>
      <c r="AF1433" t="s">
        <v>50</v>
      </c>
      <c r="AG1433">
        <v>0</v>
      </c>
      <c r="AH1433">
        <v>0</v>
      </c>
      <c r="AI1433" t="s">
        <v>51</v>
      </c>
      <c r="AJ1433" t="s">
        <v>51</v>
      </c>
      <c r="AK1433" t="s">
        <v>51</v>
      </c>
    </row>
    <row r="1434" spans="1:37" x14ac:dyDescent="0.2">
      <c r="A1434">
        <v>60247</v>
      </c>
      <c r="B1434" t="s">
        <v>37</v>
      </c>
      <c r="C1434" t="s">
        <v>196</v>
      </c>
      <c r="D1434" t="s">
        <v>361</v>
      </c>
      <c r="E1434" t="s">
        <v>40</v>
      </c>
      <c r="G1434" s="4">
        <v>43947.161863425926</v>
      </c>
      <c r="H1434" s="4">
        <v>43947.161956018519</v>
      </c>
      <c r="I1434" t="s">
        <v>652</v>
      </c>
      <c r="J1434" s="5">
        <v>8</v>
      </c>
      <c r="K1434" t="s">
        <v>196</v>
      </c>
      <c r="M1434">
        <v>60279</v>
      </c>
      <c r="N1434" t="s">
        <v>380</v>
      </c>
      <c r="O1434" t="s">
        <v>381</v>
      </c>
      <c r="P1434" t="s">
        <v>38</v>
      </c>
      <c r="Q1434" t="s">
        <v>50</v>
      </c>
      <c r="R1434">
        <v>0</v>
      </c>
      <c r="S1434" t="s">
        <v>45</v>
      </c>
      <c r="T1434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4">
        <v>60280</v>
      </c>
      <c r="V1434" t="s">
        <v>38</v>
      </c>
      <c r="W1434" t="s">
        <v>50</v>
      </c>
      <c r="X1434">
        <v>0</v>
      </c>
      <c r="Y1434">
        <v>0</v>
      </c>
      <c r="Z1434" t="s">
        <v>46</v>
      </c>
      <c r="AA1434">
        <v>60283</v>
      </c>
      <c r="AB1434" t="s">
        <v>1434</v>
      </c>
      <c r="AC1434" t="s">
        <v>103</v>
      </c>
      <c r="AD1434" t="s">
        <v>38</v>
      </c>
      <c r="AE1434" t="s">
        <v>49</v>
      </c>
      <c r="AF1434" t="s">
        <v>50</v>
      </c>
      <c r="AG1434">
        <v>0</v>
      </c>
      <c r="AH1434">
        <v>0</v>
      </c>
      <c r="AI1434" t="s">
        <v>51</v>
      </c>
      <c r="AJ1434" t="s">
        <v>51</v>
      </c>
      <c r="AK1434" t="s">
        <v>51</v>
      </c>
    </row>
    <row r="1435" spans="1:37" x14ac:dyDescent="0.2">
      <c r="A1435">
        <v>60247</v>
      </c>
      <c r="B1435" t="s">
        <v>37</v>
      </c>
      <c r="C1435" t="s">
        <v>196</v>
      </c>
      <c r="D1435" t="s">
        <v>361</v>
      </c>
      <c r="E1435" t="s">
        <v>40</v>
      </c>
      <c r="G1435" s="4">
        <v>43947.161863425926</v>
      </c>
      <c r="H1435" s="4">
        <v>43947.161956018519</v>
      </c>
      <c r="I1435" t="s">
        <v>652</v>
      </c>
      <c r="J1435" s="5">
        <v>8</v>
      </c>
      <c r="K1435" t="s">
        <v>196</v>
      </c>
      <c r="M1435">
        <v>60279</v>
      </c>
      <c r="N1435" t="s">
        <v>380</v>
      </c>
      <c r="O1435" t="s">
        <v>381</v>
      </c>
      <c r="P1435" t="s">
        <v>38</v>
      </c>
      <c r="Q1435" t="s">
        <v>50</v>
      </c>
      <c r="R1435">
        <v>0</v>
      </c>
      <c r="S1435" t="s">
        <v>45</v>
      </c>
      <c r="T1435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5">
        <v>60280</v>
      </c>
      <c r="V1435" t="s">
        <v>38</v>
      </c>
      <c r="W1435" t="s">
        <v>50</v>
      </c>
      <c r="X1435">
        <v>0</v>
      </c>
      <c r="Y1435">
        <v>0</v>
      </c>
      <c r="Z1435" t="s">
        <v>46</v>
      </c>
      <c r="AA1435">
        <v>60282</v>
      </c>
      <c r="AB1435" t="s">
        <v>1435</v>
      </c>
      <c r="AC1435" t="s">
        <v>103</v>
      </c>
      <c r="AD1435" t="s">
        <v>38</v>
      </c>
      <c r="AE1435" t="s">
        <v>49</v>
      </c>
      <c r="AF1435" t="s">
        <v>50</v>
      </c>
      <c r="AG1435">
        <v>0</v>
      </c>
      <c r="AH1435">
        <v>0</v>
      </c>
      <c r="AI1435" t="s">
        <v>51</v>
      </c>
      <c r="AJ1435" t="s">
        <v>51</v>
      </c>
      <c r="AK1435" t="s">
        <v>51</v>
      </c>
    </row>
    <row r="1436" spans="1:37" x14ac:dyDescent="0.2">
      <c r="A1436">
        <v>60247</v>
      </c>
      <c r="B1436" t="s">
        <v>37</v>
      </c>
      <c r="C1436" t="s">
        <v>196</v>
      </c>
      <c r="D1436" t="s">
        <v>361</v>
      </c>
      <c r="E1436" t="s">
        <v>40</v>
      </c>
      <c r="G1436" s="4">
        <v>43947.161863425926</v>
      </c>
      <c r="H1436" s="4">
        <v>43947.161956018519</v>
      </c>
      <c r="I1436" t="s">
        <v>652</v>
      </c>
      <c r="J1436" s="5">
        <v>8</v>
      </c>
      <c r="K1436" t="s">
        <v>196</v>
      </c>
      <c r="M1436">
        <v>60279</v>
      </c>
      <c r="N1436" t="s">
        <v>380</v>
      </c>
      <c r="O1436" t="s">
        <v>381</v>
      </c>
      <c r="P1436" t="s">
        <v>38</v>
      </c>
      <c r="Q1436" t="s">
        <v>50</v>
      </c>
      <c r="R1436">
        <v>0</v>
      </c>
      <c r="S1436" t="s">
        <v>45</v>
      </c>
      <c r="T1436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6">
        <v>60280</v>
      </c>
      <c r="V1436" t="s">
        <v>38</v>
      </c>
      <c r="W1436" t="s">
        <v>50</v>
      </c>
      <c r="X1436">
        <v>0</v>
      </c>
      <c r="Y1436">
        <v>0</v>
      </c>
      <c r="Z1436" t="s">
        <v>46</v>
      </c>
      <c r="AA1436">
        <v>60281</v>
      </c>
      <c r="AB1436" t="s">
        <v>1436</v>
      </c>
      <c r="AC1436" t="s">
        <v>103</v>
      </c>
      <c r="AD1436" t="s">
        <v>38</v>
      </c>
      <c r="AE1436" t="s">
        <v>49</v>
      </c>
      <c r="AF1436" t="s">
        <v>50</v>
      </c>
      <c r="AG1436">
        <v>0</v>
      </c>
      <c r="AH1436">
        <v>0</v>
      </c>
      <c r="AI1436" t="s">
        <v>51</v>
      </c>
      <c r="AJ1436" t="s">
        <v>51</v>
      </c>
      <c r="AK1436" t="s">
        <v>51</v>
      </c>
    </row>
    <row r="1437" spans="1:37" x14ac:dyDescent="0.2">
      <c r="A1437">
        <v>60247</v>
      </c>
      <c r="B1437" t="s">
        <v>37</v>
      </c>
      <c r="C1437" t="s">
        <v>196</v>
      </c>
      <c r="D1437" t="s">
        <v>361</v>
      </c>
      <c r="E1437" t="s">
        <v>40</v>
      </c>
      <c r="G1437" s="4">
        <v>43947.161863425926</v>
      </c>
      <c r="H1437" s="4">
        <v>43947.161956018519</v>
      </c>
      <c r="I1437" t="s">
        <v>652</v>
      </c>
      <c r="J1437" s="5">
        <v>8</v>
      </c>
      <c r="K1437" t="s">
        <v>196</v>
      </c>
      <c r="M1437">
        <v>60276</v>
      </c>
      <c r="N1437" t="s">
        <v>388</v>
      </c>
      <c r="O1437" t="s">
        <v>389</v>
      </c>
      <c r="P1437" t="s">
        <v>38</v>
      </c>
      <c r="Q1437" t="s">
        <v>50</v>
      </c>
      <c r="R1437">
        <v>.9999999999999999999999999999999999999996</v>
      </c>
      <c r="S1437" t="s">
        <v>45</v>
      </c>
      <c r="T1437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7">
        <v>60277</v>
      </c>
      <c r="V1437" t="s">
        <v>38</v>
      </c>
      <c r="W1437" t="s">
        <v>50</v>
      </c>
      <c r="X1437">
        <v>.9999999999999999999999999999999999999996</v>
      </c>
      <c r="Y1437">
        <v>0</v>
      </c>
      <c r="Z1437" t="s">
        <v>46</v>
      </c>
      <c r="AA1437">
        <v>60278</v>
      </c>
      <c r="AB1437" t="s">
        <v>1437</v>
      </c>
      <c r="AC1437" t="s">
        <v>97</v>
      </c>
      <c r="AD1437" t="s">
        <v>38</v>
      </c>
      <c r="AE1437" t="s">
        <v>49</v>
      </c>
      <c r="AF1437" t="s">
        <v>50</v>
      </c>
      <c r="AG1437">
        <v>.9999999999999999999999999999999999999996</v>
      </c>
      <c r="AH1437">
        <v>0</v>
      </c>
      <c r="AI1437" t="s">
        <v>51</v>
      </c>
      <c r="AJ1437" t="s">
        <v>51</v>
      </c>
      <c r="AK1437" t="s">
        <v>51</v>
      </c>
    </row>
    <row r="1438" spans="1:37" x14ac:dyDescent="0.2">
      <c r="A1438">
        <v>60247</v>
      </c>
      <c r="B1438" t="s">
        <v>37</v>
      </c>
      <c r="C1438" t="s">
        <v>196</v>
      </c>
      <c r="D1438" t="s">
        <v>361</v>
      </c>
      <c r="E1438" t="s">
        <v>40</v>
      </c>
      <c r="G1438" s="4">
        <v>43947.161863425926</v>
      </c>
      <c r="H1438" s="4">
        <v>43947.161956018519</v>
      </c>
      <c r="I1438" t="s">
        <v>652</v>
      </c>
      <c r="J1438" s="5">
        <v>8</v>
      </c>
      <c r="K1438" t="s">
        <v>196</v>
      </c>
      <c r="M1438">
        <v>60274</v>
      </c>
      <c r="N1438" t="s">
        <v>391</v>
      </c>
      <c r="O1438" t="s">
        <v>392</v>
      </c>
      <c r="P1438" t="s">
        <v>196</v>
      </c>
      <c r="Q1438" t="s">
        <v>50</v>
      </c>
      <c r="R1438">
        <v>0</v>
      </c>
      <c r="S1438" t="s">
        <v>393</v>
      </c>
      <c r="T1438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8">
        <v>60275</v>
      </c>
      <c r="V1438" t="s">
        <v>196</v>
      </c>
      <c r="W1438" t="s">
        <v>50</v>
      </c>
      <c r="X1438">
        <v>0</v>
      </c>
      <c r="Y1438">
        <v>0</v>
      </c>
      <c r="Z1438" t="s">
        <v>1438</v>
      </c>
    </row>
    <row r="1439" spans="1:37" x14ac:dyDescent="0.2">
      <c r="A1439">
        <v>60247</v>
      </c>
      <c r="B1439" t="s">
        <v>37</v>
      </c>
      <c r="C1439" t="s">
        <v>196</v>
      </c>
      <c r="D1439" t="s">
        <v>361</v>
      </c>
      <c r="E1439" t="s">
        <v>40</v>
      </c>
      <c r="G1439" s="4">
        <v>43947.161863425926</v>
      </c>
      <c r="H1439" s="4">
        <v>43947.161956018519</v>
      </c>
      <c r="I1439" t="s">
        <v>652</v>
      </c>
      <c r="J1439" s="5">
        <v>8</v>
      </c>
      <c r="K1439" t="s">
        <v>196</v>
      </c>
      <c r="M1439">
        <v>60271</v>
      </c>
      <c r="N1439" t="s">
        <v>395</v>
      </c>
      <c r="O1439" t="s">
        <v>396</v>
      </c>
      <c r="P1439" t="s">
        <v>38</v>
      </c>
      <c r="Q1439" t="s">
        <v>50</v>
      </c>
      <c r="R1439">
        <v>0</v>
      </c>
      <c r="S1439" t="s">
        <v>45</v>
      </c>
      <c r="T1439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39">
        <v>60272</v>
      </c>
      <c r="V1439" t="s">
        <v>38</v>
      </c>
      <c r="W1439" t="s">
        <v>50</v>
      </c>
      <c r="X1439">
        <v>0</v>
      </c>
      <c r="Y1439">
        <v>0</v>
      </c>
      <c r="Z1439" t="s">
        <v>46</v>
      </c>
      <c r="AA1439">
        <v>60273</v>
      </c>
      <c r="AB1439" t="s">
        <v>1439</v>
      </c>
      <c r="AC1439" t="s">
        <v>97</v>
      </c>
      <c r="AD1439" t="s">
        <v>38</v>
      </c>
      <c r="AE1439" t="s">
        <v>49</v>
      </c>
      <c r="AF1439" t="s">
        <v>50</v>
      </c>
      <c r="AG1439">
        <v>0</v>
      </c>
      <c r="AH1439">
        <v>0</v>
      </c>
      <c r="AI1439" t="s">
        <v>51</v>
      </c>
      <c r="AJ1439" t="s">
        <v>51</v>
      </c>
      <c r="AK1439" t="s">
        <v>51</v>
      </c>
    </row>
    <row r="1440" spans="1:37" x14ac:dyDescent="0.2">
      <c r="A1440">
        <v>60247</v>
      </c>
      <c r="B1440" t="s">
        <v>37</v>
      </c>
      <c r="C1440" t="s">
        <v>196</v>
      </c>
      <c r="D1440" t="s">
        <v>361</v>
      </c>
      <c r="E1440" t="s">
        <v>40</v>
      </c>
      <c r="G1440" s="4">
        <v>43947.161863425926</v>
      </c>
      <c r="H1440" s="4">
        <v>43947.161956018519</v>
      </c>
      <c r="I1440" t="s">
        <v>652</v>
      </c>
      <c r="J1440" s="5">
        <v>8</v>
      </c>
      <c r="K1440" t="s">
        <v>196</v>
      </c>
      <c r="M1440">
        <v>60266</v>
      </c>
      <c r="N1440" t="s">
        <v>398</v>
      </c>
      <c r="O1440" t="s">
        <v>399</v>
      </c>
      <c r="P1440" t="s">
        <v>38</v>
      </c>
      <c r="Q1440" t="s">
        <v>50</v>
      </c>
      <c r="R1440">
        <v>0</v>
      </c>
      <c r="S1440" t="s">
        <v>45</v>
      </c>
      <c r="T1440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0">
        <v>60267</v>
      </c>
      <c r="V1440" t="s">
        <v>38</v>
      </c>
      <c r="W1440" t="s">
        <v>50</v>
      </c>
      <c r="X1440">
        <v>0</v>
      </c>
      <c r="Y1440">
        <v>0</v>
      </c>
      <c r="Z1440" t="s">
        <v>46</v>
      </c>
      <c r="AA1440">
        <v>60268</v>
      </c>
      <c r="AB1440" t="s">
        <v>1440</v>
      </c>
      <c r="AC1440" t="s">
        <v>97</v>
      </c>
      <c r="AD1440" t="s">
        <v>38</v>
      </c>
      <c r="AE1440" t="s">
        <v>49</v>
      </c>
      <c r="AF1440" t="s">
        <v>50</v>
      </c>
      <c r="AG1440">
        <v>0</v>
      </c>
      <c r="AH1440">
        <v>0</v>
      </c>
      <c r="AI1440" t="s">
        <v>51</v>
      </c>
      <c r="AJ1440" t="s">
        <v>51</v>
      </c>
      <c r="AK1440" t="s">
        <v>51</v>
      </c>
    </row>
    <row r="1441" spans="1:37" x14ac:dyDescent="0.2">
      <c r="A1441">
        <v>60247</v>
      </c>
      <c r="B1441" t="s">
        <v>37</v>
      </c>
      <c r="C1441" t="s">
        <v>196</v>
      </c>
      <c r="D1441" t="s">
        <v>361</v>
      </c>
      <c r="E1441" t="s">
        <v>40</v>
      </c>
      <c r="G1441" s="4">
        <v>43947.161863425926</v>
      </c>
      <c r="H1441" s="4">
        <v>43947.161956018519</v>
      </c>
      <c r="I1441" t="s">
        <v>652</v>
      </c>
      <c r="J1441" s="5">
        <v>8</v>
      </c>
      <c r="K1441" t="s">
        <v>196</v>
      </c>
      <c r="M1441">
        <v>60259</v>
      </c>
      <c r="N1441" t="s">
        <v>401</v>
      </c>
      <c r="O1441" t="s">
        <v>402</v>
      </c>
      <c r="P1441" t="s">
        <v>38</v>
      </c>
      <c r="Q1441" t="s">
        <v>50</v>
      </c>
      <c r="R1441">
        <v>.9999999999999999999999999999999999999996</v>
      </c>
      <c r="S1441" t="s">
        <v>45</v>
      </c>
      <c r="T1441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1">
        <v>60260</v>
      </c>
      <c r="V1441" t="s">
        <v>38</v>
      </c>
      <c r="W1441" t="s">
        <v>50</v>
      </c>
      <c r="X1441">
        <v>.9999999999999999999999999999999999999996</v>
      </c>
      <c r="Y1441">
        <v>0</v>
      </c>
      <c r="Z1441" t="s">
        <v>46</v>
      </c>
      <c r="AA1441">
        <v>60265</v>
      </c>
      <c r="AB1441" t="s">
        <v>1441</v>
      </c>
      <c r="AC1441" t="s">
        <v>103</v>
      </c>
      <c r="AD1441" t="s">
        <v>38</v>
      </c>
      <c r="AE1441" t="s">
        <v>49</v>
      </c>
      <c r="AF1441" t="s">
        <v>50</v>
      </c>
      <c r="AG1441">
        <v>0</v>
      </c>
      <c r="AH1441">
        <v>0</v>
      </c>
      <c r="AI1441" t="s">
        <v>51</v>
      </c>
      <c r="AJ1441" t="s">
        <v>51</v>
      </c>
      <c r="AK1441" t="s">
        <v>51</v>
      </c>
    </row>
    <row r="1442" spans="1:37" x14ac:dyDescent="0.2">
      <c r="A1442">
        <v>60247</v>
      </c>
      <c r="B1442" t="s">
        <v>37</v>
      </c>
      <c r="C1442" t="s">
        <v>196</v>
      </c>
      <c r="D1442" t="s">
        <v>361</v>
      </c>
      <c r="E1442" t="s">
        <v>40</v>
      </c>
      <c r="G1442" s="4">
        <v>43947.161863425926</v>
      </c>
      <c r="H1442" s="4">
        <v>43947.161956018519</v>
      </c>
      <c r="I1442" t="s">
        <v>652</v>
      </c>
      <c r="J1442" s="5">
        <v>8</v>
      </c>
      <c r="K1442" t="s">
        <v>196</v>
      </c>
      <c r="M1442">
        <v>60259</v>
      </c>
      <c r="N1442" t="s">
        <v>401</v>
      </c>
      <c r="O1442" t="s">
        <v>402</v>
      </c>
      <c r="P1442" t="s">
        <v>38</v>
      </c>
      <c r="Q1442" t="s">
        <v>50</v>
      </c>
      <c r="R1442">
        <v>.9999999999999999999999999999999999999996</v>
      </c>
      <c r="S1442" t="s">
        <v>45</v>
      </c>
      <c r="T1442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2">
        <v>60260</v>
      </c>
      <c r="V1442" t="s">
        <v>38</v>
      </c>
      <c r="W1442" t="s">
        <v>50</v>
      </c>
      <c r="X1442">
        <v>.9999999999999999999999999999999999999996</v>
      </c>
      <c r="Y1442">
        <v>0</v>
      </c>
      <c r="Z1442" t="s">
        <v>46</v>
      </c>
      <c r="AA1442">
        <v>60264</v>
      </c>
      <c r="AB1442" t="s">
        <v>1442</v>
      </c>
      <c r="AC1442" t="s">
        <v>103</v>
      </c>
      <c r="AD1442" t="s">
        <v>38</v>
      </c>
      <c r="AE1442" t="s">
        <v>49</v>
      </c>
      <c r="AF1442" t="s">
        <v>50</v>
      </c>
      <c r="AG1442">
        <v>0</v>
      </c>
      <c r="AH1442">
        <v>0</v>
      </c>
      <c r="AI1442" t="s">
        <v>51</v>
      </c>
      <c r="AJ1442" t="s">
        <v>51</v>
      </c>
      <c r="AK1442" t="s">
        <v>51</v>
      </c>
    </row>
    <row r="1443" spans="1:37" x14ac:dyDescent="0.2">
      <c r="A1443">
        <v>60247</v>
      </c>
      <c r="B1443" t="s">
        <v>37</v>
      </c>
      <c r="C1443" t="s">
        <v>196</v>
      </c>
      <c r="D1443" t="s">
        <v>361</v>
      </c>
      <c r="E1443" t="s">
        <v>40</v>
      </c>
      <c r="G1443" s="4">
        <v>43947.161863425926</v>
      </c>
      <c r="H1443" s="4">
        <v>43947.161956018519</v>
      </c>
      <c r="I1443" t="s">
        <v>652</v>
      </c>
      <c r="J1443" s="5">
        <v>8</v>
      </c>
      <c r="K1443" t="s">
        <v>196</v>
      </c>
      <c r="M1443">
        <v>60259</v>
      </c>
      <c r="N1443" t="s">
        <v>401</v>
      </c>
      <c r="O1443" t="s">
        <v>402</v>
      </c>
      <c r="P1443" t="s">
        <v>38</v>
      </c>
      <c r="Q1443" t="s">
        <v>50</v>
      </c>
      <c r="R1443">
        <v>.9999999999999999999999999999999999999996</v>
      </c>
      <c r="S1443" t="s">
        <v>45</v>
      </c>
      <c r="T1443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3">
        <v>60260</v>
      </c>
      <c r="V1443" t="s">
        <v>38</v>
      </c>
      <c r="W1443" t="s">
        <v>50</v>
      </c>
      <c r="X1443">
        <v>.9999999999999999999999999999999999999996</v>
      </c>
      <c r="Y1443">
        <v>0</v>
      </c>
      <c r="Z1443" t="s">
        <v>46</v>
      </c>
      <c r="AA1443">
        <v>60263</v>
      </c>
      <c r="AB1443" t="s">
        <v>1443</v>
      </c>
      <c r="AC1443" t="s">
        <v>103</v>
      </c>
      <c r="AD1443" t="s">
        <v>38</v>
      </c>
      <c r="AE1443" t="s">
        <v>49</v>
      </c>
      <c r="AF1443" t="s">
        <v>50</v>
      </c>
      <c r="AG1443">
        <v>0</v>
      </c>
      <c r="AH1443">
        <v>0</v>
      </c>
      <c r="AI1443" t="s">
        <v>51</v>
      </c>
      <c r="AJ1443" t="s">
        <v>51</v>
      </c>
      <c r="AK1443" t="s">
        <v>51</v>
      </c>
    </row>
    <row r="1444" spans="1:37" x14ac:dyDescent="0.2">
      <c r="A1444">
        <v>60247</v>
      </c>
      <c r="B1444" t="s">
        <v>37</v>
      </c>
      <c r="C1444" t="s">
        <v>196</v>
      </c>
      <c r="D1444" t="s">
        <v>361</v>
      </c>
      <c r="E1444" t="s">
        <v>40</v>
      </c>
      <c r="G1444" s="4">
        <v>43947.161863425926</v>
      </c>
      <c r="H1444" s="4">
        <v>43947.161956018519</v>
      </c>
      <c r="I1444" t="s">
        <v>652</v>
      </c>
      <c r="J1444" s="5">
        <v>8</v>
      </c>
      <c r="K1444" t="s">
        <v>196</v>
      </c>
      <c r="M1444">
        <v>60259</v>
      </c>
      <c r="N1444" t="s">
        <v>401</v>
      </c>
      <c r="O1444" t="s">
        <v>402</v>
      </c>
      <c r="P1444" t="s">
        <v>38</v>
      </c>
      <c r="Q1444" t="s">
        <v>50</v>
      </c>
      <c r="R1444">
        <v>.9999999999999999999999999999999999999996</v>
      </c>
      <c r="S1444" t="s">
        <v>45</v>
      </c>
      <c r="T1444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4">
        <v>60260</v>
      </c>
      <c r="V1444" t="s">
        <v>38</v>
      </c>
      <c r="W1444" t="s">
        <v>50</v>
      </c>
      <c r="X1444">
        <v>.9999999999999999999999999999999999999996</v>
      </c>
      <c r="Y1444">
        <v>0</v>
      </c>
      <c r="Z1444" t="s">
        <v>46</v>
      </c>
      <c r="AA1444">
        <v>60262</v>
      </c>
      <c r="AB1444" t="s">
        <v>1444</v>
      </c>
      <c r="AC1444" t="s">
        <v>103</v>
      </c>
      <c r="AD1444" t="s">
        <v>38</v>
      </c>
      <c r="AE1444" t="s">
        <v>49</v>
      </c>
      <c r="AF1444" t="s">
        <v>50</v>
      </c>
      <c r="AG1444">
        <v>.9999999999999999999999999999999999999996</v>
      </c>
      <c r="AH1444">
        <v>0</v>
      </c>
      <c r="AI1444" t="s">
        <v>51</v>
      </c>
      <c r="AJ1444" t="s">
        <v>51</v>
      </c>
      <c r="AK1444" t="s">
        <v>51</v>
      </c>
    </row>
    <row r="1445" spans="1:37" x14ac:dyDescent="0.2">
      <c r="A1445">
        <v>60247</v>
      </c>
      <c r="B1445" t="s">
        <v>37</v>
      </c>
      <c r="C1445" t="s">
        <v>196</v>
      </c>
      <c r="D1445" t="s">
        <v>361</v>
      </c>
      <c r="E1445" t="s">
        <v>40</v>
      </c>
      <c r="G1445" s="4">
        <v>43947.161863425926</v>
      </c>
      <c r="H1445" s="4">
        <v>43947.161956018519</v>
      </c>
      <c r="I1445" t="s">
        <v>652</v>
      </c>
      <c r="J1445" s="5">
        <v>8</v>
      </c>
      <c r="K1445" t="s">
        <v>196</v>
      </c>
      <c r="M1445">
        <v>60259</v>
      </c>
      <c r="N1445" t="s">
        <v>401</v>
      </c>
      <c r="O1445" t="s">
        <v>402</v>
      </c>
      <c r="P1445" t="s">
        <v>38</v>
      </c>
      <c r="Q1445" t="s">
        <v>50</v>
      </c>
      <c r="R1445">
        <v>.9999999999999999999999999999999999999996</v>
      </c>
      <c r="S1445" t="s">
        <v>45</v>
      </c>
      <c r="T1445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5">
        <v>60260</v>
      </c>
      <c r="V1445" t="s">
        <v>38</v>
      </c>
      <c r="W1445" t="s">
        <v>50</v>
      </c>
      <c r="X1445">
        <v>.9999999999999999999999999999999999999996</v>
      </c>
      <c r="Y1445">
        <v>0</v>
      </c>
      <c r="Z1445" t="s">
        <v>46</v>
      </c>
      <c r="AA1445">
        <v>60261</v>
      </c>
      <c r="AB1445" t="s">
        <v>1445</v>
      </c>
      <c r="AC1445" t="s">
        <v>103</v>
      </c>
      <c r="AD1445" t="s">
        <v>38</v>
      </c>
      <c r="AE1445" t="s">
        <v>49</v>
      </c>
      <c r="AF1445" t="s">
        <v>50</v>
      </c>
      <c r="AG1445">
        <v>0</v>
      </c>
      <c r="AH1445">
        <v>0</v>
      </c>
      <c r="AI1445" t="s">
        <v>51</v>
      </c>
      <c r="AJ1445" t="s">
        <v>51</v>
      </c>
      <c r="AK1445" t="s">
        <v>51</v>
      </c>
    </row>
    <row r="1446" spans="1:37" x14ac:dyDescent="0.2">
      <c r="A1446">
        <v>60247</v>
      </c>
      <c r="B1446" t="s">
        <v>37</v>
      </c>
      <c r="C1446" t="s">
        <v>196</v>
      </c>
      <c r="D1446" t="s">
        <v>361</v>
      </c>
      <c r="E1446" t="s">
        <v>40</v>
      </c>
      <c r="G1446" s="4">
        <v>43947.161863425926</v>
      </c>
      <c r="H1446" s="4">
        <v>43947.161956018519</v>
      </c>
      <c r="I1446" t="s">
        <v>652</v>
      </c>
      <c r="J1446" s="5">
        <v>8</v>
      </c>
      <c r="K1446" t="s">
        <v>196</v>
      </c>
      <c r="M1446">
        <v>60257</v>
      </c>
      <c r="N1446" t="s">
        <v>408</v>
      </c>
      <c r="O1446" t="s">
        <v>409</v>
      </c>
      <c r="P1446" t="s">
        <v>196</v>
      </c>
      <c r="Q1446" t="s">
        <v>50</v>
      </c>
      <c r="R1446">
        <v>0</v>
      </c>
      <c r="S1446" t="s">
        <v>410</v>
      </c>
      <c r="T1446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6">
        <v>60258</v>
      </c>
      <c r="V1446" t="s">
        <v>196</v>
      </c>
      <c r="W1446" t="s">
        <v>50</v>
      </c>
      <c r="X1446">
        <v>0</v>
      </c>
      <c r="Y1446">
        <v>0</v>
      </c>
      <c r="Z1446" t="s">
        <v>1446</v>
      </c>
    </row>
    <row r="1447" spans="1:37" x14ac:dyDescent="0.2">
      <c r="A1447">
        <v>60247</v>
      </c>
      <c r="B1447" t="s">
        <v>37</v>
      </c>
      <c r="C1447" t="s">
        <v>196</v>
      </c>
      <c r="D1447" t="s">
        <v>361</v>
      </c>
      <c r="E1447" t="s">
        <v>40</v>
      </c>
      <c r="G1447" s="4">
        <v>43947.161863425926</v>
      </c>
      <c r="H1447" s="4">
        <v>43947.161956018519</v>
      </c>
      <c r="I1447" t="s">
        <v>652</v>
      </c>
      <c r="J1447" s="5">
        <v>8</v>
      </c>
      <c r="K1447" t="s">
        <v>196</v>
      </c>
      <c r="M1447">
        <v>60254</v>
      </c>
      <c r="N1447" t="s">
        <v>412</v>
      </c>
      <c r="O1447" t="s">
        <v>413</v>
      </c>
      <c r="P1447" t="s">
        <v>38</v>
      </c>
      <c r="Q1447" t="s">
        <v>50</v>
      </c>
      <c r="R1447">
        <v>.9999999999999999999999999999999999999996</v>
      </c>
      <c r="S1447" t="s">
        <v>45</v>
      </c>
      <c r="T1447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7">
        <v>60255</v>
      </c>
      <c r="V1447" t="s">
        <v>38</v>
      </c>
      <c r="W1447" t="s">
        <v>50</v>
      </c>
      <c r="X1447">
        <v>.9999999999999999999999999999999999999996</v>
      </c>
      <c r="Y1447">
        <v>0</v>
      </c>
      <c r="Z1447" t="s">
        <v>46</v>
      </c>
      <c r="AA1447">
        <v>60256</v>
      </c>
      <c r="AB1447" t="s">
        <v>1447</v>
      </c>
      <c r="AC1447" t="s">
        <v>97</v>
      </c>
      <c r="AD1447" t="s">
        <v>38</v>
      </c>
      <c r="AE1447" t="s">
        <v>49</v>
      </c>
      <c r="AF1447" t="s">
        <v>50</v>
      </c>
      <c r="AG1447">
        <v>0</v>
      </c>
      <c r="AH1447">
        <v>0</v>
      </c>
      <c r="AI1447" t="s">
        <v>51</v>
      </c>
      <c r="AJ1447" t="s">
        <v>51</v>
      </c>
      <c r="AK1447" t="s">
        <v>51</v>
      </c>
    </row>
    <row r="1448" spans="1:37" x14ac:dyDescent="0.2">
      <c r="A1448">
        <v>60247</v>
      </c>
      <c r="B1448" t="s">
        <v>37</v>
      </c>
      <c r="C1448" t="s">
        <v>196</v>
      </c>
      <c r="D1448" t="s">
        <v>361</v>
      </c>
      <c r="E1448" t="s">
        <v>40</v>
      </c>
      <c r="G1448" s="4">
        <v>43947.161863425926</v>
      </c>
      <c r="H1448" s="4">
        <v>43947.161956018519</v>
      </c>
      <c r="I1448" t="s">
        <v>652</v>
      </c>
      <c r="J1448" s="5">
        <v>8</v>
      </c>
      <c r="K1448" t="s">
        <v>196</v>
      </c>
      <c r="M1448">
        <v>60250</v>
      </c>
      <c r="N1448" t="s">
        <v>415</v>
      </c>
      <c r="O1448" t="s">
        <v>416</v>
      </c>
      <c r="P1448" t="s">
        <v>38</v>
      </c>
      <c r="Q1448" t="s">
        <v>50</v>
      </c>
      <c r="R1448">
        <v>0</v>
      </c>
      <c r="S1448" t="s">
        <v>45</v>
      </c>
      <c r="T1448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8">
        <v>60251</v>
      </c>
      <c r="V1448" t="s">
        <v>38</v>
      </c>
      <c r="W1448" t="s">
        <v>50</v>
      </c>
      <c r="X1448">
        <v>0</v>
      </c>
      <c r="Y1448">
        <v>0</v>
      </c>
      <c r="Z1448" t="s">
        <v>46</v>
      </c>
      <c r="AA1448">
        <v>60253</v>
      </c>
      <c r="AB1448" t="s">
        <v>1448</v>
      </c>
      <c r="AC1448" t="s">
        <v>56</v>
      </c>
      <c r="AD1448" t="s">
        <v>38</v>
      </c>
      <c r="AE1448" t="s">
        <v>49</v>
      </c>
      <c r="AF1448" t="s">
        <v>50</v>
      </c>
      <c r="AG1448">
        <v>0</v>
      </c>
      <c r="AH1448">
        <v>0</v>
      </c>
      <c r="AI1448" t="s">
        <v>51</v>
      </c>
      <c r="AJ1448" t="s">
        <v>51</v>
      </c>
      <c r="AK1448" t="s">
        <v>51</v>
      </c>
    </row>
    <row r="1449" spans="1:37" x14ac:dyDescent="0.2">
      <c r="A1449">
        <v>60247</v>
      </c>
      <c r="B1449" t="s">
        <v>37</v>
      </c>
      <c r="C1449" t="s">
        <v>196</v>
      </c>
      <c r="D1449" t="s">
        <v>361</v>
      </c>
      <c r="E1449" t="s">
        <v>40</v>
      </c>
      <c r="G1449" s="4">
        <v>43947.161863425926</v>
      </c>
      <c r="H1449" s="4">
        <v>43947.161956018519</v>
      </c>
      <c r="I1449" t="s">
        <v>652</v>
      </c>
      <c r="J1449" s="5">
        <v>8</v>
      </c>
      <c r="K1449" t="s">
        <v>196</v>
      </c>
      <c r="M1449">
        <v>60250</v>
      </c>
      <c r="N1449" t="s">
        <v>415</v>
      </c>
      <c r="O1449" t="s">
        <v>416</v>
      </c>
      <c r="P1449" t="s">
        <v>38</v>
      </c>
      <c r="Q1449" t="s">
        <v>50</v>
      </c>
      <c r="R1449">
        <v>0</v>
      </c>
      <c r="S1449" t="s">
        <v>45</v>
      </c>
      <c r="T1449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49">
        <v>60251</v>
      </c>
      <c r="V1449" t="s">
        <v>38</v>
      </c>
      <c r="W1449" t="s">
        <v>50</v>
      </c>
      <c r="X1449">
        <v>0</v>
      </c>
      <c r="Y1449">
        <v>0</v>
      </c>
      <c r="Z1449" t="s">
        <v>46</v>
      </c>
      <c r="AA1449">
        <v>60252</v>
      </c>
      <c r="AB1449" t="s">
        <v>1449</v>
      </c>
      <c r="AC1449" t="s">
        <v>97</v>
      </c>
      <c r="AD1449" t="s">
        <v>38</v>
      </c>
      <c r="AE1449" t="s">
        <v>49</v>
      </c>
      <c r="AF1449" t="s">
        <v>50</v>
      </c>
      <c r="AG1449">
        <v>0</v>
      </c>
      <c r="AH1449">
        <v>0</v>
      </c>
      <c r="AI1449" t="s">
        <v>51</v>
      </c>
      <c r="AJ1449" t="s">
        <v>51</v>
      </c>
      <c r="AK1449" t="s">
        <v>51</v>
      </c>
    </row>
    <row r="1450" spans="1:37" x14ac:dyDescent="0.2">
      <c r="A1450">
        <v>60247</v>
      </c>
      <c r="B1450" t="s">
        <v>37</v>
      </c>
      <c r="C1450" t="s">
        <v>196</v>
      </c>
      <c r="D1450" t="s">
        <v>361</v>
      </c>
      <c r="E1450" t="s">
        <v>40</v>
      </c>
      <c r="G1450" s="4">
        <v>43947.161863425926</v>
      </c>
      <c r="H1450" s="4">
        <v>43947.161956018519</v>
      </c>
      <c r="I1450" t="s">
        <v>652</v>
      </c>
      <c r="J1450" s="5">
        <v>8</v>
      </c>
      <c r="K1450" t="s">
        <v>196</v>
      </c>
      <c r="M1450">
        <v>60248</v>
      </c>
      <c r="N1450" t="s">
        <v>419</v>
      </c>
      <c r="O1450" t="s">
        <v>420</v>
      </c>
      <c r="P1450" t="s">
        <v>196</v>
      </c>
      <c r="Q1450" t="s">
        <v>50</v>
      </c>
      <c r="R1450">
        <v>0</v>
      </c>
      <c r="S1450" t="s">
        <v>421</v>
      </c>
      <c r="T1450" t="str" s="2">
        <f>=HYPERLINK("http://demo.enginatics.com:80/ecc/user/applications/log/60247.log","http://demo.enginatics.com:80/ecc/user/applications/log/60247.log")</f>
        <v>"http://demo.enginatics.com:80/ecc/user/applications/log/60247.log")</v>
      </c>
      <c r="U1450">
        <v>60249</v>
      </c>
      <c r="V1450" t="s">
        <v>196</v>
      </c>
      <c r="W1450" t="s">
        <v>50</v>
      </c>
      <c r="X1450">
        <v>0</v>
      </c>
      <c r="Y1450">
        <v>0</v>
      </c>
      <c r="Z1450" t="s">
        <v>1450</v>
      </c>
    </row>
    <row r="1451" spans="1:37" x14ac:dyDescent="0.2">
      <c r="A1451">
        <v>60226</v>
      </c>
      <c r="B1451" t="s">
        <v>37</v>
      </c>
      <c r="C1451" t="s">
        <v>196</v>
      </c>
      <c r="D1451" t="s">
        <v>295</v>
      </c>
      <c r="E1451" t="s">
        <v>423</v>
      </c>
      <c r="G1451" s="4">
        <v>43947.161759259259</v>
      </c>
      <c r="H1451" s="4">
        <v>43947.161759259259</v>
      </c>
      <c r="I1451" t="s">
        <v>50</v>
      </c>
      <c r="J1451" s="5">
        <v>0</v>
      </c>
      <c r="K1451" t="s">
        <v>1451</v>
      </c>
    </row>
    <row r="1452" spans="1:37" x14ac:dyDescent="0.2">
      <c r="A1452">
        <v>60225</v>
      </c>
      <c r="B1452" t="s">
        <v>37</v>
      </c>
      <c r="C1452" t="s">
        <v>38</v>
      </c>
      <c r="D1452" t="s">
        <v>295</v>
      </c>
      <c r="E1452" t="s">
        <v>40</v>
      </c>
      <c r="G1452" s="4">
        <v>43947.161759259259</v>
      </c>
      <c r="H1452" s="4">
        <v>43947.161909722222</v>
      </c>
      <c r="I1452" t="s">
        <v>313</v>
      </c>
      <c r="J1452" s="5">
        <v>13</v>
      </c>
      <c r="K1452" t="s">
        <v>38</v>
      </c>
      <c r="M1452">
        <v>60245</v>
      </c>
      <c r="N1452" t="s">
        <v>299</v>
      </c>
      <c r="O1452" t="s">
        <v>301</v>
      </c>
      <c r="P1452" t="s">
        <v>38</v>
      </c>
      <c r="Q1452" t="s">
        <v>337</v>
      </c>
      <c r="R1452">
        <v>11.00000000000000000000000000000000000002</v>
      </c>
      <c r="S1452" t="s">
        <v>45</v>
      </c>
      <c r="T1452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2">
        <v>60246</v>
      </c>
      <c r="V1452" t="s">
        <v>38</v>
      </c>
      <c r="W1452" t="s">
        <v>337</v>
      </c>
      <c r="X1452">
        <v>11.00000000000000000000000000000000000002</v>
      </c>
      <c r="Y1452">
        <v>10</v>
      </c>
      <c r="Z1452" t="s">
        <v>46</v>
      </c>
      <c r="AA1452">
        <v>60270</v>
      </c>
      <c r="AB1452" t="s">
        <v>302</v>
      </c>
      <c r="AC1452" t="s">
        <v>68</v>
      </c>
      <c r="AD1452" t="s">
        <v>38</v>
      </c>
      <c r="AE1452" t="s">
        <v>49</v>
      </c>
      <c r="AF1452" t="s">
        <v>50</v>
      </c>
      <c r="AG1452">
        <v>0</v>
      </c>
      <c r="AH1452">
        <v>0</v>
      </c>
      <c r="AI1452" t="s">
        <v>51</v>
      </c>
      <c r="AJ1452" t="s">
        <v>51</v>
      </c>
      <c r="AK1452" t="s">
        <v>51</v>
      </c>
    </row>
    <row r="1453" spans="1:37" x14ac:dyDescent="0.2">
      <c r="A1453">
        <v>60225</v>
      </c>
      <c r="B1453" t="s">
        <v>37</v>
      </c>
      <c r="C1453" t="s">
        <v>38</v>
      </c>
      <c r="D1453" t="s">
        <v>295</v>
      </c>
      <c r="E1453" t="s">
        <v>40</v>
      </c>
      <c r="G1453" s="4">
        <v>43947.161759259259</v>
      </c>
      <c r="H1453" s="4">
        <v>43947.161909722222</v>
      </c>
      <c r="I1453" t="s">
        <v>313</v>
      </c>
      <c r="J1453" s="5">
        <v>13</v>
      </c>
      <c r="K1453" t="s">
        <v>38</v>
      </c>
      <c r="M1453">
        <v>60245</v>
      </c>
      <c r="N1453" t="s">
        <v>299</v>
      </c>
      <c r="O1453" t="s">
        <v>301</v>
      </c>
      <c r="P1453" t="s">
        <v>38</v>
      </c>
      <c r="Q1453" t="s">
        <v>337</v>
      </c>
      <c r="R1453">
        <v>11.00000000000000000000000000000000000002</v>
      </c>
      <c r="S1453" t="s">
        <v>45</v>
      </c>
      <c r="T1453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3">
        <v>60246</v>
      </c>
      <c r="V1453" t="s">
        <v>38</v>
      </c>
      <c r="W1453" t="s">
        <v>337</v>
      </c>
      <c r="X1453">
        <v>11.00000000000000000000000000000000000002</v>
      </c>
      <c r="Y1453">
        <v>10</v>
      </c>
      <c r="Z1453" t="s">
        <v>46</v>
      </c>
      <c r="AA1453">
        <v>60269</v>
      </c>
      <c r="AB1453" t="s">
        <v>303</v>
      </c>
      <c r="AC1453" t="s">
        <v>56</v>
      </c>
      <c r="AD1453" t="s">
        <v>38</v>
      </c>
      <c r="AE1453" t="s">
        <v>49</v>
      </c>
      <c r="AF1453" t="s">
        <v>50</v>
      </c>
      <c r="AG1453">
        <v>0</v>
      </c>
      <c r="AH1453">
        <v>0</v>
      </c>
      <c r="AI1453" t="s">
        <v>51</v>
      </c>
      <c r="AJ1453" t="s">
        <v>51</v>
      </c>
      <c r="AK1453" t="s">
        <v>51</v>
      </c>
    </row>
    <row r="1454" spans="1:37" x14ac:dyDescent="0.2">
      <c r="A1454">
        <v>60225</v>
      </c>
      <c r="B1454" t="s">
        <v>37</v>
      </c>
      <c r="C1454" t="s">
        <v>38</v>
      </c>
      <c r="D1454" t="s">
        <v>295</v>
      </c>
      <c r="E1454" t="s">
        <v>40</v>
      </c>
      <c r="G1454" s="4">
        <v>43947.161759259259</v>
      </c>
      <c r="H1454" s="4">
        <v>43947.161909722222</v>
      </c>
      <c r="I1454" t="s">
        <v>313</v>
      </c>
      <c r="J1454" s="5">
        <v>13</v>
      </c>
      <c r="K1454" t="s">
        <v>38</v>
      </c>
      <c r="M1454">
        <v>60242</v>
      </c>
      <c r="N1454" t="s">
        <v>423</v>
      </c>
      <c r="O1454" t="s">
        <v>424</v>
      </c>
      <c r="P1454" t="s">
        <v>38</v>
      </c>
      <c r="Q1454" t="s">
        <v>50</v>
      </c>
      <c r="R1454">
        <v>0</v>
      </c>
      <c r="S1454" t="s">
        <v>45</v>
      </c>
      <c r="T1454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4">
        <v>60243</v>
      </c>
      <c r="V1454" t="s">
        <v>38</v>
      </c>
      <c r="W1454" t="s">
        <v>50</v>
      </c>
      <c r="X1454">
        <v>0</v>
      </c>
      <c r="Y1454">
        <v>0</v>
      </c>
      <c r="Z1454" t="s">
        <v>46</v>
      </c>
      <c r="AA1454">
        <v>60244</v>
      </c>
      <c r="AB1454" t="s">
        <v>1452</v>
      </c>
      <c r="AC1454" t="s">
        <v>68</v>
      </c>
      <c r="AD1454" t="s">
        <v>38</v>
      </c>
      <c r="AE1454" t="s">
        <v>49</v>
      </c>
      <c r="AF1454" t="s">
        <v>50</v>
      </c>
      <c r="AG1454">
        <v>0</v>
      </c>
      <c r="AH1454">
        <v>0</v>
      </c>
      <c r="AI1454" t="s">
        <v>51</v>
      </c>
      <c r="AJ1454" t="s">
        <v>51</v>
      </c>
      <c r="AK1454" t="s">
        <v>51</v>
      </c>
    </row>
    <row r="1455" spans="1:37" x14ac:dyDescent="0.2">
      <c r="A1455">
        <v>60225</v>
      </c>
      <c r="B1455" t="s">
        <v>37</v>
      </c>
      <c r="C1455" t="s">
        <v>38</v>
      </c>
      <c r="D1455" t="s">
        <v>295</v>
      </c>
      <c r="E1455" t="s">
        <v>40</v>
      </c>
      <c r="G1455" s="4">
        <v>43947.161759259259</v>
      </c>
      <c r="H1455" s="4">
        <v>43947.161909722222</v>
      </c>
      <c r="I1455" t="s">
        <v>313</v>
      </c>
      <c r="J1455" s="5">
        <v>13</v>
      </c>
      <c r="K1455" t="s">
        <v>38</v>
      </c>
      <c r="M1455">
        <v>60239</v>
      </c>
      <c r="N1455" t="s">
        <v>426</v>
      </c>
      <c r="O1455" t="s">
        <v>427</v>
      </c>
      <c r="P1455" t="s">
        <v>38</v>
      </c>
      <c r="Q1455" t="s">
        <v>50</v>
      </c>
      <c r="R1455">
        <v>0</v>
      </c>
      <c r="S1455" t="s">
        <v>45</v>
      </c>
      <c r="T1455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5">
        <v>60240</v>
      </c>
      <c r="V1455" t="s">
        <v>38</v>
      </c>
      <c r="W1455" t="s">
        <v>50</v>
      </c>
      <c r="X1455">
        <v>0</v>
      </c>
      <c r="Y1455">
        <v>0</v>
      </c>
      <c r="Z1455" t="s">
        <v>46</v>
      </c>
      <c r="AA1455">
        <v>60241</v>
      </c>
      <c r="AB1455" t="s">
        <v>428</v>
      </c>
      <c r="AC1455" t="s">
        <v>68</v>
      </c>
      <c r="AD1455" t="s">
        <v>38</v>
      </c>
      <c r="AE1455" t="s">
        <v>49</v>
      </c>
      <c r="AF1455" t="s">
        <v>50</v>
      </c>
      <c r="AG1455">
        <v>0</v>
      </c>
      <c r="AH1455">
        <v>0</v>
      </c>
      <c r="AI1455" t="s">
        <v>51</v>
      </c>
      <c r="AJ1455" t="s">
        <v>51</v>
      </c>
      <c r="AK1455" t="s">
        <v>51</v>
      </c>
    </row>
    <row r="1456" spans="1:37" x14ac:dyDescent="0.2">
      <c r="A1456">
        <v>60225</v>
      </c>
      <c r="B1456" t="s">
        <v>37</v>
      </c>
      <c r="C1456" t="s">
        <v>38</v>
      </c>
      <c r="D1456" t="s">
        <v>295</v>
      </c>
      <c r="E1456" t="s">
        <v>40</v>
      </c>
      <c r="G1456" s="4">
        <v>43947.161759259259</v>
      </c>
      <c r="H1456" s="4">
        <v>43947.161909722222</v>
      </c>
      <c r="I1456" t="s">
        <v>313</v>
      </c>
      <c r="J1456" s="5">
        <v>13</v>
      </c>
      <c r="K1456" t="s">
        <v>38</v>
      </c>
      <c r="M1456">
        <v>60236</v>
      </c>
      <c r="N1456" t="s">
        <v>429</v>
      </c>
      <c r="O1456" t="s">
        <v>430</v>
      </c>
      <c r="P1456" t="s">
        <v>38</v>
      </c>
      <c r="Q1456" t="s">
        <v>50</v>
      </c>
      <c r="R1456">
        <v>.9999999999999999999999999999999999999996</v>
      </c>
      <c r="S1456" t="s">
        <v>45</v>
      </c>
      <c r="T1456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6">
        <v>60237</v>
      </c>
      <c r="V1456" t="s">
        <v>38</v>
      </c>
      <c r="W1456" t="s">
        <v>50</v>
      </c>
      <c r="X1456">
        <v>.9999999999999999999999999999999999999996</v>
      </c>
      <c r="Y1456">
        <v>0</v>
      </c>
      <c r="Z1456" t="s">
        <v>46</v>
      </c>
      <c r="AA1456">
        <v>60238</v>
      </c>
      <c r="AB1456" t="s">
        <v>431</v>
      </c>
      <c r="AC1456" t="s">
        <v>68</v>
      </c>
      <c r="AD1456" t="s">
        <v>38</v>
      </c>
      <c r="AE1456" t="s">
        <v>49</v>
      </c>
      <c r="AF1456" t="s">
        <v>50</v>
      </c>
      <c r="AG1456">
        <v>0</v>
      </c>
      <c r="AH1456">
        <v>0</v>
      </c>
      <c r="AI1456" t="s">
        <v>51</v>
      </c>
      <c r="AJ1456" t="s">
        <v>51</v>
      </c>
      <c r="AK1456" t="s">
        <v>51</v>
      </c>
    </row>
    <row r="1457" spans="1:37" x14ac:dyDescent="0.2">
      <c r="A1457">
        <v>60225</v>
      </c>
      <c r="B1457" t="s">
        <v>37</v>
      </c>
      <c r="C1457" t="s">
        <v>38</v>
      </c>
      <c r="D1457" t="s">
        <v>295</v>
      </c>
      <c r="E1457" t="s">
        <v>40</v>
      </c>
      <c r="G1457" s="4">
        <v>43947.161759259259</v>
      </c>
      <c r="H1457" s="4">
        <v>43947.161909722222</v>
      </c>
      <c r="I1457" t="s">
        <v>313</v>
      </c>
      <c r="J1457" s="5">
        <v>13</v>
      </c>
      <c r="K1457" t="s">
        <v>38</v>
      </c>
      <c r="M1457">
        <v>60233</v>
      </c>
      <c r="N1457" t="s">
        <v>304</v>
      </c>
      <c r="O1457" t="s">
        <v>305</v>
      </c>
      <c r="P1457" t="s">
        <v>38</v>
      </c>
      <c r="Q1457" t="s">
        <v>50</v>
      </c>
      <c r="R1457">
        <v>.9999999999999999999999999999999999999996</v>
      </c>
      <c r="S1457" t="s">
        <v>45</v>
      </c>
      <c r="T1457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7">
        <v>60234</v>
      </c>
      <c r="V1457" t="s">
        <v>38</v>
      </c>
      <c r="W1457" t="s">
        <v>50</v>
      </c>
      <c r="X1457">
        <v>.9999999999999999999999999999999999999996</v>
      </c>
      <c r="Y1457">
        <v>1</v>
      </c>
      <c r="Z1457" t="s">
        <v>46</v>
      </c>
      <c r="AA1457">
        <v>60235</v>
      </c>
      <c r="AB1457" t="s">
        <v>306</v>
      </c>
      <c r="AC1457" t="s">
        <v>68</v>
      </c>
      <c r="AD1457" t="s">
        <v>38</v>
      </c>
      <c r="AE1457" t="s">
        <v>49</v>
      </c>
      <c r="AF1457" t="s">
        <v>50</v>
      </c>
      <c r="AG1457">
        <v>0</v>
      </c>
      <c r="AH1457">
        <v>0</v>
      </c>
      <c r="AI1457" t="s">
        <v>51</v>
      </c>
      <c r="AJ1457" t="s">
        <v>51</v>
      </c>
      <c r="AK1457" t="s">
        <v>51</v>
      </c>
    </row>
    <row r="1458" spans="1:37" x14ac:dyDescent="0.2">
      <c r="A1458">
        <v>60225</v>
      </c>
      <c r="B1458" t="s">
        <v>37</v>
      </c>
      <c r="C1458" t="s">
        <v>38</v>
      </c>
      <c r="D1458" t="s">
        <v>295</v>
      </c>
      <c r="E1458" t="s">
        <v>40</v>
      </c>
      <c r="G1458" s="4">
        <v>43947.161759259259</v>
      </c>
      <c r="H1458" s="4">
        <v>43947.161909722222</v>
      </c>
      <c r="I1458" t="s">
        <v>313</v>
      </c>
      <c r="J1458" s="5">
        <v>13</v>
      </c>
      <c r="K1458" t="s">
        <v>38</v>
      </c>
      <c r="M1458">
        <v>60230</v>
      </c>
      <c r="N1458" t="s">
        <v>296</v>
      </c>
      <c r="O1458" t="s">
        <v>297</v>
      </c>
      <c r="P1458" t="s">
        <v>38</v>
      </c>
      <c r="Q1458" t="s">
        <v>50</v>
      </c>
      <c r="R1458">
        <v>0</v>
      </c>
      <c r="S1458" t="s">
        <v>45</v>
      </c>
      <c r="T1458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8">
        <v>60231</v>
      </c>
      <c r="V1458" t="s">
        <v>38</v>
      </c>
      <c r="W1458" t="s">
        <v>50</v>
      </c>
      <c r="X1458">
        <v>0</v>
      </c>
      <c r="Y1458">
        <v>0</v>
      </c>
      <c r="Z1458" t="s">
        <v>46</v>
      </c>
      <c r="AA1458">
        <v>60232</v>
      </c>
      <c r="AB1458" t="s">
        <v>1453</v>
      </c>
      <c r="AC1458" t="s">
        <v>68</v>
      </c>
      <c r="AD1458" t="s">
        <v>38</v>
      </c>
      <c r="AE1458" t="s">
        <v>49</v>
      </c>
      <c r="AF1458" t="s">
        <v>50</v>
      </c>
      <c r="AG1458">
        <v>0</v>
      </c>
      <c r="AH1458">
        <v>0</v>
      </c>
      <c r="AI1458" t="s">
        <v>51</v>
      </c>
      <c r="AJ1458" t="s">
        <v>51</v>
      </c>
      <c r="AK1458" t="s">
        <v>51</v>
      </c>
    </row>
    <row r="1459" spans="1:37" x14ac:dyDescent="0.2">
      <c r="A1459">
        <v>60225</v>
      </c>
      <c r="B1459" t="s">
        <v>37</v>
      </c>
      <c r="C1459" t="s">
        <v>38</v>
      </c>
      <c r="D1459" t="s">
        <v>295</v>
      </c>
      <c r="E1459" t="s">
        <v>40</v>
      </c>
      <c r="G1459" s="4">
        <v>43947.161759259259</v>
      </c>
      <c r="H1459" s="4">
        <v>43947.161909722222</v>
      </c>
      <c r="I1459" t="s">
        <v>313</v>
      </c>
      <c r="J1459" s="5">
        <v>13</v>
      </c>
      <c r="K1459" t="s">
        <v>38</v>
      </c>
      <c r="M1459">
        <v>60227</v>
      </c>
      <c r="N1459" t="s">
        <v>432</v>
      </c>
      <c r="O1459" t="s">
        <v>433</v>
      </c>
      <c r="P1459" t="s">
        <v>38</v>
      </c>
      <c r="Q1459" t="s">
        <v>50</v>
      </c>
      <c r="R1459">
        <v>0</v>
      </c>
      <c r="S1459" t="s">
        <v>45</v>
      </c>
      <c r="T1459" t="str" s="2">
        <f>=HYPERLINK("http://demo.enginatics.com:80/ecc/user/applications/log/60225.log","http://demo.enginatics.com:80/ecc/user/applications/log/60225.log")</f>
        <v>"http://demo.enginatics.com:80/ecc/user/applications/log/60225.log")</v>
      </c>
      <c r="U1459">
        <v>60228</v>
      </c>
      <c r="V1459" t="s">
        <v>38</v>
      </c>
      <c r="W1459" t="s">
        <v>50</v>
      </c>
      <c r="X1459">
        <v>0</v>
      </c>
      <c r="Y1459">
        <v>0</v>
      </c>
      <c r="Z1459" t="s">
        <v>46</v>
      </c>
      <c r="AA1459">
        <v>60229</v>
      </c>
      <c r="AB1459" t="s">
        <v>434</v>
      </c>
      <c r="AC1459" t="s">
        <v>68</v>
      </c>
      <c r="AD1459" t="s">
        <v>38</v>
      </c>
      <c r="AE1459" t="s">
        <v>49</v>
      </c>
      <c r="AF1459" t="s">
        <v>50</v>
      </c>
      <c r="AG1459">
        <v>0</v>
      </c>
      <c r="AH1459">
        <v>0</v>
      </c>
      <c r="AI1459" t="s">
        <v>51</v>
      </c>
      <c r="AJ1459" t="s">
        <v>51</v>
      </c>
      <c r="AK1459" t="s">
        <v>51</v>
      </c>
    </row>
    <row r="1460" spans="1:37" x14ac:dyDescent="0.2">
      <c r="A1460">
        <v>60218</v>
      </c>
      <c r="B1460" t="s">
        <v>37</v>
      </c>
      <c r="C1460" t="s">
        <v>38</v>
      </c>
      <c r="D1460" t="s">
        <v>295</v>
      </c>
      <c r="E1460" t="s">
        <v>426</v>
      </c>
      <c r="G1460" s="4">
        <v>43947.161736111111</v>
      </c>
      <c r="H1460" s="4">
        <v>43947.161747685185</v>
      </c>
      <c r="I1460" t="s">
        <v>50</v>
      </c>
      <c r="J1460" s="5">
        <v>.9999999999999999999999999999999999999996</v>
      </c>
      <c r="K1460" t="s">
        <v>38</v>
      </c>
      <c r="M1460">
        <v>60219</v>
      </c>
      <c r="N1460" t="s">
        <v>426</v>
      </c>
      <c r="O1460" t="s">
        <v>427</v>
      </c>
      <c r="P1460" t="s">
        <v>38</v>
      </c>
      <c r="Q1460" t="s">
        <v>50</v>
      </c>
      <c r="R1460">
        <v>.9999999999999999999999999999999999999996</v>
      </c>
      <c r="S1460" t="s">
        <v>45</v>
      </c>
      <c r="T1460" t="str" s="2">
        <f>=HYPERLINK("http://demo.enginatics.com:80/ecc/user/applications/log/60218.log","http://demo.enginatics.com:80/ecc/user/applications/log/60218.log")</f>
        <v>"http://demo.enginatics.com:80/ecc/user/applications/log/60218.log")</v>
      </c>
      <c r="U1460">
        <v>60221</v>
      </c>
      <c r="V1460" t="s">
        <v>38</v>
      </c>
      <c r="W1460" t="s">
        <v>50</v>
      </c>
      <c r="X1460">
        <v>.9999999999999999999999999999999999999996</v>
      </c>
      <c r="Y1460">
        <v>0</v>
      </c>
      <c r="Z1460" t="s">
        <v>46</v>
      </c>
      <c r="AA1460">
        <v>60223</v>
      </c>
      <c r="AB1460" t="s">
        <v>428</v>
      </c>
      <c r="AC1460" t="s">
        <v>68</v>
      </c>
      <c r="AD1460" t="s">
        <v>38</v>
      </c>
      <c r="AE1460" t="s">
        <v>49</v>
      </c>
      <c r="AF1460" t="s">
        <v>50</v>
      </c>
      <c r="AG1460">
        <v>.9999999999999999999999999999999999999996</v>
      </c>
      <c r="AH1460">
        <v>0</v>
      </c>
      <c r="AI1460" t="s">
        <v>51</v>
      </c>
      <c r="AJ1460" t="s">
        <v>51</v>
      </c>
      <c r="AK1460" t="s">
        <v>51</v>
      </c>
    </row>
    <row r="1461" spans="1:37" x14ac:dyDescent="0.2">
      <c r="A1461">
        <v>60217</v>
      </c>
      <c r="B1461" t="s">
        <v>37</v>
      </c>
      <c r="C1461" t="s">
        <v>38</v>
      </c>
      <c r="D1461" t="s">
        <v>295</v>
      </c>
      <c r="E1461" t="s">
        <v>429</v>
      </c>
      <c r="G1461" s="4">
        <v>43947.161736111111</v>
      </c>
      <c r="H1461" s="4">
        <v>43947.161747685185</v>
      </c>
      <c r="I1461" t="s">
        <v>50</v>
      </c>
      <c r="J1461" s="5">
        <v>.9999999999999999999999999999999999999996</v>
      </c>
      <c r="K1461" t="s">
        <v>38</v>
      </c>
      <c r="M1461">
        <v>60220</v>
      </c>
      <c r="N1461" t="s">
        <v>429</v>
      </c>
      <c r="O1461" t="s">
        <v>430</v>
      </c>
      <c r="P1461" t="s">
        <v>38</v>
      </c>
      <c r="Q1461" t="s">
        <v>50</v>
      </c>
      <c r="R1461">
        <v>.9999999999999999999999999999999999999996</v>
      </c>
      <c r="S1461" t="s">
        <v>45</v>
      </c>
      <c r="T1461" t="str" s="2">
        <f>=HYPERLINK("http://demo.enginatics.com:80/ecc/user/applications/log/60217.log","http://demo.enginatics.com:80/ecc/user/applications/log/60217.log")</f>
        <v>"http://demo.enginatics.com:80/ecc/user/applications/log/60217.log")</v>
      </c>
      <c r="U1461">
        <v>60222</v>
      </c>
      <c r="V1461" t="s">
        <v>38</v>
      </c>
      <c r="W1461" t="s">
        <v>50</v>
      </c>
      <c r="X1461">
        <v>.9999999999999999999999999999999999999996</v>
      </c>
      <c r="Y1461">
        <v>0</v>
      </c>
      <c r="Z1461" t="s">
        <v>46</v>
      </c>
      <c r="AA1461">
        <v>60224</v>
      </c>
      <c r="AB1461" t="s">
        <v>431</v>
      </c>
      <c r="AC1461" t="s">
        <v>68</v>
      </c>
      <c r="AD1461" t="s">
        <v>38</v>
      </c>
      <c r="AE1461" t="s">
        <v>49</v>
      </c>
      <c r="AF1461" t="s">
        <v>50</v>
      </c>
      <c r="AG1461">
        <v>.9999999999999999999999999999999999999996</v>
      </c>
      <c r="AH1461">
        <v>1</v>
      </c>
      <c r="AI1461" t="s">
        <v>51</v>
      </c>
      <c r="AJ1461" t="s">
        <v>51</v>
      </c>
      <c r="AK1461" t="s">
        <v>51</v>
      </c>
    </row>
    <row r="1462" spans="1:37" x14ac:dyDescent="0.2">
      <c r="A1462">
        <v>60213</v>
      </c>
      <c r="B1462" t="s">
        <v>37</v>
      </c>
      <c r="C1462" t="s">
        <v>38</v>
      </c>
      <c r="D1462" t="s">
        <v>295</v>
      </c>
      <c r="E1462" t="s">
        <v>432</v>
      </c>
      <c r="G1462" s="4">
        <v>43947.161273148148</v>
      </c>
      <c r="H1462" s="4">
        <v>43947.161354166667</v>
      </c>
      <c r="I1462" t="s">
        <v>247</v>
      </c>
      <c r="J1462" s="5">
        <v>7</v>
      </c>
      <c r="K1462" t="s">
        <v>38</v>
      </c>
      <c r="M1462">
        <v>60214</v>
      </c>
      <c r="N1462" t="s">
        <v>432</v>
      </c>
      <c r="O1462" t="s">
        <v>433</v>
      </c>
      <c r="P1462" t="s">
        <v>38</v>
      </c>
      <c r="Q1462" t="s">
        <v>247</v>
      </c>
      <c r="R1462">
        <v>7</v>
      </c>
      <c r="S1462" t="s">
        <v>45</v>
      </c>
      <c r="T1462" t="str" s="2">
        <f>=HYPERLINK("http://demo.enginatics.com:80/ecc/user/applications/log/60213.log","http://demo.enginatics.com:80/ecc/user/applications/log/60213.log")</f>
        <v>"http://demo.enginatics.com:80/ecc/user/applications/log/60213.log")</v>
      </c>
      <c r="U1462">
        <v>60215</v>
      </c>
      <c r="V1462" t="s">
        <v>38</v>
      </c>
      <c r="W1462" t="s">
        <v>88</v>
      </c>
      <c r="X1462">
        <v>2</v>
      </c>
      <c r="Y1462">
        <v>0</v>
      </c>
      <c r="Z1462" t="s">
        <v>46</v>
      </c>
      <c r="AA1462">
        <v>60216</v>
      </c>
      <c r="AB1462" t="s">
        <v>434</v>
      </c>
      <c r="AC1462" t="s">
        <v>68</v>
      </c>
      <c r="AD1462" t="s">
        <v>38</v>
      </c>
      <c r="AE1462" t="s">
        <v>49</v>
      </c>
      <c r="AF1462" t="s">
        <v>88</v>
      </c>
      <c r="AG1462">
        <v>2</v>
      </c>
      <c r="AH1462">
        <v>1</v>
      </c>
      <c r="AI1462" t="s">
        <v>51</v>
      </c>
      <c r="AJ1462" t="s">
        <v>51</v>
      </c>
      <c r="AK1462" t="s">
        <v>51</v>
      </c>
    </row>
    <row r="1463" spans="1:37" x14ac:dyDescent="0.2">
      <c r="A1463">
        <v>60211</v>
      </c>
      <c r="B1463" t="s">
        <v>37</v>
      </c>
      <c r="C1463" t="s">
        <v>38</v>
      </c>
      <c r="D1463" t="s">
        <v>83</v>
      </c>
      <c r="E1463" t="s">
        <v>435</v>
      </c>
      <c r="G1463" s="4">
        <v>43947.160520833333</v>
      </c>
      <c r="H1463" s="4">
        <v>43947.160520833333</v>
      </c>
      <c r="I1463" t="s">
        <v>50</v>
      </c>
      <c r="J1463" s="5">
        <v>0</v>
      </c>
      <c r="K1463" t="s">
        <v>38</v>
      </c>
      <c r="M1463">
        <v>60212</v>
      </c>
      <c r="N1463" t="s">
        <v>435</v>
      </c>
      <c r="O1463" t="s">
        <v>436</v>
      </c>
      <c r="P1463" t="s">
        <v>38</v>
      </c>
      <c r="Q1463" t="s">
        <v>50</v>
      </c>
      <c r="R1463">
        <v>0</v>
      </c>
      <c r="S1463" t="s">
        <v>437</v>
      </c>
      <c r="T1463" t="str" s="2">
        <f>=HYPERLINK("http://demo.enginatics.com:80/ecc/user/applications/log/60211.log","http://demo.enginatics.com:80/ecc/user/applications/log/60211.log")</f>
        <v>"http://demo.enginatics.com:80/ecc/user/applications/log/60211.log")</v>
      </c>
    </row>
    <row r="1464" spans="1:37" x14ac:dyDescent="0.2">
      <c r="A1464">
        <v>60204</v>
      </c>
      <c r="B1464" t="s">
        <v>37</v>
      </c>
      <c r="C1464" t="s">
        <v>38</v>
      </c>
      <c r="D1464" t="s">
        <v>438</v>
      </c>
      <c r="E1464" t="s">
        <v>40</v>
      </c>
      <c r="G1464" s="4">
        <v>43947.158842592593</v>
      </c>
      <c r="H1464" s="4">
        <v>43947.158842592593</v>
      </c>
      <c r="I1464" t="s">
        <v>50</v>
      </c>
      <c r="J1464" s="5">
        <v>0</v>
      </c>
      <c r="K1464" t="s">
        <v>38</v>
      </c>
      <c r="M1464">
        <v>60210</v>
      </c>
      <c r="N1464" t="s">
        <v>439</v>
      </c>
      <c r="O1464" t="s">
        <v>440</v>
      </c>
      <c r="P1464" t="s">
        <v>38</v>
      </c>
      <c r="Q1464" t="s">
        <v>50</v>
      </c>
      <c r="R1464">
        <v>0</v>
      </c>
      <c r="S1464" t="s">
        <v>441</v>
      </c>
      <c r="T1464" t="str" s="2">
        <f>=HYPERLINK("http://demo.enginatics.com:80/ecc/user/applications/log/60204.log","http://demo.enginatics.com:80/ecc/user/applications/log/60204.log")</f>
        <v>"http://demo.enginatics.com:80/ecc/user/applications/log/60204.log")</v>
      </c>
    </row>
    <row r="1465" spans="1:37" x14ac:dyDescent="0.2">
      <c r="A1465">
        <v>60204</v>
      </c>
      <c r="B1465" t="s">
        <v>37</v>
      </c>
      <c r="C1465" t="s">
        <v>38</v>
      </c>
      <c r="D1465" t="s">
        <v>438</v>
      </c>
      <c r="E1465" t="s">
        <v>40</v>
      </c>
      <c r="G1465" s="4">
        <v>43947.158842592593</v>
      </c>
      <c r="H1465" s="4">
        <v>43947.158842592593</v>
      </c>
      <c r="I1465" t="s">
        <v>50</v>
      </c>
      <c r="J1465" s="5">
        <v>0</v>
      </c>
      <c r="K1465" t="s">
        <v>38</v>
      </c>
      <c r="M1465">
        <v>60209</v>
      </c>
      <c r="N1465" t="s">
        <v>442</v>
      </c>
      <c r="O1465" t="s">
        <v>443</v>
      </c>
      <c r="P1465" t="s">
        <v>38</v>
      </c>
      <c r="Q1465" t="s">
        <v>50</v>
      </c>
      <c r="R1465">
        <v>0</v>
      </c>
      <c r="S1465" t="s">
        <v>444</v>
      </c>
      <c r="T1465" t="str" s="2">
        <f>=HYPERLINK("http://demo.enginatics.com:80/ecc/user/applications/log/60204.log","http://demo.enginatics.com:80/ecc/user/applications/log/60204.log")</f>
        <v>"http://demo.enginatics.com:80/ecc/user/applications/log/60204.log")</v>
      </c>
    </row>
    <row r="1466" spans="1:37" x14ac:dyDescent="0.2">
      <c r="A1466">
        <v>60204</v>
      </c>
      <c r="B1466" t="s">
        <v>37</v>
      </c>
      <c r="C1466" t="s">
        <v>38</v>
      </c>
      <c r="D1466" t="s">
        <v>438</v>
      </c>
      <c r="E1466" t="s">
        <v>40</v>
      </c>
      <c r="G1466" s="4">
        <v>43947.158842592593</v>
      </c>
      <c r="H1466" s="4">
        <v>43947.158842592593</v>
      </c>
      <c r="I1466" t="s">
        <v>50</v>
      </c>
      <c r="J1466" s="5">
        <v>0</v>
      </c>
      <c r="K1466" t="s">
        <v>38</v>
      </c>
      <c r="M1466">
        <v>60208</v>
      </c>
      <c r="N1466" t="s">
        <v>445</v>
      </c>
      <c r="O1466" t="s">
        <v>446</v>
      </c>
      <c r="P1466" t="s">
        <v>38</v>
      </c>
      <c r="Q1466" t="s">
        <v>50</v>
      </c>
      <c r="R1466">
        <v>0</v>
      </c>
      <c r="S1466" t="s">
        <v>447</v>
      </c>
      <c r="T1466" t="str" s="2">
        <f>=HYPERLINK("http://demo.enginatics.com:80/ecc/user/applications/log/60204.log","http://demo.enginatics.com:80/ecc/user/applications/log/60204.log")</f>
        <v>"http://demo.enginatics.com:80/ecc/user/applications/log/60204.log")</v>
      </c>
    </row>
    <row r="1467" spans="1:37" x14ac:dyDescent="0.2">
      <c r="A1467">
        <v>60204</v>
      </c>
      <c r="B1467" t="s">
        <v>37</v>
      </c>
      <c r="C1467" t="s">
        <v>38</v>
      </c>
      <c r="D1467" t="s">
        <v>438</v>
      </c>
      <c r="E1467" t="s">
        <v>40</v>
      </c>
      <c r="G1467" s="4">
        <v>43947.158842592593</v>
      </c>
      <c r="H1467" s="4">
        <v>43947.158842592593</v>
      </c>
      <c r="I1467" t="s">
        <v>50</v>
      </c>
      <c r="J1467" s="5">
        <v>0</v>
      </c>
      <c r="K1467" t="s">
        <v>38</v>
      </c>
      <c r="M1467">
        <v>60207</v>
      </c>
      <c r="N1467" t="s">
        <v>448</v>
      </c>
      <c r="O1467" t="s">
        <v>449</v>
      </c>
      <c r="P1467" t="s">
        <v>38</v>
      </c>
      <c r="Q1467" t="s">
        <v>50</v>
      </c>
      <c r="R1467">
        <v>0</v>
      </c>
      <c r="S1467" t="s">
        <v>450</v>
      </c>
      <c r="T1467" t="str" s="2">
        <f>=HYPERLINK("http://demo.enginatics.com:80/ecc/user/applications/log/60204.log","http://demo.enginatics.com:80/ecc/user/applications/log/60204.log")</f>
        <v>"http://demo.enginatics.com:80/ecc/user/applications/log/60204.log")</v>
      </c>
    </row>
    <row r="1468" spans="1:37" x14ac:dyDescent="0.2">
      <c r="A1468">
        <v>60204</v>
      </c>
      <c r="B1468" t="s">
        <v>37</v>
      </c>
      <c r="C1468" t="s">
        <v>38</v>
      </c>
      <c r="D1468" t="s">
        <v>438</v>
      </c>
      <c r="E1468" t="s">
        <v>40</v>
      </c>
      <c r="G1468" s="4">
        <v>43947.158842592593</v>
      </c>
      <c r="H1468" s="4">
        <v>43947.158842592593</v>
      </c>
      <c r="I1468" t="s">
        <v>50</v>
      </c>
      <c r="J1468" s="5">
        <v>0</v>
      </c>
      <c r="K1468" t="s">
        <v>38</v>
      </c>
      <c r="M1468">
        <v>60206</v>
      </c>
      <c r="N1468" t="s">
        <v>451</v>
      </c>
      <c r="O1468" t="s">
        <v>452</v>
      </c>
      <c r="P1468" t="s">
        <v>38</v>
      </c>
      <c r="Q1468" t="s">
        <v>50</v>
      </c>
      <c r="R1468">
        <v>0</v>
      </c>
      <c r="S1468" t="s">
        <v>453</v>
      </c>
      <c r="T1468" t="str" s="2">
        <f>=HYPERLINK("http://demo.enginatics.com:80/ecc/user/applications/log/60204.log","http://demo.enginatics.com:80/ecc/user/applications/log/60204.log")</f>
        <v>"http://demo.enginatics.com:80/ecc/user/applications/log/60204.log")</v>
      </c>
    </row>
    <row r="1469" spans="1:37" x14ac:dyDescent="0.2">
      <c r="A1469">
        <v>60204</v>
      </c>
      <c r="B1469" t="s">
        <v>37</v>
      </c>
      <c r="C1469" t="s">
        <v>38</v>
      </c>
      <c r="D1469" t="s">
        <v>438</v>
      </c>
      <c r="E1469" t="s">
        <v>40</v>
      </c>
      <c r="G1469" s="4">
        <v>43947.158842592593</v>
      </c>
      <c r="H1469" s="4">
        <v>43947.158842592593</v>
      </c>
      <c r="I1469" t="s">
        <v>50</v>
      </c>
      <c r="J1469" s="5">
        <v>0</v>
      </c>
      <c r="K1469" t="s">
        <v>38</v>
      </c>
      <c r="M1469">
        <v>60205</v>
      </c>
      <c r="N1469" t="s">
        <v>454</v>
      </c>
      <c r="O1469" t="s">
        <v>455</v>
      </c>
      <c r="P1469" t="s">
        <v>38</v>
      </c>
      <c r="Q1469" t="s">
        <v>50</v>
      </c>
      <c r="R1469">
        <v>0</v>
      </c>
      <c r="S1469" t="s">
        <v>456</v>
      </c>
      <c r="T1469" t="str" s="2">
        <f>=HYPERLINK("http://demo.enginatics.com:80/ecc/user/applications/log/60204.log","http://demo.enginatics.com:80/ecc/user/applications/log/60204.log")</f>
        <v>"http://demo.enginatics.com:80/ecc/user/applications/log/60204.log")</v>
      </c>
    </row>
    <row r="1470" spans="1:37" x14ac:dyDescent="0.2">
      <c r="A1470">
        <v>60200</v>
      </c>
      <c r="B1470" t="s">
        <v>37</v>
      </c>
      <c r="C1470" t="s">
        <v>38</v>
      </c>
      <c r="D1470" t="s">
        <v>83</v>
      </c>
      <c r="E1470" t="s">
        <v>457</v>
      </c>
      <c r="G1470" s="4">
        <v>43947.158773148148</v>
      </c>
      <c r="H1470" s="4">
        <v>43947.158784722222</v>
      </c>
      <c r="I1470" t="s">
        <v>50</v>
      </c>
      <c r="J1470" s="5">
        <v>.9999999999999999999999999999999999999996</v>
      </c>
      <c r="K1470" t="s">
        <v>38</v>
      </c>
      <c r="M1470">
        <v>60201</v>
      </c>
      <c r="N1470" t="s">
        <v>457</v>
      </c>
      <c r="O1470" t="s">
        <v>458</v>
      </c>
      <c r="P1470" t="s">
        <v>38</v>
      </c>
      <c r="Q1470" t="s">
        <v>50</v>
      </c>
      <c r="R1470">
        <v>.9999999999999999999999999999999999999996</v>
      </c>
      <c r="S1470" t="s">
        <v>45</v>
      </c>
      <c r="T1470" t="str" s="2">
        <f>=HYPERLINK("http://demo.enginatics.com:80/ecc/user/applications/log/60200.log","http://demo.enginatics.com:80/ecc/user/applications/log/60200.log")</f>
        <v>"http://demo.enginatics.com:80/ecc/user/applications/log/60200.log")</v>
      </c>
      <c r="U1470">
        <v>60202</v>
      </c>
      <c r="V1470" t="s">
        <v>38</v>
      </c>
      <c r="W1470" t="s">
        <v>50</v>
      </c>
      <c r="X1470">
        <v>.9999999999999999999999999999999999999996</v>
      </c>
      <c r="Y1470">
        <v>0</v>
      </c>
      <c r="Z1470" t="s">
        <v>46</v>
      </c>
      <c r="AA1470">
        <v>60203</v>
      </c>
      <c r="AB1470" t="s">
        <v>1454</v>
      </c>
      <c r="AC1470" t="s">
        <v>68</v>
      </c>
      <c r="AD1470" t="s">
        <v>38</v>
      </c>
      <c r="AE1470" t="s">
        <v>49</v>
      </c>
      <c r="AF1470" t="s">
        <v>50</v>
      </c>
      <c r="AG1470">
        <v>.9999999999999999999999999999999999999996</v>
      </c>
      <c r="AH1470">
        <v>0</v>
      </c>
      <c r="AI1470" t="s">
        <v>51</v>
      </c>
      <c r="AJ1470" t="s">
        <v>51</v>
      </c>
      <c r="AK1470" t="s">
        <v>51</v>
      </c>
    </row>
    <row r="1471" spans="1:37" x14ac:dyDescent="0.2">
      <c r="A1471">
        <v>60196</v>
      </c>
      <c r="B1471" t="s">
        <v>37</v>
      </c>
      <c r="C1471" t="s">
        <v>38</v>
      </c>
      <c r="D1471" t="s">
        <v>460</v>
      </c>
      <c r="E1471" t="s">
        <v>40</v>
      </c>
      <c r="G1471" s="4">
        <v>43947.109305555556</v>
      </c>
      <c r="H1471" s="4">
        <v>43947.109328703704</v>
      </c>
      <c r="I1471" t="s">
        <v>88</v>
      </c>
      <c r="J1471" s="5">
        <v>2</v>
      </c>
      <c r="K1471" t="s">
        <v>38</v>
      </c>
      <c r="M1471">
        <v>60197</v>
      </c>
      <c r="N1471" t="s">
        <v>461</v>
      </c>
      <c r="O1471" t="s">
        <v>462</v>
      </c>
      <c r="P1471" t="s">
        <v>38</v>
      </c>
      <c r="Q1471" t="s">
        <v>88</v>
      </c>
      <c r="R1471">
        <v>2</v>
      </c>
      <c r="S1471" t="s">
        <v>45</v>
      </c>
      <c r="T1471" t="str" s="2">
        <f>=HYPERLINK("http://demo.enginatics.com:80/ecc/user/applications/log/60196.log","http://demo.enginatics.com:80/ecc/user/applications/log/60196.log")</f>
        <v>"http://demo.enginatics.com:80/ecc/user/applications/log/60196.log")</v>
      </c>
      <c r="U1471">
        <v>60198</v>
      </c>
      <c r="V1471" t="s">
        <v>38</v>
      </c>
      <c r="W1471" t="s">
        <v>88</v>
      </c>
      <c r="X1471">
        <v>2</v>
      </c>
      <c r="Y1471">
        <v>0</v>
      </c>
      <c r="Z1471" t="s">
        <v>46</v>
      </c>
      <c r="AA1471">
        <v>60199</v>
      </c>
      <c r="AB1471" t="s">
        <v>1455</v>
      </c>
      <c r="AC1471" t="s">
        <v>68</v>
      </c>
      <c r="AD1471" t="s">
        <v>38</v>
      </c>
      <c r="AE1471" t="s">
        <v>49</v>
      </c>
      <c r="AF1471" t="s">
        <v>88</v>
      </c>
      <c r="AG1471">
        <v>2</v>
      </c>
      <c r="AH1471">
        <v>1</v>
      </c>
      <c r="AI1471" t="s">
        <v>51</v>
      </c>
      <c r="AJ1471" t="s">
        <v>51</v>
      </c>
      <c r="AK1471" t="s">
        <v>51</v>
      </c>
    </row>
    <row r="1472" spans="1:37" x14ac:dyDescent="0.2">
      <c r="A1472">
        <v>60171</v>
      </c>
      <c r="B1472" t="s">
        <v>37</v>
      </c>
      <c r="C1472" t="s">
        <v>38</v>
      </c>
      <c r="D1472" t="s">
        <v>464</v>
      </c>
      <c r="E1472" t="s">
        <v>40</v>
      </c>
      <c r="G1472" s="4">
        <v>43947.084525462963</v>
      </c>
      <c r="H1472" s="4">
        <v>43947.084756944444</v>
      </c>
      <c r="I1472" t="s">
        <v>693</v>
      </c>
      <c r="J1472" s="5">
        <v>19.99999999999999999999999999999999999996</v>
      </c>
      <c r="K1472" t="s">
        <v>38</v>
      </c>
      <c r="M1472">
        <v>60193</v>
      </c>
      <c r="N1472" t="s">
        <v>465</v>
      </c>
      <c r="O1472" t="s">
        <v>466</v>
      </c>
      <c r="P1472" t="s">
        <v>38</v>
      </c>
      <c r="Q1472" t="s">
        <v>315</v>
      </c>
      <c r="R1472">
        <v>14</v>
      </c>
      <c r="S1472" t="s">
        <v>45</v>
      </c>
      <c r="T1472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2">
        <v>60194</v>
      </c>
      <c r="V1472" t="s">
        <v>38</v>
      </c>
      <c r="W1472" t="s">
        <v>315</v>
      </c>
      <c r="X1472">
        <v>14</v>
      </c>
      <c r="Y1472">
        <v>0</v>
      </c>
      <c r="Z1472" t="s">
        <v>46</v>
      </c>
      <c r="AA1472">
        <v>60195</v>
      </c>
      <c r="AB1472" t="s">
        <v>467</v>
      </c>
      <c r="AC1472" t="s">
        <v>68</v>
      </c>
      <c r="AD1472" t="s">
        <v>38</v>
      </c>
      <c r="AE1472" t="s">
        <v>468</v>
      </c>
      <c r="AF1472" t="s">
        <v>78</v>
      </c>
      <c r="AG1472">
        <v>5</v>
      </c>
      <c r="AH1472">
        <v>0</v>
      </c>
      <c r="AI1472" t="s">
        <v>469</v>
      </c>
      <c r="AJ1472" t="s">
        <v>51</v>
      </c>
      <c r="AK1472" t="s">
        <v>469</v>
      </c>
    </row>
    <row r="1473" spans="1:37" x14ac:dyDescent="0.2">
      <c r="A1473">
        <v>60171</v>
      </c>
      <c r="B1473" t="s">
        <v>37</v>
      </c>
      <c r="C1473" t="s">
        <v>38</v>
      </c>
      <c r="D1473" t="s">
        <v>464</v>
      </c>
      <c r="E1473" t="s">
        <v>40</v>
      </c>
      <c r="G1473" s="4">
        <v>43947.084525462963</v>
      </c>
      <c r="H1473" s="4">
        <v>43947.084756944444</v>
      </c>
      <c r="I1473" t="s">
        <v>693</v>
      </c>
      <c r="J1473" s="5">
        <v>19.99999999999999999999999999999999999996</v>
      </c>
      <c r="K1473" t="s">
        <v>38</v>
      </c>
      <c r="M1473">
        <v>60190</v>
      </c>
      <c r="N1473" t="s">
        <v>470</v>
      </c>
      <c r="O1473" t="s">
        <v>471</v>
      </c>
      <c r="P1473" t="s">
        <v>38</v>
      </c>
      <c r="Q1473" t="s">
        <v>50</v>
      </c>
      <c r="R1473">
        <v>0</v>
      </c>
      <c r="S1473" t="s">
        <v>45</v>
      </c>
      <c r="T1473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3">
        <v>60191</v>
      </c>
      <c r="V1473" t="s">
        <v>38</v>
      </c>
      <c r="W1473" t="s">
        <v>50</v>
      </c>
      <c r="X1473">
        <v>0</v>
      </c>
      <c r="Y1473">
        <v>0</v>
      </c>
      <c r="Z1473" t="s">
        <v>46</v>
      </c>
      <c r="AA1473">
        <v>60192</v>
      </c>
      <c r="AB1473" t="s">
        <v>472</v>
      </c>
      <c r="AC1473" t="s">
        <v>68</v>
      </c>
      <c r="AD1473" t="s">
        <v>38</v>
      </c>
      <c r="AE1473" t="s">
        <v>49</v>
      </c>
      <c r="AF1473" t="s">
        <v>50</v>
      </c>
      <c r="AG1473">
        <v>0</v>
      </c>
      <c r="AH1473">
        <v>0</v>
      </c>
      <c r="AI1473" t="s">
        <v>51</v>
      </c>
      <c r="AJ1473" t="s">
        <v>51</v>
      </c>
      <c r="AK1473" t="s">
        <v>51</v>
      </c>
    </row>
    <row r="1474" spans="1:37" x14ac:dyDescent="0.2">
      <c r="A1474">
        <v>60171</v>
      </c>
      <c r="B1474" t="s">
        <v>37</v>
      </c>
      <c r="C1474" t="s">
        <v>38</v>
      </c>
      <c r="D1474" t="s">
        <v>464</v>
      </c>
      <c r="E1474" t="s">
        <v>40</v>
      </c>
      <c r="G1474" s="4">
        <v>43947.084525462963</v>
      </c>
      <c r="H1474" s="4">
        <v>43947.084756944444</v>
      </c>
      <c r="I1474" t="s">
        <v>693</v>
      </c>
      <c r="J1474" s="5">
        <v>19.99999999999999999999999999999999999996</v>
      </c>
      <c r="K1474" t="s">
        <v>38</v>
      </c>
      <c r="M1474">
        <v>60187</v>
      </c>
      <c r="N1474" t="s">
        <v>473</v>
      </c>
      <c r="O1474" t="s">
        <v>474</v>
      </c>
      <c r="P1474" t="s">
        <v>38</v>
      </c>
      <c r="Q1474" t="s">
        <v>44</v>
      </c>
      <c r="R1474">
        <v>4</v>
      </c>
      <c r="S1474" t="s">
        <v>45</v>
      </c>
      <c r="T1474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4">
        <v>60188</v>
      </c>
      <c r="V1474" t="s">
        <v>38</v>
      </c>
      <c r="W1474" t="s">
        <v>85</v>
      </c>
      <c r="X1474">
        <v>3</v>
      </c>
      <c r="Y1474">
        <v>0</v>
      </c>
      <c r="Z1474" t="s">
        <v>46</v>
      </c>
      <c r="AA1474">
        <v>60189</v>
      </c>
      <c r="AB1474" t="s">
        <v>475</v>
      </c>
      <c r="AC1474" t="s">
        <v>68</v>
      </c>
      <c r="AD1474" t="s">
        <v>38</v>
      </c>
      <c r="AE1474" t="s">
        <v>476</v>
      </c>
      <c r="AF1474" t="s">
        <v>88</v>
      </c>
      <c r="AG1474">
        <v>2</v>
      </c>
      <c r="AH1474">
        <v>0</v>
      </c>
      <c r="AI1474" t="s">
        <v>477</v>
      </c>
      <c r="AJ1474" t="s">
        <v>51</v>
      </c>
      <c r="AK1474" t="s">
        <v>477</v>
      </c>
    </row>
    <row r="1475" spans="1:37" x14ac:dyDescent="0.2">
      <c r="A1475">
        <v>60171</v>
      </c>
      <c r="B1475" t="s">
        <v>37</v>
      </c>
      <c r="C1475" t="s">
        <v>38</v>
      </c>
      <c r="D1475" t="s">
        <v>464</v>
      </c>
      <c r="E1475" t="s">
        <v>40</v>
      </c>
      <c r="G1475" s="4">
        <v>43947.084525462963</v>
      </c>
      <c r="H1475" s="4">
        <v>43947.084756944444</v>
      </c>
      <c r="I1475" t="s">
        <v>693</v>
      </c>
      <c r="J1475" s="5">
        <v>19.99999999999999999999999999999999999996</v>
      </c>
      <c r="K1475" t="s">
        <v>38</v>
      </c>
      <c r="M1475">
        <v>60184</v>
      </c>
      <c r="N1475" t="s">
        <v>478</v>
      </c>
      <c r="O1475" t="s">
        <v>479</v>
      </c>
      <c r="P1475" t="s">
        <v>38</v>
      </c>
      <c r="Q1475" t="s">
        <v>50</v>
      </c>
      <c r="R1475">
        <v>.9999999999999999999999999999999999999996</v>
      </c>
      <c r="S1475" t="s">
        <v>45</v>
      </c>
      <c r="T1475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5">
        <v>60185</v>
      </c>
      <c r="V1475" t="s">
        <v>38</v>
      </c>
      <c r="W1475" t="s">
        <v>50</v>
      </c>
      <c r="X1475">
        <v>0</v>
      </c>
      <c r="Y1475">
        <v>0</v>
      </c>
      <c r="Z1475" t="s">
        <v>46</v>
      </c>
      <c r="AA1475">
        <v>60186</v>
      </c>
      <c r="AB1475" t="s">
        <v>480</v>
      </c>
      <c r="AC1475" t="s">
        <v>68</v>
      </c>
      <c r="AD1475" t="s">
        <v>38</v>
      </c>
      <c r="AE1475" t="s">
        <v>49</v>
      </c>
      <c r="AF1475" t="s">
        <v>50</v>
      </c>
      <c r="AG1475">
        <v>0</v>
      </c>
      <c r="AH1475">
        <v>0</v>
      </c>
      <c r="AI1475" t="s">
        <v>51</v>
      </c>
      <c r="AJ1475" t="s">
        <v>51</v>
      </c>
      <c r="AK1475" t="s">
        <v>51</v>
      </c>
    </row>
    <row r="1476" spans="1:37" x14ac:dyDescent="0.2">
      <c r="A1476">
        <v>60171</v>
      </c>
      <c r="B1476" t="s">
        <v>37</v>
      </c>
      <c r="C1476" t="s">
        <v>38</v>
      </c>
      <c r="D1476" t="s">
        <v>464</v>
      </c>
      <c r="E1476" t="s">
        <v>40</v>
      </c>
      <c r="G1476" s="4">
        <v>43947.084525462963</v>
      </c>
      <c r="H1476" s="4">
        <v>43947.084756944444</v>
      </c>
      <c r="I1476" t="s">
        <v>693</v>
      </c>
      <c r="J1476" s="5">
        <v>19.99999999999999999999999999999999999996</v>
      </c>
      <c r="K1476" t="s">
        <v>38</v>
      </c>
      <c r="M1476">
        <v>60181</v>
      </c>
      <c r="N1476" t="s">
        <v>481</v>
      </c>
      <c r="O1476" t="s">
        <v>482</v>
      </c>
      <c r="P1476" t="s">
        <v>38</v>
      </c>
      <c r="Q1476" t="s">
        <v>50</v>
      </c>
      <c r="R1476">
        <v>0</v>
      </c>
      <c r="S1476" t="s">
        <v>45</v>
      </c>
      <c r="T1476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6">
        <v>60182</v>
      </c>
      <c r="V1476" t="s">
        <v>38</v>
      </c>
      <c r="W1476" t="s">
        <v>50</v>
      </c>
      <c r="X1476">
        <v>0</v>
      </c>
      <c r="Y1476">
        <v>0</v>
      </c>
      <c r="Z1476" t="s">
        <v>46</v>
      </c>
      <c r="AA1476">
        <v>60183</v>
      </c>
      <c r="AB1476" t="s">
        <v>483</v>
      </c>
      <c r="AC1476" t="s">
        <v>68</v>
      </c>
      <c r="AD1476" t="s">
        <v>38</v>
      </c>
      <c r="AE1476" t="s">
        <v>49</v>
      </c>
      <c r="AF1476" t="s">
        <v>50</v>
      </c>
      <c r="AG1476">
        <v>0</v>
      </c>
      <c r="AH1476">
        <v>0</v>
      </c>
      <c r="AI1476" t="s">
        <v>51</v>
      </c>
      <c r="AJ1476" t="s">
        <v>51</v>
      </c>
      <c r="AK1476" t="s">
        <v>51</v>
      </c>
    </row>
    <row r="1477" spans="1:37" x14ac:dyDescent="0.2">
      <c r="A1477">
        <v>60171</v>
      </c>
      <c r="B1477" t="s">
        <v>37</v>
      </c>
      <c r="C1477" t="s">
        <v>38</v>
      </c>
      <c r="D1477" t="s">
        <v>464</v>
      </c>
      <c r="E1477" t="s">
        <v>40</v>
      </c>
      <c r="G1477" s="4">
        <v>43947.084525462963</v>
      </c>
      <c r="H1477" s="4">
        <v>43947.084756944444</v>
      </c>
      <c r="I1477" t="s">
        <v>693</v>
      </c>
      <c r="J1477" s="5">
        <v>19.99999999999999999999999999999999999996</v>
      </c>
      <c r="K1477" t="s">
        <v>38</v>
      </c>
      <c r="M1477">
        <v>60178</v>
      </c>
      <c r="N1477" t="s">
        <v>484</v>
      </c>
      <c r="O1477" t="s">
        <v>485</v>
      </c>
      <c r="P1477" t="s">
        <v>38</v>
      </c>
      <c r="Q1477" t="s">
        <v>50</v>
      </c>
      <c r="R1477">
        <v>0</v>
      </c>
      <c r="S1477" t="s">
        <v>45</v>
      </c>
      <c r="T1477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7">
        <v>60179</v>
      </c>
      <c r="V1477" t="s">
        <v>38</v>
      </c>
      <c r="W1477" t="s">
        <v>50</v>
      </c>
      <c r="X1477">
        <v>0</v>
      </c>
      <c r="Y1477">
        <v>0</v>
      </c>
      <c r="Z1477" t="s">
        <v>46</v>
      </c>
      <c r="AA1477">
        <v>60180</v>
      </c>
      <c r="AB1477" t="s">
        <v>1456</v>
      </c>
      <c r="AC1477" t="s">
        <v>68</v>
      </c>
      <c r="AD1477" t="s">
        <v>38</v>
      </c>
      <c r="AE1477" t="s">
        <v>49</v>
      </c>
      <c r="AF1477" t="s">
        <v>50</v>
      </c>
      <c r="AG1477">
        <v>0</v>
      </c>
      <c r="AH1477">
        <v>0</v>
      </c>
      <c r="AI1477" t="s">
        <v>51</v>
      </c>
      <c r="AJ1477" t="s">
        <v>51</v>
      </c>
      <c r="AK1477" t="s">
        <v>51</v>
      </c>
    </row>
    <row r="1478" spans="1:37" x14ac:dyDescent="0.2">
      <c r="A1478">
        <v>60171</v>
      </c>
      <c r="B1478" t="s">
        <v>37</v>
      </c>
      <c r="C1478" t="s">
        <v>38</v>
      </c>
      <c r="D1478" t="s">
        <v>464</v>
      </c>
      <c r="E1478" t="s">
        <v>40</v>
      </c>
      <c r="G1478" s="4">
        <v>43947.084525462963</v>
      </c>
      <c r="H1478" s="4">
        <v>43947.084756944444</v>
      </c>
      <c r="I1478" t="s">
        <v>693</v>
      </c>
      <c r="J1478" s="5">
        <v>19.99999999999999999999999999999999999996</v>
      </c>
      <c r="K1478" t="s">
        <v>38</v>
      </c>
      <c r="M1478">
        <v>60175</v>
      </c>
      <c r="N1478" t="s">
        <v>487</v>
      </c>
      <c r="O1478" t="s">
        <v>488</v>
      </c>
      <c r="P1478" t="s">
        <v>38</v>
      </c>
      <c r="Q1478" t="s">
        <v>50</v>
      </c>
      <c r="R1478">
        <v>0</v>
      </c>
      <c r="S1478" t="s">
        <v>45</v>
      </c>
      <c r="T1478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8">
        <v>60176</v>
      </c>
      <c r="V1478" t="s">
        <v>38</v>
      </c>
      <c r="W1478" t="s">
        <v>50</v>
      </c>
      <c r="X1478">
        <v>0</v>
      </c>
      <c r="Y1478">
        <v>0</v>
      </c>
      <c r="Z1478" t="s">
        <v>46</v>
      </c>
      <c r="AA1478">
        <v>60177</v>
      </c>
      <c r="AB1478" t="s">
        <v>489</v>
      </c>
      <c r="AC1478" t="s">
        <v>68</v>
      </c>
      <c r="AD1478" t="s">
        <v>38</v>
      </c>
      <c r="AE1478" t="s">
        <v>49</v>
      </c>
      <c r="AF1478" t="s">
        <v>50</v>
      </c>
      <c r="AG1478">
        <v>0</v>
      </c>
      <c r="AH1478">
        <v>0</v>
      </c>
      <c r="AI1478" t="s">
        <v>51</v>
      </c>
      <c r="AJ1478" t="s">
        <v>51</v>
      </c>
      <c r="AK1478" t="s">
        <v>51</v>
      </c>
    </row>
    <row r="1479" spans="1:37" x14ac:dyDescent="0.2">
      <c r="A1479">
        <v>60171</v>
      </c>
      <c r="B1479" t="s">
        <v>37</v>
      </c>
      <c r="C1479" t="s">
        <v>38</v>
      </c>
      <c r="D1479" t="s">
        <v>464</v>
      </c>
      <c r="E1479" t="s">
        <v>40</v>
      </c>
      <c r="G1479" s="4">
        <v>43947.084525462963</v>
      </c>
      <c r="H1479" s="4">
        <v>43947.084756944444</v>
      </c>
      <c r="I1479" t="s">
        <v>693</v>
      </c>
      <c r="J1479" s="5">
        <v>19.99999999999999999999999999999999999996</v>
      </c>
      <c r="K1479" t="s">
        <v>38</v>
      </c>
      <c r="M1479">
        <v>60172</v>
      </c>
      <c r="N1479" t="s">
        <v>490</v>
      </c>
      <c r="O1479" t="s">
        <v>491</v>
      </c>
      <c r="P1479" t="s">
        <v>38</v>
      </c>
      <c r="Q1479" t="s">
        <v>50</v>
      </c>
      <c r="R1479">
        <v>.9999999999999999999999999999999999999996</v>
      </c>
      <c r="S1479" t="s">
        <v>45</v>
      </c>
      <c r="T1479" t="str" s="2">
        <f>=HYPERLINK("http://demo.enginatics.com:80/ecc/user/applications/log/60171.log","http://demo.enginatics.com:80/ecc/user/applications/log/60171.log")</f>
        <v>"http://demo.enginatics.com:80/ecc/user/applications/log/60171.log")</v>
      </c>
      <c r="U1479">
        <v>60173</v>
      </c>
      <c r="V1479" t="s">
        <v>38</v>
      </c>
      <c r="W1479" t="s">
        <v>50</v>
      </c>
      <c r="X1479">
        <v>.9999999999999999999999999999999999999996</v>
      </c>
      <c r="Y1479">
        <v>0</v>
      </c>
      <c r="Z1479" t="s">
        <v>46</v>
      </c>
      <c r="AA1479">
        <v>60174</v>
      </c>
      <c r="AB1479" t="s">
        <v>1457</v>
      </c>
      <c r="AC1479" t="s">
        <v>68</v>
      </c>
      <c r="AD1479" t="s">
        <v>38</v>
      </c>
      <c r="AE1479" t="s">
        <v>49</v>
      </c>
      <c r="AF1479" t="s">
        <v>50</v>
      </c>
      <c r="AG1479">
        <v>.9999999999999999999999999999999999999996</v>
      </c>
      <c r="AH1479">
        <v>0</v>
      </c>
      <c r="AI1479" t="s">
        <v>51</v>
      </c>
      <c r="AJ1479" t="s">
        <v>51</v>
      </c>
      <c r="AK1479" t="s">
        <v>51</v>
      </c>
    </row>
    <row r="1480" spans="1:37" x14ac:dyDescent="0.2">
      <c r="A1480">
        <v>60146</v>
      </c>
      <c r="B1480" t="s">
        <v>37</v>
      </c>
      <c r="C1480" t="s">
        <v>38</v>
      </c>
      <c r="D1480" t="s">
        <v>464</v>
      </c>
      <c r="E1480" t="s">
        <v>40</v>
      </c>
      <c r="G1480" s="4">
        <v>43947.081770833333</v>
      </c>
      <c r="H1480" s="4">
        <v>43947.081944444444</v>
      </c>
      <c r="I1480" t="s">
        <v>315</v>
      </c>
      <c r="J1480" s="5">
        <v>14.99999999999999999999999999999999999999</v>
      </c>
      <c r="K1480" t="s">
        <v>38</v>
      </c>
      <c r="M1480">
        <v>60168</v>
      </c>
      <c r="N1480" t="s">
        <v>465</v>
      </c>
      <c r="O1480" t="s">
        <v>466</v>
      </c>
      <c r="P1480" t="s">
        <v>38</v>
      </c>
      <c r="Q1480" t="s">
        <v>652</v>
      </c>
      <c r="R1480">
        <v>8</v>
      </c>
      <c r="S1480" t="s">
        <v>45</v>
      </c>
      <c r="T1480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0">
        <v>60169</v>
      </c>
      <c r="V1480" t="s">
        <v>38</v>
      </c>
      <c r="W1480" t="s">
        <v>652</v>
      </c>
      <c r="X1480">
        <v>8</v>
      </c>
      <c r="Y1480">
        <v>0</v>
      </c>
      <c r="Z1480" t="s">
        <v>46</v>
      </c>
      <c r="AA1480">
        <v>60170</v>
      </c>
      <c r="AB1480" t="s">
        <v>467</v>
      </c>
      <c r="AC1480" t="s">
        <v>68</v>
      </c>
      <c r="AD1480" t="s">
        <v>38</v>
      </c>
      <c r="AE1480" t="s">
        <v>468</v>
      </c>
      <c r="AF1480" t="s">
        <v>75</v>
      </c>
      <c r="AG1480">
        <v>6</v>
      </c>
      <c r="AH1480">
        <v>0</v>
      </c>
      <c r="AI1480" t="s">
        <v>469</v>
      </c>
      <c r="AJ1480" t="s">
        <v>51</v>
      </c>
      <c r="AK1480" t="s">
        <v>469</v>
      </c>
    </row>
    <row r="1481" spans="1:37" x14ac:dyDescent="0.2">
      <c r="A1481">
        <v>60146</v>
      </c>
      <c r="B1481" t="s">
        <v>37</v>
      </c>
      <c r="C1481" t="s">
        <v>38</v>
      </c>
      <c r="D1481" t="s">
        <v>464</v>
      </c>
      <c r="E1481" t="s">
        <v>40</v>
      </c>
      <c r="G1481" s="4">
        <v>43947.081770833333</v>
      </c>
      <c r="H1481" s="4">
        <v>43947.081944444444</v>
      </c>
      <c r="I1481" t="s">
        <v>315</v>
      </c>
      <c r="J1481" s="5">
        <v>14.99999999999999999999999999999999999999</v>
      </c>
      <c r="K1481" t="s">
        <v>38</v>
      </c>
      <c r="M1481">
        <v>60165</v>
      </c>
      <c r="N1481" t="s">
        <v>470</v>
      </c>
      <c r="O1481" t="s">
        <v>471</v>
      </c>
      <c r="P1481" t="s">
        <v>38</v>
      </c>
      <c r="Q1481" t="s">
        <v>50</v>
      </c>
      <c r="R1481">
        <v>.9999999999999999999999999999999999999996</v>
      </c>
      <c r="S1481" t="s">
        <v>45</v>
      </c>
      <c r="T1481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1">
        <v>60166</v>
      </c>
      <c r="V1481" t="s">
        <v>38</v>
      </c>
      <c r="W1481" t="s">
        <v>50</v>
      </c>
      <c r="X1481">
        <v>.9999999999999999999999999999999999999996</v>
      </c>
      <c r="Y1481">
        <v>0</v>
      </c>
      <c r="Z1481" t="s">
        <v>46</v>
      </c>
      <c r="AA1481">
        <v>60167</v>
      </c>
      <c r="AB1481" t="s">
        <v>472</v>
      </c>
      <c r="AC1481" t="s">
        <v>68</v>
      </c>
      <c r="AD1481" t="s">
        <v>38</v>
      </c>
      <c r="AE1481" t="s">
        <v>49</v>
      </c>
      <c r="AF1481" t="s">
        <v>50</v>
      </c>
      <c r="AG1481">
        <v>.9999999999999999999999999999999999999996</v>
      </c>
      <c r="AH1481">
        <v>0</v>
      </c>
      <c r="AI1481" t="s">
        <v>51</v>
      </c>
      <c r="AJ1481" t="s">
        <v>51</v>
      </c>
      <c r="AK1481" t="s">
        <v>51</v>
      </c>
    </row>
    <row r="1482" spans="1:37" x14ac:dyDescent="0.2">
      <c r="A1482">
        <v>60146</v>
      </c>
      <c r="B1482" t="s">
        <v>37</v>
      </c>
      <c r="C1482" t="s">
        <v>38</v>
      </c>
      <c r="D1482" t="s">
        <v>464</v>
      </c>
      <c r="E1482" t="s">
        <v>40</v>
      </c>
      <c r="G1482" s="4">
        <v>43947.081770833333</v>
      </c>
      <c r="H1482" s="4">
        <v>43947.081944444444</v>
      </c>
      <c r="I1482" t="s">
        <v>315</v>
      </c>
      <c r="J1482" s="5">
        <v>14.99999999999999999999999999999999999999</v>
      </c>
      <c r="K1482" t="s">
        <v>38</v>
      </c>
      <c r="M1482">
        <v>60162</v>
      </c>
      <c r="N1482" t="s">
        <v>473</v>
      </c>
      <c r="O1482" t="s">
        <v>474</v>
      </c>
      <c r="P1482" t="s">
        <v>38</v>
      </c>
      <c r="Q1482" t="s">
        <v>85</v>
      </c>
      <c r="R1482">
        <v>3</v>
      </c>
      <c r="S1482" t="s">
        <v>45</v>
      </c>
      <c r="T1482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2">
        <v>60163</v>
      </c>
      <c r="V1482" t="s">
        <v>38</v>
      </c>
      <c r="W1482" t="s">
        <v>85</v>
      </c>
      <c r="X1482">
        <v>3</v>
      </c>
      <c r="Y1482">
        <v>0</v>
      </c>
      <c r="Z1482" t="s">
        <v>46</v>
      </c>
      <c r="AA1482">
        <v>60164</v>
      </c>
      <c r="AB1482" t="s">
        <v>475</v>
      </c>
      <c r="AC1482" t="s">
        <v>68</v>
      </c>
      <c r="AD1482" t="s">
        <v>38</v>
      </c>
      <c r="AE1482" t="s">
        <v>476</v>
      </c>
      <c r="AF1482" t="s">
        <v>85</v>
      </c>
      <c r="AG1482">
        <v>3</v>
      </c>
      <c r="AH1482">
        <v>0</v>
      </c>
      <c r="AI1482" t="s">
        <v>477</v>
      </c>
      <c r="AJ1482" t="s">
        <v>51</v>
      </c>
      <c r="AK1482" t="s">
        <v>477</v>
      </c>
    </row>
    <row r="1483" spans="1:37" x14ac:dyDescent="0.2">
      <c r="A1483">
        <v>60146</v>
      </c>
      <c r="B1483" t="s">
        <v>37</v>
      </c>
      <c r="C1483" t="s">
        <v>38</v>
      </c>
      <c r="D1483" t="s">
        <v>464</v>
      </c>
      <c r="E1483" t="s">
        <v>40</v>
      </c>
      <c r="G1483" s="4">
        <v>43947.081770833333</v>
      </c>
      <c r="H1483" s="4">
        <v>43947.081944444444</v>
      </c>
      <c r="I1483" t="s">
        <v>315</v>
      </c>
      <c r="J1483" s="5">
        <v>14.99999999999999999999999999999999999999</v>
      </c>
      <c r="K1483" t="s">
        <v>38</v>
      </c>
      <c r="M1483">
        <v>60159</v>
      </c>
      <c r="N1483" t="s">
        <v>478</v>
      </c>
      <c r="O1483" t="s">
        <v>479</v>
      </c>
      <c r="P1483" t="s">
        <v>38</v>
      </c>
      <c r="Q1483" t="s">
        <v>50</v>
      </c>
      <c r="R1483">
        <v>.9999999999999999999999999999999999999996</v>
      </c>
      <c r="S1483" t="s">
        <v>45</v>
      </c>
      <c r="T1483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3">
        <v>60160</v>
      </c>
      <c r="V1483" t="s">
        <v>38</v>
      </c>
      <c r="W1483" t="s">
        <v>50</v>
      </c>
      <c r="X1483">
        <v>.9999999999999999999999999999999999999996</v>
      </c>
      <c r="Y1483">
        <v>0</v>
      </c>
      <c r="Z1483" t="s">
        <v>46</v>
      </c>
      <c r="AA1483">
        <v>60161</v>
      </c>
      <c r="AB1483" t="s">
        <v>480</v>
      </c>
      <c r="AC1483" t="s">
        <v>68</v>
      </c>
      <c r="AD1483" t="s">
        <v>38</v>
      </c>
      <c r="AE1483" t="s">
        <v>49</v>
      </c>
      <c r="AF1483" t="s">
        <v>50</v>
      </c>
      <c r="AG1483">
        <v>.9999999999999999999999999999999999999996</v>
      </c>
      <c r="AH1483">
        <v>0</v>
      </c>
      <c r="AI1483" t="s">
        <v>51</v>
      </c>
      <c r="AJ1483" t="s">
        <v>51</v>
      </c>
      <c r="AK1483" t="s">
        <v>51</v>
      </c>
    </row>
    <row r="1484" spans="1:37" x14ac:dyDescent="0.2">
      <c r="A1484">
        <v>60146</v>
      </c>
      <c r="B1484" t="s">
        <v>37</v>
      </c>
      <c r="C1484" t="s">
        <v>38</v>
      </c>
      <c r="D1484" t="s">
        <v>464</v>
      </c>
      <c r="E1484" t="s">
        <v>40</v>
      </c>
      <c r="G1484" s="4">
        <v>43947.081770833333</v>
      </c>
      <c r="H1484" s="4">
        <v>43947.081944444444</v>
      </c>
      <c r="I1484" t="s">
        <v>315</v>
      </c>
      <c r="J1484" s="5">
        <v>14.99999999999999999999999999999999999999</v>
      </c>
      <c r="K1484" t="s">
        <v>38</v>
      </c>
      <c r="M1484">
        <v>60156</v>
      </c>
      <c r="N1484" t="s">
        <v>481</v>
      </c>
      <c r="O1484" t="s">
        <v>482</v>
      </c>
      <c r="P1484" t="s">
        <v>38</v>
      </c>
      <c r="Q1484" t="s">
        <v>50</v>
      </c>
      <c r="R1484">
        <v>.9999999999999999999999999999999999999996</v>
      </c>
      <c r="S1484" t="s">
        <v>45</v>
      </c>
      <c r="T1484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4">
        <v>60157</v>
      </c>
      <c r="V1484" t="s">
        <v>38</v>
      </c>
      <c r="W1484" t="s">
        <v>50</v>
      </c>
      <c r="X1484">
        <v>.9999999999999999999999999999999999999996</v>
      </c>
      <c r="Y1484">
        <v>0</v>
      </c>
      <c r="Z1484" t="s">
        <v>46</v>
      </c>
      <c r="AA1484">
        <v>60158</v>
      </c>
      <c r="AB1484" t="s">
        <v>483</v>
      </c>
      <c r="AC1484" t="s">
        <v>68</v>
      </c>
      <c r="AD1484" t="s">
        <v>38</v>
      </c>
      <c r="AE1484" t="s">
        <v>49</v>
      </c>
      <c r="AF1484" t="s">
        <v>50</v>
      </c>
      <c r="AG1484">
        <v>.9999999999999999999999999999999999999996</v>
      </c>
      <c r="AH1484">
        <v>0</v>
      </c>
      <c r="AI1484" t="s">
        <v>51</v>
      </c>
      <c r="AJ1484" t="s">
        <v>51</v>
      </c>
      <c r="AK1484" t="s">
        <v>51</v>
      </c>
    </row>
    <row r="1485" spans="1:37" x14ac:dyDescent="0.2">
      <c r="A1485">
        <v>60146</v>
      </c>
      <c r="B1485" t="s">
        <v>37</v>
      </c>
      <c r="C1485" t="s">
        <v>38</v>
      </c>
      <c r="D1485" t="s">
        <v>464</v>
      </c>
      <c r="E1485" t="s">
        <v>40</v>
      </c>
      <c r="G1485" s="4">
        <v>43947.081770833333</v>
      </c>
      <c r="H1485" s="4">
        <v>43947.081944444444</v>
      </c>
      <c r="I1485" t="s">
        <v>315</v>
      </c>
      <c r="J1485" s="5">
        <v>14.99999999999999999999999999999999999999</v>
      </c>
      <c r="K1485" t="s">
        <v>38</v>
      </c>
      <c r="M1485">
        <v>60153</v>
      </c>
      <c r="N1485" t="s">
        <v>484</v>
      </c>
      <c r="O1485" t="s">
        <v>485</v>
      </c>
      <c r="P1485" t="s">
        <v>38</v>
      </c>
      <c r="Q1485" t="s">
        <v>50</v>
      </c>
      <c r="R1485">
        <v>0</v>
      </c>
      <c r="S1485" t="s">
        <v>45</v>
      </c>
      <c r="T1485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5">
        <v>60154</v>
      </c>
      <c r="V1485" t="s">
        <v>38</v>
      </c>
      <c r="W1485" t="s">
        <v>50</v>
      </c>
      <c r="X1485">
        <v>0</v>
      </c>
      <c r="Y1485">
        <v>0</v>
      </c>
      <c r="Z1485" t="s">
        <v>46</v>
      </c>
      <c r="AA1485">
        <v>60155</v>
      </c>
      <c r="AB1485" t="s">
        <v>1458</v>
      </c>
      <c r="AC1485" t="s">
        <v>68</v>
      </c>
      <c r="AD1485" t="s">
        <v>38</v>
      </c>
      <c r="AE1485" t="s">
        <v>49</v>
      </c>
      <c r="AF1485" t="s">
        <v>50</v>
      </c>
      <c r="AG1485">
        <v>0</v>
      </c>
      <c r="AH1485">
        <v>0</v>
      </c>
      <c r="AI1485" t="s">
        <v>51</v>
      </c>
      <c r="AJ1485" t="s">
        <v>51</v>
      </c>
      <c r="AK1485" t="s">
        <v>51</v>
      </c>
    </row>
    <row r="1486" spans="1:37" x14ac:dyDescent="0.2">
      <c r="A1486">
        <v>60146</v>
      </c>
      <c r="B1486" t="s">
        <v>37</v>
      </c>
      <c r="C1486" t="s">
        <v>38</v>
      </c>
      <c r="D1486" t="s">
        <v>464</v>
      </c>
      <c r="E1486" t="s">
        <v>40</v>
      </c>
      <c r="G1486" s="4">
        <v>43947.081770833333</v>
      </c>
      <c r="H1486" s="4">
        <v>43947.081944444444</v>
      </c>
      <c r="I1486" t="s">
        <v>315</v>
      </c>
      <c r="J1486" s="5">
        <v>14.99999999999999999999999999999999999999</v>
      </c>
      <c r="K1486" t="s">
        <v>38</v>
      </c>
      <c r="M1486">
        <v>60150</v>
      </c>
      <c r="N1486" t="s">
        <v>487</v>
      </c>
      <c r="O1486" t="s">
        <v>488</v>
      </c>
      <c r="P1486" t="s">
        <v>38</v>
      </c>
      <c r="Q1486" t="s">
        <v>50</v>
      </c>
      <c r="R1486">
        <v>.9999999999999999999999999999999999999996</v>
      </c>
      <c r="S1486" t="s">
        <v>45</v>
      </c>
      <c r="T1486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6">
        <v>60151</v>
      </c>
      <c r="V1486" t="s">
        <v>38</v>
      </c>
      <c r="W1486" t="s">
        <v>50</v>
      </c>
      <c r="X1486">
        <v>.9999999999999999999999999999999999999996</v>
      </c>
      <c r="Y1486">
        <v>0</v>
      </c>
      <c r="Z1486" t="s">
        <v>46</v>
      </c>
      <c r="AA1486">
        <v>60152</v>
      </c>
      <c r="AB1486" t="s">
        <v>489</v>
      </c>
      <c r="AC1486" t="s">
        <v>68</v>
      </c>
      <c r="AD1486" t="s">
        <v>38</v>
      </c>
      <c r="AE1486" t="s">
        <v>49</v>
      </c>
      <c r="AF1486" t="s">
        <v>50</v>
      </c>
      <c r="AG1486">
        <v>.9999999999999999999999999999999999999996</v>
      </c>
      <c r="AH1486">
        <v>0</v>
      </c>
      <c r="AI1486" t="s">
        <v>51</v>
      </c>
      <c r="AJ1486" t="s">
        <v>51</v>
      </c>
      <c r="AK1486" t="s">
        <v>51</v>
      </c>
    </row>
    <row r="1487" spans="1:37" x14ac:dyDescent="0.2">
      <c r="A1487">
        <v>60146</v>
      </c>
      <c r="B1487" t="s">
        <v>37</v>
      </c>
      <c r="C1487" t="s">
        <v>38</v>
      </c>
      <c r="D1487" t="s">
        <v>464</v>
      </c>
      <c r="E1487" t="s">
        <v>40</v>
      </c>
      <c r="G1487" s="4">
        <v>43947.081770833333</v>
      </c>
      <c r="H1487" s="4">
        <v>43947.081944444444</v>
      </c>
      <c r="I1487" t="s">
        <v>315</v>
      </c>
      <c r="J1487" s="5">
        <v>14.99999999999999999999999999999999999999</v>
      </c>
      <c r="K1487" t="s">
        <v>38</v>
      </c>
      <c r="M1487">
        <v>60147</v>
      </c>
      <c r="N1487" t="s">
        <v>490</v>
      </c>
      <c r="O1487" t="s">
        <v>491</v>
      </c>
      <c r="P1487" t="s">
        <v>38</v>
      </c>
      <c r="Q1487" t="s">
        <v>50</v>
      </c>
      <c r="R1487">
        <v>0</v>
      </c>
      <c r="S1487" t="s">
        <v>45</v>
      </c>
      <c r="T1487" t="str" s="2">
        <f>=HYPERLINK("http://demo.enginatics.com:80/ecc/user/applications/log/60146.log","http://demo.enginatics.com:80/ecc/user/applications/log/60146.log")</f>
        <v>"http://demo.enginatics.com:80/ecc/user/applications/log/60146.log")</v>
      </c>
      <c r="U1487">
        <v>60148</v>
      </c>
      <c r="V1487" t="s">
        <v>38</v>
      </c>
      <c r="W1487" t="s">
        <v>50</v>
      </c>
      <c r="X1487">
        <v>0</v>
      </c>
      <c r="Y1487">
        <v>0</v>
      </c>
      <c r="Z1487" t="s">
        <v>46</v>
      </c>
      <c r="AA1487">
        <v>60149</v>
      </c>
      <c r="AB1487" t="s">
        <v>1459</v>
      </c>
      <c r="AC1487" t="s">
        <v>68</v>
      </c>
      <c r="AD1487" t="s">
        <v>38</v>
      </c>
      <c r="AE1487" t="s">
        <v>49</v>
      </c>
      <c r="AF1487" t="s">
        <v>50</v>
      </c>
      <c r="AG1487">
        <v>0</v>
      </c>
      <c r="AH1487">
        <v>0</v>
      </c>
      <c r="AI1487" t="s">
        <v>51</v>
      </c>
      <c r="AJ1487" t="s">
        <v>51</v>
      </c>
      <c r="AK1487" t="s">
        <v>51</v>
      </c>
    </row>
    <row r="1488" spans="1:37" x14ac:dyDescent="0.2">
      <c r="A1488">
        <v>60142</v>
      </c>
      <c r="B1488" t="s">
        <v>37</v>
      </c>
      <c r="C1488" t="s">
        <v>38</v>
      </c>
      <c r="D1488" t="s">
        <v>495</v>
      </c>
      <c r="E1488" t="s">
        <v>40</v>
      </c>
      <c r="G1488" s="4">
        <v>43947.079201388889</v>
      </c>
      <c r="H1488" s="4">
        <v>43947.079340277778</v>
      </c>
      <c r="I1488" t="s">
        <v>236</v>
      </c>
      <c r="J1488" s="5">
        <v>12.00000000000000000000000000000000000001</v>
      </c>
      <c r="K1488" t="s">
        <v>38</v>
      </c>
      <c r="M1488">
        <v>60143</v>
      </c>
      <c r="N1488" t="s">
        <v>496</v>
      </c>
      <c r="O1488" t="s">
        <v>497</v>
      </c>
      <c r="P1488" t="s">
        <v>38</v>
      </c>
      <c r="Q1488" t="s">
        <v>236</v>
      </c>
      <c r="R1488">
        <v>12.00000000000000000000000000000000000001</v>
      </c>
      <c r="S1488" t="s">
        <v>45</v>
      </c>
      <c r="T1488" t="str" s="2">
        <f>=HYPERLINK("http://demo.enginatics.com:80/ecc/user/applications/log/60142.log","http://demo.enginatics.com:80/ecc/user/applications/log/60142.log")</f>
        <v>"http://demo.enginatics.com:80/ecc/user/applications/log/60142.log")</v>
      </c>
      <c r="U1488">
        <v>60144</v>
      </c>
      <c r="V1488" t="s">
        <v>38</v>
      </c>
      <c r="W1488" t="s">
        <v>236</v>
      </c>
      <c r="X1488">
        <v>12.00000000000000000000000000000000000001</v>
      </c>
      <c r="Y1488">
        <v>0</v>
      </c>
      <c r="Z1488" t="s">
        <v>46</v>
      </c>
      <c r="AA1488">
        <v>60145</v>
      </c>
      <c r="AB1488" t="s">
        <v>1460</v>
      </c>
      <c r="AC1488" t="s">
        <v>97</v>
      </c>
      <c r="AD1488" t="s">
        <v>38</v>
      </c>
      <c r="AE1488" t="s">
        <v>49</v>
      </c>
      <c r="AF1488" t="s">
        <v>236</v>
      </c>
      <c r="AG1488">
        <v>12.00000000000000000000000000000000000001</v>
      </c>
      <c r="AH1488">
        <v>12</v>
      </c>
      <c r="AI1488" t="s">
        <v>51</v>
      </c>
      <c r="AJ1488" t="s">
        <v>51</v>
      </c>
      <c r="AK1488" t="s">
        <v>51</v>
      </c>
    </row>
    <row r="1489" spans="1:37" x14ac:dyDescent="0.2">
      <c r="A1489">
        <v>60132</v>
      </c>
      <c r="B1489" t="s">
        <v>37</v>
      </c>
      <c r="C1489" t="s">
        <v>38</v>
      </c>
      <c r="D1489" t="s">
        <v>499</v>
      </c>
      <c r="E1489" t="s">
        <v>40</v>
      </c>
      <c r="G1489" s="4">
        <v>43947.068796296296</v>
      </c>
      <c r="H1489" s="4">
        <v>43947.068831018519</v>
      </c>
      <c r="I1489" t="s">
        <v>85</v>
      </c>
      <c r="J1489" s="5">
        <v>3</v>
      </c>
      <c r="K1489" t="s">
        <v>38</v>
      </c>
      <c r="M1489">
        <v>60139</v>
      </c>
      <c r="N1489" t="s">
        <v>500</v>
      </c>
      <c r="O1489" t="s">
        <v>501</v>
      </c>
      <c r="P1489" t="s">
        <v>38</v>
      </c>
      <c r="Q1489" t="s">
        <v>50</v>
      </c>
      <c r="R1489">
        <v>.9999999999999999999999999999999999999996</v>
      </c>
      <c r="S1489" t="s">
        <v>45</v>
      </c>
      <c r="T1489" t="str" s="2">
        <f>=HYPERLINK("http://demo.enginatics.com:80/ecc/user/applications/log/60132.log","http://demo.enginatics.com:80/ecc/user/applications/log/60132.log")</f>
        <v>"http://demo.enginatics.com:80/ecc/user/applications/log/60132.log")</v>
      </c>
      <c r="U1489">
        <v>60140</v>
      </c>
      <c r="V1489" t="s">
        <v>38</v>
      </c>
      <c r="W1489" t="s">
        <v>50</v>
      </c>
      <c r="X1489">
        <v>.9999999999999999999999999999999999999996</v>
      </c>
      <c r="Y1489">
        <v>0</v>
      </c>
      <c r="Z1489" t="s">
        <v>46</v>
      </c>
      <c r="AA1489">
        <v>60141</v>
      </c>
      <c r="AB1489" t="s">
        <v>1461</v>
      </c>
      <c r="AC1489" t="s">
        <v>68</v>
      </c>
      <c r="AD1489" t="s">
        <v>38</v>
      </c>
      <c r="AE1489" t="s">
        <v>49</v>
      </c>
      <c r="AF1489" t="s">
        <v>50</v>
      </c>
      <c r="AG1489">
        <v>.9999999999999999999999999999999999999996</v>
      </c>
      <c r="AH1489">
        <v>0</v>
      </c>
      <c r="AI1489" t="s">
        <v>51</v>
      </c>
      <c r="AJ1489" t="s">
        <v>51</v>
      </c>
      <c r="AK1489" t="s">
        <v>51</v>
      </c>
    </row>
    <row r="1490" spans="1:37" x14ac:dyDescent="0.2">
      <c r="A1490">
        <v>60132</v>
      </c>
      <c r="B1490" t="s">
        <v>37</v>
      </c>
      <c r="C1490" t="s">
        <v>38</v>
      </c>
      <c r="D1490" t="s">
        <v>499</v>
      </c>
      <c r="E1490" t="s">
        <v>40</v>
      </c>
      <c r="G1490" s="4">
        <v>43947.068796296296</v>
      </c>
      <c r="H1490" s="4">
        <v>43947.068831018519</v>
      </c>
      <c r="I1490" t="s">
        <v>85</v>
      </c>
      <c r="J1490" s="5">
        <v>3</v>
      </c>
      <c r="K1490" t="s">
        <v>38</v>
      </c>
      <c r="M1490">
        <v>60136</v>
      </c>
      <c r="N1490" t="s">
        <v>503</v>
      </c>
      <c r="O1490" t="s">
        <v>504</v>
      </c>
      <c r="P1490" t="s">
        <v>38</v>
      </c>
      <c r="Q1490" t="s">
        <v>50</v>
      </c>
      <c r="R1490">
        <v>.9999999999999999999999999999999999999996</v>
      </c>
      <c r="S1490" t="s">
        <v>45</v>
      </c>
      <c r="T1490" t="str" s="2">
        <f>=HYPERLINK("http://demo.enginatics.com:80/ecc/user/applications/log/60132.log","http://demo.enginatics.com:80/ecc/user/applications/log/60132.log")</f>
        <v>"http://demo.enginatics.com:80/ecc/user/applications/log/60132.log")</v>
      </c>
      <c r="U1490">
        <v>60137</v>
      </c>
      <c r="V1490" t="s">
        <v>38</v>
      </c>
      <c r="W1490" t="s">
        <v>50</v>
      </c>
      <c r="X1490">
        <v>.9999999999999999999999999999999999999996</v>
      </c>
      <c r="Y1490">
        <v>0</v>
      </c>
      <c r="Z1490" t="s">
        <v>46</v>
      </c>
      <c r="AA1490">
        <v>60138</v>
      </c>
      <c r="AB1490" t="s">
        <v>505</v>
      </c>
      <c r="AC1490" t="s">
        <v>68</v>
      </c>
      <c r="AD1490" t="s">
        <v>38</v>
      </c>
      <c r="AE1490" t="s">
        <v>49</v>
      </c>
      <c r="AF1490" t="s">
        <v>50</v>
      </c>
      <c r="AG1490">
        <v>.9999999999999999999999999999999999999996</v>
      </c>
      <c r="AH1490">
        <v>1</v>
      </c>
      <c r="AI1490" t="s">
        <v>51</v>
      </c>
      <c r="AJ1490" t="s">
        <v>51</v>
      </c>
      <c r="AK1490" t="s">
        <v>51</v>
      </c>
    </row>
    <row r="1491" spans="1:37" x14ac:dyDescent="0.2">
      <c r="A1491">
        <v>60132</v>
      </c>
      <c r="B1491" t="s">
        <v>37</v>
      </c>
      <c r="C1491" t="s">
        <v>38</v>
      </c>
      <c r="D1491" t="s">
        <v>499</v>
      </c>
      <c r="E1491" t="s">
        <v>40</v>
      </c>
      <c r="G1491" s="4">
        <v>43947.068796296296</v>
      </c>
      <c r="H1491" s="4">
        <v>43947.068831018519</v>
      </c>
      <c r="I1491" t="s">
        <v>85</v>
      </c>
      <c r="J1491" s="5">
        <v>3</v>
      </c>
      <c r="K1491" t="s">
        <v>38</v>
      </c>
      <c r="M1491">
        <v>60133</v>
      </c>
      <c r="N1491" t="s">
        <v>506</v>
      </c>
      <c r="O1491" t="s">
        <v>507</v>
      </c>
      <c r="P1491" t="s">
        <v>38</v>
      </c>
      <c r="Q1491" t="s">
        <v>50</v>
      </c>
      <c r="R1491">
        <v>.9999999999999999999999999999999999999996</v>
      </c>
      <c r="S1491" t="s">
        <v>45</v>
      </c>
      <c r="T1491" t="str" s="2">
        <f>=HYPERLINK("http://demo.enginatics.com:80/ecc/user/applications/log/60132.log","http://demo.enginatics.com:80/ecc/user/applications/log/60132.log")</f>
        <v>"http://demo.enginatics.com:80/ecc/user/applications/log/60132.log")</v>
      </c>
      <c r="U1491">
        <v>60134</v>
      </c>
      <c r="V1491" t="s">
        <v>38</v>
      </c>
      <c r="W1491" t="s">
        <v>50</v>
      </c>
      <c r="X1491">
        <v>.9999999999999999999999999999999999999996</v>
      </c>
      <c r="Y1491">
        <v>0</v>
      </c>
      <c r="Z1491" t="s">
        <v>46</v>
      </c>
      <c r="AA1491">
        <v>60135</v>
      </c>
      <c r="AB1491" t="s">
        <v>1462</v>
      </c>
      <c r="AC1491" t="s">
        <v>68</v>
      </c>
      <c r="AD1491" t="s">
        <v>38</v>
      </c>
      <c r="AE1491" t="s">
        <v>49</v>
      </c>
      <c r="AF1491" t="s">
        <v>50</v>
      </c>
      <c r="AG1491">
        <v>.9999999999999999999999999999999999999996</v>
      </c>
      <c r="AH1491">
        <v>0</v>
      </c>
      <c r="AI1491" t="s">
        <v>51</v>
      </c>
      <c r="AJ1491" t="s">
        <v>51</v>
      </c>
      <c r="AK1491" t="s">
        <v>51</v>
      </c>
    </row>
    <row r="1492" spans="1:37" x14ac:dyDescent="0.2">
      <c r="A1492">
        <v>60104</v>
      </c>
      <c r="B1492" t="s">
        <v>37</v>
      </c>
      <c r="C1492" t="s">
        <v>38</v>
      </c>
      <c r="D1492" t="s">
        <v>509</v>
      </c>
      <c r="E1492" t="s">
        <v>40</v>
      </c>
      <c r="G1492" s="4">
        <v>43947.0596875</v>
      </c>
      <c r="H1492" s="4">
        <v>43947.059930555556</v>
      </c>
      <c r="I1492" t="s">
        <v>510</v>
      </c>
      <c r="J1492" s="5">
        <v>21.00000000000000000000000000000000000004</v>
      </c>
      <c r="K1492" t="s">
        <v>38</v>
      </c>
      <c r="M1492">
        <v>60127</v>
      </c>
      <c r="N1492" t="s">
        <v>511</v>
      </c>
      <c r="O1492" t="s">
        <v>512</v>
      </c>
      <c r="P1492" t="s">
        <v>38</v>
      </c>
      <c r="Q1492" t="s">
        <v>88</v>
      </c>
      <c r="R1492">
        <v>2</v>
      </c>
      <c r="S1492" t="s">
        <v>45</v>
      </c>
      <c r="T1492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2">
        <v>60128</v>
      </c>
      <c r="V1492" t="s">
        <v>38</v>
      </c>
      <c r="W1492" t="s">
        <v>88</v>
      </c>
      <c r="X1492">
        <v>2</v>
      </c>
      <c r="Y1492">
        <v>2</v>
      </c>
      <c r="Z1492" t="s">
        <v>46</v>
      </c>
      <c r="AA1492">
        <v>60131</v>
      </c>
      <c r="AB1492" t="s">
        <v>1463</v>
      </c>
      <c r="AC1492" t="s">
        <v>97</v>
      </c>
      <c r="AD1492" t="s">
        <v>38</v>
      </c>
      <c r="AE1492" t="s">
        <v>49</v>
      </c>
      <c r="AF1492" t="s">
        <v>50</v>
      </c>
      <c r="AG1492">
        <v>0</v>
      </c>
      <c r="AH1492">
        <v>0</v>
      </c>
      <c r="AI1492" t="s">
        <v>51</v>
      </c>
      <c r="AJ1492" t="s">
        <v>51</v>
      </c>
      <c r="AK1492" t="s">
        <v>51</v>
      </c>
    </row>
    <row r="1493" spans="1:37" x14ac:dyDescent="0.2">
      <c r="A1493">
        <v>60104</v>
      </c>
      <c r="B1493" t="s">
        <v>37</v>
      </c>
      <c r="C1493" t="s">
        <v>38</v>
      </c>
      <c r="D1493" t="s">
        <v>509</v>
      </c>
      <c r="E1493" t="s">
        <v>40</v>
      </c>
      <c r="G1493" s="4">
        <v>43947.0596875</v>
      </c>
      <c r="H1493" s="4">
        <v>43947.059930555556</v>
      </c>
      <c r="I1493" t="s">
        <v>510</v>
      </c>
      <c r="J1493" s="5">
        <v>21.00000000000000000000000000000000000004</v>
      </c>
      <c r="K1493" t="s">
        <v>38</v>
      </c>
      <c r="M1493">
        <v>60127</v>
      </c>
      <c r="N1493" t="s">
        <v>511</v>
      </c>
      <c r="O1493" t="s">
        <v>512</v>
      </c>
      <c r="P1493" t="s">
        <v>38</v>
      </c>
      <c r="Q1493" t="s">
        <v>88</v>
      </c>
      <c r="R1493">
        <v>2</v>
      </c>
      <c r="S1493" t="s">
        <v>45</v>
      </c>
      <c r="T1493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3">
        <v>60128</v>
      </c>
      <c r="V1493" t="s">
        <v>38</v>
      </c>
      <c r="W1493" t="s">
        <v>88</v>
      </c>
      <c r="X1493">
        <v>2</v>
      </c>
      <c r="Y1493">
        <v>2</v>
      </c>
      <c r="Z1493" t="s">
        <v>46</v>
      </c>
      <c r="AA1493">
        <v>60130</v>
      </c>
      <c r="AB1493" t="s">
        <v>514</v>
      </c>
      <c r="AC1493" t="s">
        <v>97</v>
      </c>
      <c r="AD1493" t="s">
        <v>38</v>
      </c>
      <c r="AE1493" t="s">
        <v>49</v>
      </c>
      <c r="AF1493" t="s">
        <v>50</v>
      </c>
      <c r="AG1493">
        <v>0</v>
      </c>
      <c r="AH1493">
        <v>0</v>
      </c>
      <c r="AI1493" t="s">
        <v>51</v>
      </c>
      <c r="AJ1493" t="s">
        <v>51</v>
      </c>
      <c r="AK1493" t="s">
        <v>51</v>
      </c>
    </row>
    <row r="1494" spans="1:37" x14ac:dyDescent="0.2">
      <c r="A1494">
        <v>60104</v>
      </c>
      <c r="B1494" t="s">
        <v>37</v>
      </c>
      <c r="C1494" t="s">
        <v>38</v>
      </c>
      <c r="D1494" t="s">
        <v>509</v>
      </c>
      <c r="E1494" t="s">
        <v>40</v>
      </c>
      <c r="G1494" s="4">
        <v>43947.0596875</v>
      </c>
      <c r="H1494" s="4">
        <v>43947.059930555556</v>
      </c>
      <c r="I1494" t="s">
        <v>510</v>
      </c>
      <c r="J1494" s="5">
        <v>21.00000000000000000000000000000000000004</v>
      </c>
      <c r="K1494" t="s">
        <v>38</v>
      </c>
      <c r="M1494">
        <v>60127</v>
      </c>
      <c r="N1494" t="s">
        <v>511</v>
      </c>
      <c r="O1494" t="s">
        <v>512</v>
      </c>
      <c r="P1494" t="s">
        <v>38</v>
      </c>
      <c r="Q1494" t="s">
        <v>88</v>
      </c>
      <c r="R1494">
        <v>2</v>
      </c>
      <c r="S1494" t="s">
        <v>45</v>
      </c>
      <c r="T1494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4">
        <v>60128</v>
      </c>
      <c r="V1494" t="s">
        <v>38</v>
      </c>
      <c r="W1494" t="s">
        <v>88</v>
      </c>
      <c r="X1494">
        <v>2</v>
      </c>
      <c r="Y1494">
        <v>2</v>
      </c>
      <c r="Z1494" t="s">
        <v>46</v>
      </c>
      <c r="AA1494">
        <v>60129</v>
      </c>
      <c r="AB1494" t="s">
        <v>1464</v>
      </c>
      <c r="AC1494" t="s">
        <v>56</v>
      </c>
      <c r="AD1494" t="s">
        <v>38</v>
      </c>
      <c r="AE1494" t="s">
        <v>49</v>
      </c>
      <c r="AF1494" t="s">
        <v>50</v>
      </c>
      <c r="AG1494">
        <v>0</v>
      </c>
      <c r="AH1494">
        <v>0</v>
      </c>
      <c r="AI1494" t="s">
        <v>51</v>
      </c>
      <c r="AJ1494" t="s">
        <v>51</v>
      </c>
      <c r="AK1494" t="s">
        <v>51</v>
      </c>
    </row>
    <row r="1495" spans="1:37" x14ac:dyDescent="0.2">
      <c r="A1495">
        <v>60104</v>
      </c>
      <c r="B1495" t="s">
        <v>37</v>
      </c>
      <c r="C1495" t="s">
        <v>38</v>
      </c>
      <c r="D1495" t="s">
        <v>509</v>
      </c>
      <c r="E1495" t="s">
        <v>40</v>
      </c>
      <c r="G1495" s="4">
        <v>43947.0596875</v>
      </c>
      <c r="H1495" s="4">
        <v>43947.059930555556</v>
      </c>
      <c r="I1495" t="s">
        <v>510</v>
      </c>
      <c r="J1495" s="5">
        <v>21.00000000000000000000000000000000000004</v>
      </c>
      <c r="K1495" t="s">
        <v>38</v>
      </c>
      <c r="M1495">
        <v>60123</v>
      </c>
      <c r="N1495" t="s">
        <v>516</v>
      </c>
      <c r="O1495" t="s">
        <v>517</v>
      </c>
      <c r="P1495" t="s">
        <v>38</v>
      </c>
      <c r="Q1495" t="s">
        <v>85</v>
      </c>
      <c r="R1495">
        <v>3</v>
      </c>
      <c r="S1495" t="s">
        <v>45</v>
      </c>
      <c r="T1495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5">
        <v>60124</v>
      </c>
      <c r="V1495" t="s">
        <v>38</v>
      </c>
      <c r="W1495" t="s">
        <v>85</v>
      </c>
      <c r="X1495">
        <v>3</v>
      </c>
      <c r="Y1495">
        <v>2</v>
      </c>
      <c r="Z1495" t="s">
        <v>46</v>
      </c>
      <c r="AA1495">
        <v>60126</v>
      </c>
      <c r="AB1495" t="s">
        <v>518</v>
      </c>
      <c r="AC1495" t="s">
        <v>97</v>
      </c>
      <c r="AD1495" t="s">
        <v>38</v>
      </c>
      <c r="AE1495" t="s">
        <v>49</v>
      </c>
      <c r="AF1495" t="s">
        <v>50</v>
      </c>
      <c r="AG1495">
        <v>0</v>
      </c>
      <c r="AH1495">
        <v>0</v>
      </c>
      <c r="AI1495" t="s">
        <v>51</v>
      </c>
      <c r="AJ1495" t="s">
        <v>51</v>
      </c>
      <c r="AK1495" t="s">
        <v>51</v>
      </c>
    </row>
    <row r="1496" spans="1:37" x14ac:dyDescent="0.2">
      <c r="A1496">
        <v>60104</v>
      </c>
      <c r="B1496" t="s">
        <v>37</v>
      </c>
      <c r="C1496" t="s">
        <v>38</v>
      </c>
      <c r="D1496" t="s">
        <v>509</v>
      </c>
      <c r="E1496" t="s">
        <v>40</v>
      </c>
      <c r="G1496" s="4">
        <v>43947.0596875</v>
      </c>
      <c r="H1496" s="4">
        <v>43947.059930555556</v>
      </c>
      <c r="I1496" t="s">
        <v>510</v>
      </c>
      <c r="J1496" s="5">
        <v>21.00000000000000000000000000000000000004</v>
      </c>
      <c r="K1496" t="s">
        <v>38</v>
      </c>
      <c r="M1496">
        <v>60123</v>
      </c>
      <c r="N1496" t="s">
        <v>516</v>
      </c>
      <c r="O1496" t="s">
        <v>517</v>
      </c>
      <c r="P1496" t="s">
        <v>38</v>
      </c>
      <c r="Q1496" t="s">
        <v>85</v>
      </c>
      <c r="R1496">
        <v>3</v>
      </c>
      <c r="S1496" t="s">
        <v>45</v>
      </c>
      <c r="T1496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6">
        <v>60124</v>
      </c>
      <c r="V1496" t="s">
        <v>38</v>
      </c>
      <c r="W1496" t="s">
        <v>85</v>
      </c>
      <c r="X1496">
        <v>3</v>
      </c>
      <c r="Y1496">
        <v>2</v>
      </c>
      <c r="Z1496" t="s">
        <v>46</v>
      </c>
      <c r="AA1496">
        <v>60125</v>
      </c>
      <c r="AB1496" t="s">
        <v>519</v>
      </c>
      <c r="AC1496" t="s">
        <v>56</v>
      </c>
      <c r="AD1496" t="s">
        <v>38</v>
      </c>
      <c r="AE1496" t="s">
        <v>49</v>
      </c>
      <c r="AF1496" t="s">
        <v>50</v>
      </c>
      <c r="AG1496">
        <v>0</v>
      </c>
      <c r="AH1496">
        <v>0</v>
      </c>
      <c r="AI1496" t="s">
        <v>51</v>
      </c>
      <c r="AJ1496" t="s">
        <v>51</v>
      </c>
      <c r="AK1496" t="s">
        <v>51</v>
      </c>
    </row>
    <row r="1497" spans="1:37" x14ac:dyDescent="0.2">
      <c r="A1497">
        <v>60104</v>
      </c>
      <c r="B1497" t="s">
        <v>37</v>
      </c>
      <c r="C1497" t="s">
        <v>38</v>
      </c>
      <c r="D1497" t="s">
        <v>509</v>
      </c>
      <c r="E1497" t="s">
        <v>40</v>
      </c>
      <c r="G1497" s="4">
        <v>43947.0596875</v>
      </c>
      <c r="H1497" s="4">
        <v>43947.059930555556</v>
      </c>
      <c r="I1497" t="s">
        <v>510</v>
      </c>
      <c r="J1497" s="5">
        <v>21.00000000000000000000000000000000000004</v>
      </c>
      <c r="K1497" t="s">
        <v>38</v>
      </c>
      <c r="M1497">
        <v>60120</v>
      </c>
      <c r="N1497" t="s">
        <v>520</v>
      </c>
      <c r="O1497" t="s">
        <v>521</v>
      </c>
      <c r="P1497" t="s">
        <v>38</v>
      </c>
      <c r="Q1497" t="s">
        <v>78</v>
      </c>
      <c r="R1497">
        <v>5</v>
      </c>
      <c r="S1497" t="s">
        <v>45</v>
      </c>
      <c r="T1497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7">
        <v>60121</v>
      </c>
      <c r="V1497" t="s">
        <v>38</v>
      </c>
      <c r="W1497" t="s">
        <v>78</v>
      </c>
      <c r="X1497">
        <v>5</v>
      </c>
      <c r="Y1497">
        <v>0</v>
      </c>
      <c r="Z1497" t="s">
        <v>46</v>
      </c>
      <c r="AA1497">
        <v>60122</v>
      </c>
      <c r="AB1497" t="s">
        <v>522</v>
      </c>
      <c r="AC1497" t="s">
        <v>97</v>
      </c>
      <c r="AD1497" t="s">
        <v>38</v>
      </c>
      <c r="AE1497" t="s">
        <v>523</v>
      </c>
      <c r="AF1497" t="s">
        <v>78</v>
      </c>
      <c r="AG1497">
        <v>5</v>
      </c>
      <c r="AH1497">
        <v>0</v>
      </c>
      <c r="AI1497" t="s">
        <v>524</v>
      </c>
      <c r="AJ1497" t="s">
        <v>51</v>
      </c>
      <c r="AK1497" t="s">
        <v>524</v>
      </c>
    </row>
    <row r="1498" spans="1:37" x14ac:dyDescent="0.2">
      <c r="A1498">
        <v>60104</v>
      </c>
      <c r="B1498" t="s">
        <v>37</v>
      </c>
      <c r="C1498" t="s">
        <v>38</v>
      </c>
      <c r="D1498" t="s">
        <v>509</v>
      </c>
      <c r="E1498" t="s">
        <v>40</v>
      </c>
      <c r="G1498" s="4">
        <v>43947.0596875</v>
      </c>
      <c r="H1498" s="4">
        <v>43947.059930555556</v>
      </c>
      <c r="I1498" t="s">
        <v>510</v>
      </c>
      <c r="J1498" s="5">
        <v>21.00000000000000000000000000000000000004</v>
      </c>
      <c r="K1498" t="s">
        <v>38</v>
      </c>
      <c r="M1498">
        <v>60117</v>
      </c>
      <c r="N1498" t="s">
        <v>525</v>
      </c>
      <c r="O1498" t="s">
        <v>526</v>
      </c>
      <c r="P1498" t="s">
        <v>38</v>
      </c>
      <c r="Q1498" t="s">
        <v>50</v>
      </c>
      <c r="R1498">
        <v>0</v>
      </c>
      <c r="S1498" t="s">
        <v>45</v>
      </c>
      <c r="T1498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8">
        <v>60118</v>
      </c>
      <c r="V1498" t="s">
        <v>38</v>
      </c>
      <c r="W1498" t="s">
        <v>50</v>
      </c>
      <c r="X1498">
        <v>0</v>
      </c>
      <c r="Y1498">
        <v>0</v>
      </c>
      <c r="Z1498" t="s">
        <v>46</v>
      </c>
      <c r="AA1498">
        <v>60119</v>
      </c>
      <c r="AB1498" t="s">
        <v>527</v>
      </c>
      <c r="AC1498" t="s">
        <v>97</v>
      </c>
      <c r="AD1498" t="s">
        <v>38</v>
      </c>
      <c r="AE1498" t="s">
        <v>49</v>
      </c>
      <c r="AF1498" t="s">
        <v>50</v>
      </c>
      <c r="AG1498">
        <v>0</v>
      </c>
      <c r="AH1498">
        <v>0</v>
      </c>
      <c r="AI1498" t="s">
        <v>51</v>
      </c>
      <c r="AJ1498" t="s">
        <v>51</v>
      </c>
      <c r="AK1498" t="s">
        <v>51</v>
      </c>
    </row>
    <row r="1499" spans="1:37" x14ac:dyDescent="0.2">
      <c r="A1499">
        <v>60104</v>
      </c>
      <c r="B1499" t="s">
        <v>37</v>
      </c>
      <c r="C1499" t="s">
        <v>38</v>
      </c>
      <c r="D1499" t="s">
        <v>509</v>
      </c>
      <c r="E1499" t="s">
        <v>40</v>
      </c>
      <c r="G1499" s="4">
        <v>43947.0596875</v>
      </c>
      <c r="H1499" s="4">
        <v>43947.059930555556</v>
      </c>
      <c r="I1499" t="s">
        <v>510</v>
      </c>
      <c r="J1499" s="5">
        <v>21.00000000000000000000000000000000000004</v>
      </c>
      <c r="K1499" t="s">
        <v>38</v>
      </c>
      <c r="M1499">
        <v>60110</v>
      </c>
      <c r="N1499" t="s">
        <v>528</v>
      </c>
      <c r="O1499" t="s">
        <v>529</v>
      </c>
      <c r="P1499" t="s">
        <v>38</v>
      </c>
      <c r="Q1499" t="s">
        <v>78</v>
      </c>
      <c r="R1499">
        <v>5</v>
      </c>
      <c r="S1499" t="s">
        <v>45</v>
      </c>
      <c r="T1499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499">
        <v>60111</v>
      </c>
      <c r="V1499" t="s">
        <v>38</v>
      </c>
      <c r="W1499" t="s">
        <v>78</v>
      </c>
      <c r="X1499">
        <v>5</v>
      </c>
      <c r="Y1499">
        <v>1</v>
      </c>
      <c r="Z1499" t="s">
        <v>46</v>
      </c>
      <c r="AA1499">
        <v>60116</v>
      </c>
      <c r="AB1499" t="s">
        <v>530</v>
      </c>
      <c r="AC1499" t="s">
        <v>56</v>
      </c>
      <c r="AD1499" t="s">
        <v>38</v>
      </c>
      <c r="AE1499" t="s">
        <v>49</v>
      </c>
      <c r="AF1499" t="s">
        <v>50</v>
      </c>
      <c r="AG1499">
        <v>0</v>
      </c>
      <c r="AH1499">
        <v>0</v>
      </c>
      <c r="AI1499" t="s">
        <v>51</v>
      </c>
      <c r="AJ1499" t="s">
        <v>51</v>
      </c>
      <c r="AK1499" t="s">
        <v>51</v>
      </c>
    </row>
    <row r="1500" spans="1:37" x14ac:dyDescent="0.2">
      <c r="A1500">
        <v>60104</v>
      </c>
      <c r="B1500" t="s">
        <v>37</v>
      </c>
      <c r="C1500" t="s">
        <v>38</v>
      </c>
      <c r="D1500" t="s">
        <v>509</v>
      </c>
      <c r="E1500" t="s">
        <v>40</v>
      </c>
      <c r="G1500" s="4">
        <v>43947.0596875</v>
      </c>
      <c r="H1500" s="4">
        <v>43947.059930555556</v>
      </c>
      <c r="I1500" t="s">
        <v>510</v>
      </c>
      <c r="J1500" s="5">
        <v>21.00000000000000000000000000000000000004</v>
      </c>
      <c r="K1500" t="s">
        <v>38</v>
      </c>
      <c r="M1500">
        <v>60110</v>
      </c>
      <c r="N1500" t="s">
        <v>528</v>
      </c>
      <c r="O1500" t="s">
        <v>529</v>
      </c>
      <c r="P1500" t="s">
        <v>38</v>
      </c>
      <c r="Q1500" t="s">
        <v>78</v>
      </c>
      <c r="R1500">
        <v>5</v>
      </c>
      <c r="S1500" t="s">
        <v>45</v>
      </c>
      <c r="T1500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0">
        <v>60111</v>
      </c>
      <c r="V1500" t="s">
        <v>38</v>
      </c>
      <c r="W1500" t="s">
        <v>78</v>
      </c>
      <c r="X1500">
        <v>5</v>
      </c>
      <c r="Y1500">
        <v>1</v>
      </c>
      <c r="Z1500" t="s">
        <v>46</v>
      </c>
      <c r="AA1500">
        <v>60115</v>
      </c>
      <c r="AB1500" t="s">
        <v>1465</v>
      </c>
      <c r="AC1500" t="s">
        <v>68</v>
      </c>
      <c r="AD1500" t="s">
        <v>38</v>
      </c>
      <c r="AE1500" t="s">
        <v>49</v>
      </c>
      <c r="AF1500" t="s">
        <v>50</v>
      </c>
      <c r="AG1500">
        <v>0</v>
      </c>
      <c r="AH1500">
        <v>0</v>
      </c>
      <c r="AI1500" t="s">
        <v>51</v>
      </c>
      <c r="AJ1500" t="s">
        <v>51</v>
      </c>
      <c r="AK1500" t="s">
        <v>51</v>
      </c>
    </row>
    <row r="1501" spans="1:37" x14ac:dyDescent="0.2">
      <c r="A1501">
        <v>60104</v>
      </c>
      <c r="B1501" t="s">
        <v>37</v>
      </c>
      <c r="C1501" t="s">
        <v>38</v>
      </c>
      <c r="D1501" t="s">
        <v>509</v>
      </c>
      <c r="E1501" t="s">
        <v>40</v>
      </c>
      <c r="G1501" s="4">
        <v>43947.0596875</v>
      </c>
      <c r="H1501" s="4">
        <v>43947.059930555556</v>
      </c>
      <c r="I1501" t="s">
        <v>510</v>
      </c>
      <c r="J1501" s="5">
        <v>21.00000000000000000000000000000000000004</v>
      </c>
      <c r="K1501" t="s">
        <v>38</v>
      </c>
      <c r="M1501">
        <v>60110</v>
      </c>
      <c r="N1501" t="s">
        <v>528</v>
      </c>
      <c r="O1501" t="s">
        <v>529</v>
      </c>
      <c r="P1501" t="s">
        <v>38</v>
      </c>
      <c r="Q1501" t="s">
        <v>78</v>
      </c>
      <c r="R1501">
        <v>5</v>
      </c>
      <c r="S1501" t="s">
        <v>45</v>
      </c>
      <c r="T1501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1">
        <v>60111</v>
      </c>
      <c r="V1501" t="s">
        <v>38</v>
      </c>
      <c r="W1501" t="s">
        <v>78</v>
      </c>
      <c r="X1501">
        <v>5</v>
      </c>
      <c r="Y1501">
        <v>1</v>
      </c>
      <c r="Z1501" t="s">
        <v>46</v>
      </c>
      <c r="AA1501">
        <v>60114</v>
      </c>
      <c r="AB1501" t="s">
        <v>532</v>
      </c>
      <c r="AC1501" t="s">
        <v>56</v>
      </c>
      <c r="AD1501" t="s">
        <v>38</v>
      </c>
      <c r="AE1501" t="s">
        <v>533</v>
      </c>
      <c r="AF1501" t="s">
        <v>44</v>
      </c>
      <c r="AG1501">
        <v>4</v>
      </c>
      <c r="AH1501">
        <v>0</v>
      </c>
      <c r="AI1501" t="s">
        <v>534</v>
      </c>
      <c r="AJ1501" t="s">
        <v>51</v>
      </c>
      <c r="AK1501" t="s">
        <v>534</v>
      </c>
    </row>
    <row r="1502" spans="1:37" x14ac:dyDescent="0.2">
      <c r="A1502">
        <v>60104</v>
      </c>
      <c r="B1502" t="s">
        <v>37</v>
      </c>
      <c r="C1502" t="s">
        <v>38</v>
      </c>
      <c r="D1502" t="s">
        <v>509</v>
      </c>
      <c r="E1502" t="s">
        <v>40</v>
      </c>
      <c r="G1502" s="4">
        <v>43947.0596875</v>
      </c>
      <c r="H1502" s="4">
        <v>43947.059930555556</v>
      </c>
      <c r="I1502" t="s">
        <v>510</v>
      </c>
      <c r="J1502" s="5">
        <v>21.00000000000000000000000000000000000004</v>
      </c>
      <c r="K1502" t="s">
        <v>38</v>
      </c>
      <c r="M1502">
        <v>60110</v>
      </c>
      <c r="N1502" t="s">
        <v>528</v>
      </c>
      <c r="O1502" t="s">
        <v>529</v>
      </c>
      <c r="P1502" t="s">
        <v>38</v>
      </c>
      <c r="Q1502" t="s">
        <v>78</v>
      </c>
      <c r="R1502">
        <v>5</v>
      </c>
      <c r="S1502" t="s">
        <v>45</v>
      </c>
      <c r="T1502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2">
        <v>60111</v>
      </c>
      <c r="V1502" t="s">
        <v>38</v>
      </c>
      <c r="W1502" t="s">
        <v>78</v>
      </c>
      <c r="X1502">
        <v>5</v>
      </c>
      <c r="Y1502">
        <v>1</v>
      </c>
      <c r="Z1502" t="s">
        <v>46</v>
      </c>
      <c r="AA1502">
        <v>60113</v>
      </c>
      <c r="AB1502" t="s">
        <v>535</v>
      </c>
      <c r="AC1502" t="s">
        <v>97</v>
      </c>
      <c r="AD1502" t="s">
        <v>38</v>
      </c>
      <c r="AE1502" t="s">
        <v>49</v>
      </c>
      <c r="AF1502" t="s">
        <v>50</v>
      </c>
      <c r="AG1502">
        <v>0</v>
      </c>
      <c r="AH1502">
        <v>0</v>
      </c>
      <c r="AI1502" t="s">
        <v>51</v>
      </c>
      <c r="AJ1502" t="s">
        <v>51</v>
      </c>
      <c r="AK1502" t="s">
        <v>51</v>
      </c>
    </row>
    <row r="1503" spans="1:37" x14ac:dyDescent="0.2">
      <c r="A1503">
        <v>60104</v>
      </c>
      <c r="B1503" t="s">
        <v>37</v>
      </c>
      <c r="C1503" t="s">
        <v>38</v>
      </c>
      <c r="D1503" t="s">
        <v>509</v>
      </c>
      <c r="E1503" t="s">
        <v>40</v>
      </c>
      <c r="G1503" s="4">
        <v>43947.0596875</v>
      </c>
      <c r="H1503" s="4">
        <v>43947.059930555556</v>
      </c>
      <c r="I1503" t="s">
        <v>510</v>
      </c>
      <c r="J1503" s="5">
        <v>21.00000000000000000000000000000000000004</v>
      </c>
      <c r="K1503" t="s">
        <v>38</v>
      </c>
      <c r="M1503">
        <v>60110</v>
      </c>
      <c r="N1503" t="s">
        <v>528</v>
      </c>
      <c r="O1503" t="s">
        <v>529</v>
      </c>
      <c r="P1503" t="s">
        <v>38</v>
      </c>
      <c r="Q1503" t="s">
        <v>78</v>
      </c>
      <c r="R1503">
        <v>5</v>
      </c>
      <c r="S1503" t="s">
        <v>45</v>
      </c>
      <c r="T1503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3">
        <v>60111</v>
      </c>
      <c r="V1503" t="s">
        <v>38</v>
      </c>
      <c r="W1503" t="s">
        <v>78</v>
      </c>
      <c r="X1503">
        <v>5</v>
      </c>
      <c r="Y1503">
        <v>1</v>
      </c>
      <c r="Z1503" t="s">
        <v>46</v>
      </c>
      <c r="AA1503">
        <v>60112</v>
      </c>
      <c r="AB1503" t="s">
        <v>536</v>
      </c>
      <c r="AC1503" t="s">
        <v>56</v>
      </c>
      <c r="AD1503" t="s">
        <v>38</v>
      </c>
      <c r="AE1503" t="s">
        <v>49</v>
      </c>
      <c r="AF1503" t="s">
        <v>50</v>
      </c>
      <c r="AG1503">
        <v>0</v>
      </c>
      <c r="AH1503">
        <v>0</v>
      </c>
      <c r="AI1503" t="s">
        <v>51</v>
      </c>
      <c r="AJ1503" t="s">
        <v>51</v>
      </c>
      <c r="AK1503" t="s">
        <v>51</v>
      </c>
    </row>
    <row r="1504" spans="1:37" x14ac:dyDescent="0.2">
      <c r="A1504">
        <v>60104</v>
      </c>
      <c r="B1504" t="s">
        <v>37</v>
      </c>
      <c r="C1504" t="s">
        <v>38</v>
      </c>
      <c r="D1504" t="s">
        <v>509</v>
      </c>
      <c r="E1504" t="s">
        <v>40</v>
      </c>
      <c r="G1504" s="4">
        <v>43947.0596875</v>
      </c>
      <c r="H1504" s="4">
        <v>43947.059930555556</v>
      </c>
      <c r="I1504" t="s">
        <v>510</v>
      </c>
      <c r="J1504" s="5">
        <v>21.00000000000000000000000000000000000004</v>
      </c>
      <c r="K1504" t="s">
        <v>38</v>
      </c>
      <c r="M1504">
        <v>60105</v>
      </c>
      <c r="N1504" t="s">
        <v>537</v>
      </c>
      <c r="O1504" t="s">
        <v>538</v>
      </c>
      <c r="P1504" t="s">
        <v>38</v>
      </c>
      <c r="Q1504" t="s">
        <v>78</v>
      </c>
      <c r="R1504">
        <v>5</v>
      </c>
      <c r="S1504" t="s">
        <v>45</v>
      </c>
      <c r="T1504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4">
        <v>60106</v>
      </c>
      <c r="V1504" t="s">
        <v>38</v>
      </c>
      <c r="W1504" t="s">
        <v>78</v>
      </c>
      <c r="X1504">
        <v>5</v>
      </c>
      <c r="Y1504">
        <v>3</v>
      </c>
      <c r="Z1504" t="s">
        <v>46</v>
      </c>
      <c r="AA1504">
        <v>60109</v>
      </c>
      <c r="AB1504" t="s">
        <v>539</v>
      </c>
      <c r="AC1504" t="s">
        <v>56</v>
      </c>
      <c r="AD1504" t="s">
        <v>38</v>
      </c>
      <c r="AE1504" t="s">
        <v>540</v>
      </c>
      <c r="AF1504" t="s">
        <v>50</v>
      </c>
      <c r="AG1504">
        <v>.9999999999999999999999999999999999999996</v>
      </c>
      <c r="AH1504">
        <v>1</v>
      </c>
      <c r="AI1504" t="s">
        <v>541</v>
      </c>
      <c r="AJ1504" t="s">
        <v>51</v>
      </c>
      <c r="AK1504" t="s">
        <v>541</v>
      </c>
    </row>
    <row r="1505" spans="1:37" x14ac:dyDescent="0.2">
      <c r="A1505">
        <v>60104</v>
      </c>
      <c r="B1505" t="s">
        <v>37</v>
      </c>
      <c r="C1505" t="s">
        <v>38</v>
      </c>
      <c r="D1505" t="s">
        <v>509</v>
      </c>
      <c r="E1505" t="s">
        <v>40</v>
      </c>
      <c r="G1505" s="4">
        <v>43947.0596875</v>
      </c>
      <c r="H1505" s="4">
        <v>43947.059930555556</v>
      </c>
      <c r="I1505" t="s">
        <v>510</v>
      </c>
      <c r="J1505" s="5">
        <v>21.00000000000000000000000000000000000004</v>
      </c>
      <c r="K1505" t="s">
        <v>38</v>
      </c>
      <c r="M1505">
        <v>60105</v>
      </c>
      <c r="N1505" t="s">
        <v>537</v>
      </c>
      <c r="O1505" t="s">
        <v>538</v>
      </c>
      <c r="P1505" t="s">
        <v>38</v>
      </c>
      <c r="Q1505" t="s">
        <v>78</v>
      </c>
      <c r="R1505">
        <v>5</v>
      </c>
      <c r="S1505" t="s">
        <v>45</v>
      </c>
      <c r="T1505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5">
        <v>60106</v>
      </c>
      <c r="V1505" t="s">
        <v>38</v>
      </c>
      <c r="W1505" t="s">
        <v>78</v>
      </c>
      <c r="X1505">
        <v>5</v>
      </c>
      <c r="Y1505">
        <v>3</v>
      </c>
      <c r="Z1505" t="s">
        <v>46</v>
      </c>
      <c r="AA1505">
        <v>60108</v>
      </c>
      <c r="AB1505" t="s">
        <v>542</v>
      </c>
      <c r="AC1505" t="s">
        <v>97</v>
      </c>
      <c r="AD1505" t="s">
        <v>38</v>
      </c>
      <c r="AE1505" t="s">
        <v>49</v>
      </c>
      <c r="AF1505" t="s">
        <v>50</v>
      </c>
      <c r="AG1505">
        <v>0</v>
      </c>
      <c r="AH1505">
        <v>0</v>
      </c>
      <c r="AI1505" t="s">
        <v>51</v>
      </c>
      <c r="AJ1505" t="s">
        <v>51</v>
      </c>
      <c r="AK1505" t="s">
        <v>51</v>
      </c>
    </row>
    <row r="1506" spans="1:37" x14ac:dyDescent="0.2">
      <c r="A1506">
        <v>60104</v>
      </c>
      <c r="B1506" t="s">
        <v>37</v>
      </c>
      <c r="C1506" t="s">
        <v>38</v>
      </c>
      <c r="D1506" t="s">
        <v>509</v>
      </c>
      <c r="E1506" t="s">
        <v>40</v>
      </c>
      <c r="G1506" s="4">
        <v>43947.0596875</v>
      </c>
      <c r="H1506" s="4">
        <v>43947.059930555556</v>
      </c>
      <c r="I1506" t="s">
        <v>510</v>
      </c>
      <c r="J1506" s="5">
        <v>21.00000000000000000000000000000000000004</v>
      </c>
      <c r="K1506" t="s">
        <v>38</v>
      </c>
      <c r="M1506">
        <v>60105</v>
      </c>
      <c r="N1506" t="s">
        <v>537</v>
      </c>
      <c r="O1506" t="s">
        <v>538</v>
      </c>
      <c r="P1506" t="s">
        <v>38</v>
      </c>
      <c r="Q1506" t="s">
        <v>78</v>
      </c>
      <c r="R1506">
        <v>5</v>
      </c>
      <c r="S1506" t="s">
        <v>45</v>
      </c>
      <c r="T1506" t="str" s="2">
        <f>=HYPERLINK("http://demo.enginatics.com:80/ecc/user/applications/log/60104.log","http://demo.enginatics.com:80/ecc/user/applications/log/60104.log")</f>
        <v>"http://demo.enginatics.com:80/ecc/user/applications/log/60104.log")</v>
      </c>
      <c r="U1506">
        <v>60106</v>
      </c>
      <c r="V1506" t="s">
        <v>38</v>
      </c>
      <c r="W1506" t="s">
        <v>78</v>
      </c>
      <c r="X1506">
        <v>5</v>
      </c>
      <c r="Y1506">
        <v>3</v>
      </c>
      <c r="Z1506" t="s">
        <v>46</v>
      </c>
      <c r="AA1506">
        <v>60107</v>
      </c>
      <c r="AB1506" t="s">
        <v>543</v>
      </c>
      <c r="AC1506" t="s">
        <v>56</v>
      </c>
      <c r="AD1506" t="s">
        <v>38</v>
      </c>
      <c r="AE1506" t="s">
        <v>49</v>
      </c>
      <c r="AF1506" t="s">
        <v>50</v>
      </c>
      <c r="AG1506">
        <v>0</v>
      </c>
      <c r="AH1506">
        <v>0</v>
      </c>
      <c r="AI1506" t="s">
        <v>51</v>
      </c>
      <c r="AJ1506" t="s">
        <v>51</v>
      </c>
      <c r="AK1506" t="s">
        <v>51</v>
      </c>
    </row>
    <row r="1507" spans="1:37" x14ac:dyDescent="0.2">
      <c r="A1507">
        <v>60095</v>
      </c>
      <c r="B1507" t="s">
        <v>37</v>
      </c>
      <c r="C1507" t="s">
        <v>38</v>
      </c>
      <c r="D1507" t="s">
        <v>544</v>
      </c>
      <c r="E1507" t="s">
        <v>40</v>
      </c>
      <c r="G1507" s="4">
        <v>43947.058032407407</v>
      </c>
      <c r="H1507" s="4">
        <v>43947.058055555556</v>
      </c>
      <c r="I1507" t="s">
        <v>88</v>
      </c>
      <c r="J1507" s="5">
        <v>2</v>
      </c>
      <c r="K1507" t="s">
        <v>38</v>
      </c>
      <c r="M1507">
        <v>60100</v>
      </c>
      <c r="N1507" t="s">
        <v>545</v>
      </c>
      <c r="O1507" t="s">
        <v>546</v>
      </c>
      <c r="P1507" t="s">
        <v>38</v>
      </c>
      <c r="Q1507" t="s">
        <v>50</v>
      </c>
      <c r="R1507">
        <v>.9999999999999999999999999999999999999996</v>
      </c>
      <c r="S1507" t="s">
        <v>45</v>
      </c>
      <c r="T1507" t="str" s="2">
        <f>=HYPERLINK("http://demo.enginatics.com:80/ecc/user/applications/log/60095.log","http://demo.enginatics.com:80/ecc/user/applications/log/60095.log")</f>
        <v>"http://demo.enginatics.com:80/ecc/user/applications/log/60095.log")</v>
      </c>
      <c r="U1507">
        <v>60101</v>
      </c>
      <c r="V1507" t="s">
        <v>38</v>
      </c>
      <c r="W1507" t="s">
        <v>50</v>
      </c>
      <c r="X1507">
        <v>.9999999999999999999999999999999999999996</v>
      </c>
      <c r="Y1507">
        <v>0</v>
      </c>
      <c r="Z1507" t="s">
        <v>46</v>
      </c>
      <c r="AA1507">
        <v>60103</v>
      </c>
      <c r="AB1507" t="s">
        <v>547</v>
      </c>
      <c r="AC1507" t="s">
        <v>56</v>
      </c>
      <c r="AD1507" t="s">
        <v>38</v>
      </c>
      <c r="AE1507" t="s">
        <v>49</v>
      </c>
      <c r="AF1507" t="s">
        <v>50</v>
      </c>
      <c r="AG1507">
        <v>0</v>
      </c>
      <c r="AH1507">
        <v>0</v>
      </c>
      <c r="AI1507" t="s">
        <v>51</v>
      </c>
      <c r="AJ1507" t="s">
        <v>51</v>
      </c>
      <c r="AK1507" t="s">
        <v>51</v>
      </c>
    </row>
    <row r="1508" spans="1:37" x14ac:dyDescent="0.2">
      <c r="A1508">
        <v>60095</v>
      </c>
      <c r="B1508" t="s">
        <v>37</v>
      </c>
      <c r="C1508" t="s">
        <v>38</v>
      </c>
      <c r="D1508" t="s">
        <v>544</v>
      </c>
      <c r="E1508" t="s">
        <v>40</v>
      </c>
      <c r="G1508" s="4">
        <v>43947.058032407407</v>
      </c>
      <c r="H1508" s="4">
        <v>43947.058055555556</v>
      </c>
      <c r="I1508" t="s">
        <v>88</v>
      </c>
      <c r="J1508" s="5">
        <v>2</v>
      </c>
      <c r="K1508" t="s">
        <v>38</v>
      </c>
      <c r="M1508">
        <v>60100</v>
      </c>
      <c r="N1508" t="s">
        <v>545</v>
      </c>
      <c r="O1508" t="s">
        <v>546</v>
      </c>
      <c r="P1508" t="s">
        <v>38</v>
      </c>
      <c r="Q1508" t="s">
        <v>50</v>
      </c>
      <c r="R1508">
        <v>.9999999999999999999999999999999999999996</v>
      </c>
      <c r="S1508" t="s">
        <v>45</v>
      </c>
      <c r="T1508" t="str" s="2">
        <f>=HYPERLINK("http://demo.enginatics.com:80/ecc/user/applications/log/60095.log","http://demo.enginatics.com:80/ecc/user/applications/log/60095.log")</f>
        <v>"http://demo.enginatics.com:80/ecc/user/applications/log/60095.log")</v>
      </c>
      <c r="U1508">
        <v>60101</v>
      </c>
      <c r="V1508" t="s">
        <v>38</v>
      </c>
      <c r="W1508" t="s">
        <v>50</v>
      </c>
      <c r="X1508">
        <v>.9999999999999999999999999999999999999996</v>
      </c>
      <c r="Y1508">
        <v>0</v>
      </c>
      <c r="Z1508" t="s">
        <v>46</v>
      </c>
      <c r="AA1508">
        <v>60102</v>
      </c>
      <c r="AB1508" t="s">
        <v>548</v>
      </c>
      <c r="AC1508" t="s">
        <v>68</v>
      </c>
      <c r="AD1508" t="s">
        <v>38</v>
      </c>
      <c r="AE1508" t="s">
        <v>49</v>
      </c>
      <c r="AF1508" t="s">
        <v>50</v>
      </c>
      <c r="AG1508">
        <v>.9999999999999999999999999999999999999996</v>
      </c>
      <c r="AH1508">
        <v>0</v>
      </c>
      <c r="AI1508" t="s">
        <v>51</v>
      </c>
      <c r="AJ1508" t="s">
        <v>51</v>
      </c>
      <c r="AK1508" t="s">
        <v>51</v>
      </c>
    </row>
    <row r="1509" spans="1:37" x14ac:dyDescent="0.2">
      <c r="A1509">
        <v>60095</v>
      </c>
      <c r="B1509" t="s">
        <v>37</v>
      </c>
      <c r="C1509" t="s">
        <v>38</v>
      </c>
      <c r="D1509" t="s">
        <v>544</v>
      </c>
      <c r="E1509" t="s">
        <v>40</v>
      </c>
      <c r="G1509" s="4">
        <v>43947.058032407407</v>
      </c>
      <c r="H1509" s="4">
        <v>43947.058055555556</v>
      </c>
      <c r="I1509" t="s">
        <v>88</v>
      </c>
      <c r="J1509" s="5">
        <v>2</v>
      </c>
      <c r="K1509" t="s">
        <v>38</v>
      </c>
      <c r="M1509">
        <v>60096</v>
      </c>
      <c r="N1509" t="s">
        <v>549</v>
      </c>
      <c r="O1509" t="s">
        <v>550</v>
      </c>
      <c r="P1509" t="s">
        <v>38</v>
      </c>
      <c r="Q1509" t="s">
        <v>50</v>
      </c>
      <c r="R1509">
        <v>.9999999999999999999999999999999999999996</v>
      </c>
      <c r="S1509" t="s">
        <v>45</v>
      </c>
      <c r="T1509" t="str" s="2">
        <f>=HYPERLINK("http://demo.enginatics.com:80/ecc/user/applications/log/60095.log","http://demo.enginatics.com:80/ecc/user/applications/log/60095.log")</f>
        <v>"http://demo.enginatics.com:80/ecc/user/applications/log/60095.log")</v>
      </c>
      <c r="U1509">
        <v>60097</v>
      </c>
      <c r="V1509" t="s">
        <v>38</v>
      </c>
      <c r="W1509" t="s">
        <v>50</v>
      </c>
      <c r="X1509">
        <v>.9999999999999999999999999999999999999996</v>
      </c>
      <c r="Y1509">
        <v>0</v>
      </c>
      <c r="Z1509" t="s">
        <v>46</v>
      </c>
      <c r="AA1509">
        <v>60099</v>
      </c>
      <c r="AB1509" t="s">
        <v>551</v>
      </c>
      <c r="AC1509" t="s">
        <v>56</v>
      </c>
      <c r="AD1509" t="s">
        <v>38</v>
      </c>
      <c r="AE1509" t="s">
        <v>49</v>
      </c>
      <c r="AF1509" t="s">
        <v>50</v>
      </c>
      <c r="AG1509">
        <v>0</v>
      </c>
      <c r="AH1509">
        <v>0</v>
      </c>
      <c r="AI1509" t="s">
        <v>51</v>
      </c>
      <c r="AJ1509" t="s">
        <v>51</v>
      </c>
      <c r="AK1509" t="s">
        <v>51</v>
      </c>
    </row>
    <row r="1510" spans="1:37" x14ac:dyDescent="0.2">
      <c r="A1510">
        <v>60095</v>
      </c>
      <c r="B1510" t="s">
        <v>37</v>
      </c>
      <c r="C1510" t="s">
        <v>38</v>
      </c>
      <c r="D1510" t="s">
        <v>544</v>
      </c>
      <c r="E1510" t="s">
        <v>40</v>
      </c>
      <c r="G1510" s="4">
        <v>43947.058032407407</v>
      </c>
      <c r="H1510" s="4">
        <v>43947.058055555556</v>
      </c>
      <c r="I1510" t="s">
        <v>88</v>
      </c>
      <c r="J1510" s="5">
        <v>2</v>
      </c>
      <c r="K1510" t="s">
        <v>38</v>
      </c>
      <c r="M1510">
        <v>60096</v>
      </c>
      <c r="N1510" t="s">
        <v>549</v>
      </c>
      <c r="O1510" t="s">
        <v>550</v>
      </c>
      <c r="P1510" t="s">
        <v>38</v>
      </c>
      <c r="Q1510" t="s">
        <v>50</v>
      </c>
      <c r="R1510">
        <v>.9999999999999999999999999999999999999996</v>
      </c>
      <c r="S1510" t="s">
        <v>45</v>
      </c>
      <c r="T1510" t="str" s="2">
        <f>=HYPERLINK("http://demo.enginatics.com:80/ecc/user/applications/log/60095.log","http://demo.enginatics.com:80/ecc/user/applications/log/60095.log")</f>
        <v>"http://demo.enginatics.com:80/ecc/user/applications/log/60095.log")</v>
      </c>
      <c r="U1510">
        <v>60097</v>
      </c>
      <c r="V1510" t="s">
        <v>38</v>
      </c>
      <c r="W1510" t="s">
        <v>50</v>
      </c>
      <c r="X1510">
        <v>.9999999999999999999999999999999999999996</v>
      </c>
      <c r="Y1510">
        <v>0</v>
      </c>
      <c r="Z1510" t="s">
        <v>46</v>
      </c>
      <c r="AA1510">
        <v>60098</v>
      </c>
      <c r="AB1510" t="s">
        <v>552</v>
      </c>
      <c r="AC1510" t="s">
        <v>68</v>
      </c>
      <c r="AD1510" t="s">
        <v>38</v>
      </c>
      <c r="AE1510" t="s">
        <v>49</v>
      </c>
      <c r="AF1510" t="s">
        <v>50</v>
      </c>
      <c r="AG1510">
        <v>.9999999999999999999999999999999999999996</v>
      </c>
      <c r="AH1510">
        <v>0</v>
      </c>
      <c r="AI1510" t="s">
        <v>51</v>
      </c>
      <c r="AJ1510" t="s">
        <v>51</v>
      </c>
      <c r="AK1510" t="s">
        <v>51</v>
      </c>
    </row>
    <row r="1511" spans="1:37" x14ac:dyDescent="0.2">
      <c r="A1511">
        <v>60064</v>
      </c>
      <c r="B1511" t="s">
        <v>37</v>
      </c>
      <c r="C1511" t="s">
        <v>38</v>
      </c>
      <c r="D1511" t="s">
        <v>553</v>
      </c>
      <c r="E1511" t="s">
        <v>578</v>
      </c>
      <c r="G1511" s="4">
        <v>43947.043888888889</v>
      </c>
      <c r="H1511" s="4">
        <v>43947.043923611111</v>
      </c>
      <c r="I1511" t="s">
        <v>85</v>
      </c>
      <c r="J1511" s="5">
        <v>3</v>
      </c>
      <c r="K1511" t="s">
        <v>38</v>
      </c>
      <c r="M1511">
        <v>60091</v>
      </c>
      <c r="N1511" t="s">
        <v>578</v>
      </c>
      <c r="O1511" t="s">
        <v>579</v>
      </c>
      <c r="P1511" t="s">
        <v>38</v>
      </c>
      <c r="Q1511" t="s">
        <v>50</v>
      </c>
      <c r="R1511">
        <v>0</v>
      </c>
      <c r="S1511" t="s">
        <v>45</v>
      </c>
      <c r="T1511" t="str" s="2">
        <f>=HYPERLINK("http://demo.enginatics.com:80/ecc/user/applications/log/60064.log","http://demo.enginatics.com:80/ecc/user/applications/log/60064.log")</f>
        <v>"http://demo.enginatics.com:80/ecc/user/applications/log/60064.log")</v>
      </c>
      <c r="U1511">
        <v>60092</v>
      </c>
      <c r="V1511" t="s">
        <v>38</v>
      </c>
      <c r="W1511" t="s">
        <v>50</v>
      </c>
      <c r="X1511">
        <v>0</v>
      </c>
      <c r="Y1511">
        <v>0</v>
      </c>
      <c r="Z1511" t="s">
        <v>46</v>
      </c>
      <c r="AA1511">
        <v>60094</v>
      </c>
      <c r="AB1511" t="s">
        <v>580</v>
      </c>
      <c r="AC1511" t="s">
        <v>48</v>
      </c>
      <c r="AD1511" t="s">
        <v>38</v>
      </c>
      <c r="AE1511" t="s">
        <v>49</v>
      </c>
      <c r="AF1511" t="s">
        <v>50</v>
      </c>
      <c r="AG1511">
        <v>0</v>
      </c>
      <c r="AH1511">
        <v>0</v>
      </c>
      <c r="AI1511" t="s">
        <v>51</v>
      </c>
      <c r="AJ1511" t="s">
        <v>51</v>
      </c>
      <c r="AK1511" t="s">
        <v>51</v>
      </c>
    </row>
    <row r="1512" spans="1:37" x14ac:dyDescent="0.2">
      <c r="A1512">
        <v>60063</v>
      </c>
      <c r="B1512" t="s">
        <v>37</v>
      </c>
      <c r="C1512" t="s">
        <v>38</v>
      </c>
      <c r="D1512" t="s">
        <v>553</v>
      </c>
      <c r="E1512" t="s">
        <v>566</v>
      </c>
      <c r="G1512" s="4">
        <v>43947.043888888889</v>
      </c>
      <c r="H1512" s="4">
        <v>43947.043935185185</v>
      </c>
      <c r="I1512" t="s">
        <v>44</v>
      </c>
      <c r="J1512" s="5">
        <v>4</v>
      </c>
      <c r="K1512" t="s">
        <v>38</v>
      </c>
      <c r="M1512">
        <v>60089</v>
      </c>
      <c r="N1512" t="s">
        <v>566</v>
      </c>
      <c r="O1512" t="s">
        <v>567</v>
      </c>
      <c r="P1512" t="s">
        <v>38</v>
      </c>
      <c r="Q1512" t="s">
        <v>50</v>
      </c>
      <c r="R1512">
        <v>0</v>
      </c>
      <c r="S1512" t="s">
        <v>45</v>
      </c>
      <c r="T1512" t="str" s="2">
        <f>=HYPERLINK("http://demo.enginatics.com:80/ecc/user/applications/log/60063.log","http://demo.enginatics.com:80/ecc/user/applications/log/60063.log")</f>
        <v>"http://demo.enginatics.com:80/ecc/user/applications/log/60063.log")</v>
      </c>
      <c r="U1512">
        <v>60090</v>
      </c>
      <c r="V1512" t="s">
        <v>38</v>
      </c>
      <c r="W1512" t="s">
        <v>50</v>
      </c>
      <c r="X1512">
        <v>0</v>
      </c>
      <c r="Y1512">
        <v>0</v>
      </c>
      <c r="Z1512" t="s">
        <v>46</v>
      </c>
      <c r="AA1512">
        <v>60093</v>
      </c>
      <c r="AB1512" t="s">
        <v>568</v>
      </c>
      <c r="AC1512" t="s">
        <v>48</v>
      </c>
      <c r="AD1512" t="s">
        <v>38</v>
      </c>
      <c r="AE1512" t="s">
        <v>49</v>
      </c>
      <c r="AF1512" t="s">
        <v>50</v>
      </c>
      <c r="AG1512">
        <v>0</v>
      </c>
      <c r="AH1512">
        <v>0</v>
      </c>
      <c r="AI1512" t="s">
        <v>51</v>
      </c>
      <c r="AJ1512" t="s">
        <v>51</v>
      </c>
      <c r="AK1512" t="s">
        <v>51</v>
      </c>
    </row>
    <row r="1513" spans="1:37" x14ac:dyDescent="0.2">
      <c r="A1513">
        <v>60059</v>
      </c>
      <c r="B1513" t="s">
        <v>37</v>
      </c>
      <c r="C1513" t="s">
        <v>38</v>
      </c>
      <c r="D1513" t="s">
        <v>553</v>
      </c>
      <c r="E1513" t="s">
        <v>554</v>
      </c>
      <c r="G1513" s="4">
        <v>43947.043888888889</v>
      </c>
      <c r="H1513" s="4">
        <v>43947.043923611111</v>
      </c>
      <c r="I1513" t="s">
        <v>85</v>
      </c>
      <c r="J1513" s="5">
        <v>3</v>
      </c>
      <c r="K1513" t="s">
        <v>38</v>
      </c>
      <c r="M1513">
        <v>60086</v>
      </c>
      <c r="N1513" t="s">
        <v>554</v>
      </c>
      <c r="O1513" t="s">
        <v>555</v>
      </c>
      <c r="P1513" t="s">
        <v>38</v>
      </c>
      <c r="Q1513" t="s">
        <v>50</v>
      </c>
      <c r="R1513">
        <v>.9999999999999999999999999999999999999996</v>
      </c>
      <c r="S1513" t="s">
        <v>45</v>
      </c>
      <c r="T1513" t="str" s="2">
        <f>=HYPERLINK("http://demo.enginatics.com:80/ecc/user/applications/log/60059.log","http://demo.enginatics.com:80/ecc/user/applications/log/60059.log")</f>
        <v>"http://demo.enginatics.com:80/ecc/user/applications/log/60059.log")</v>
      </c>
      <c r="U1513">
        <v>60087</v>
      </c>
      <c r="V1513" t="s">
        <v>38</v>
      </c>
      <c r="W1513" t="s">
        <v>50</v>
      </c>
      <c r="X1513">
        <v>.9999999999999999999999999999999999999996</v>
      </c>
      <c r="Y1513">
        <v>0</v>
      </c>
      <c r="Z1513" t="s">
        <v>46</v>
      </c>
      <c r="AA1513">
        <v>60088</v>
      </c>
      <c r="AB1513" t="s">
        <v>556</v>
      </c>
      <c r="AC1513" t="s">
        <v>48</v>
      </c>
      <c r="AD1513" t="s">
        <v>38</v>
      </c>
      <c r="AE1513" t="s">
        <v>49</v>
      </c>
      <c r="AF1513" t="s">
        <v>50</v>
      </c>
      <c r="AG1513">
        <v>.9999999999999999999999999999999999999996</v>
      </c>
      <c r="AH1513">
        <v>0</v>
      </c>
      <c r="AI1513" t="s">
        <v>51</v>
      </c>
      <c r="AJ1513" t="s">
        <v>51</v>
      </c>
      <c r="AK1513" t="s">
        <v>51</v>
      </c>
    </row>
    <row r="1514" spans="1:37" x14ac:dyDescent="0.2">
      <c r="A1514">
        <v>60058</v>
      </c>
      <c r="B1514" t="s">
        <v>37</v>
      </c>
      <c r="C1514" t="s">
        <v>38</v>
      </c>
      <c r="D1514" t="s">
        <v>553</v>
      </c>
      <c r="E1514" t="s">
        <v>569</v>
      </c>
      <c r="G1514" s="4">
        <v>43947.043888888889</v>
      </c>
      <c r="H1514" s="4">
        <v>43947.043923611111</v>
      </c>
      <c r="I1514" t="s">
        <v>85</v>
      </c>
      <c r="J1514" s="5">
        <v>3</v>
      </c>
      <c r="K1514" t="s">
        <v>38</v>
      </c>
      <c r="M1514">
        <v>60083</v>
      </c>
      <c r="N1514" t="s">
        <v>569</v>
      </c>
      <c r="O1514" t="s">
        <v>570</v>
      </c>
      <c r="P1514" t="s">
        <v>38</v>
      </c>
      <c r="Q1514" t="s">
        <v>50</v>
      </c>
      <c r="R1514">
        <v>.9999999999999999999999999999999999999996</v>
      </c>
      <c r="S1514" t="s">
        <v>45</v>
      </c>
      <c r="T1514" t="str" s="2">
        <f>=HYPERLINK("http://demo.enginatics.com:80/ecc/user/applications/log/60058.log","http://demo.enginatics.com:80/ecc/user/applications/log/60058.log")</f>
        <v>"http://demo.enginatics.com:80/ecc/user/applications/log/60058.log")</v>
      </c>
      <c r="U1514">
        <v>60084</v>
      </c>
      <c r="V1514" t="s">
        <v>38</v>
      </c>
      <c r="W1514" t="s">
        <v>50</v>
      </c>
      <c r="X1514">
        <v>.9999999999999999999999999999999999999996</v>
      </c>
      <c r="Y1514">
        <v>0</v>
      </c>
      <c r="Z1514" t="s">
        <v>46</v>
      </c>
      <c r="AA1514">
        <v>60085</v>
      </c>
      <c r="AB1514" t="s">
        <v>571</v>
      </c>
      <c r="AC1514" t="s">
        <v>48</v>
      </c>
      <c r="AD1514" t="s">
        <v>38</v>
      </c>
      <c r="AE1514" t="s">
        <v>49</v>
      </c>
      <c r="AF1514" t="s">
        <v>50</v>
      </c>
      <c r="AG1514">
        <v>.9999999999999999999999999999999999999996</v>
      </c>
      <c r="AH1514">
        <v>0</v>
      </c>
      <c r="AI1514" t="s">
        <v>51</v>
      </c>
      <c r="AJ1514" t="s">
        <v>51</v>
      </c>
      <c r="AK1514" t="s">
        <v>51</v>
      </c>
    </row>
    <row r="1515" spans="1:37" x14ac:dyDescent="0.2">
      <c r="A1515">
        <v>60057</v>
      </c>
      <c r="B1515" t="s">
        <v>37</v>
      </c>
      <c r="C1515" t="s">
        <v>38</v>
      </c>
      <c r="D1515" t="s">
        <v>553</v>
      </c>
      <c r="E1515" t="s">
        <v>590</v>
      </c>
      <c r="G1515" s="4">
        <v>43947.043877314815</v>
      </c>
      <c r="H1515" s="4">
        <v>43947.043912037037</v>
      </c>
      <c r="I1515" t="s">
        <v>85</v>
      </c>
      <c r="J1515" s="5">
        <v>3</v>
      </c>
      <c r="K1515" t="s">
        <v>38</v>
      </c>
      <c r="M1515">
        <v>60080</v>
      </c>
      <c r="N1515" t="s">
        <v>590</v>
      </c>
      <c r="O1515" t="s">
        <v>591</v>
      </c>
      <c r="P1515" t="s">
        <v>38</v>
      </c>
      <c r="Q1515" t="s">
        <v>50</v>
      </c>
      <c r="R1515">
        <v>0</v>
      </c>
      <c r="S1515" t="s">
        <v>45</v>
      </c>
      <c r="T1515" t="str" s="2">
        <f>=HYPERLINK("http://demo.enginatics.com:80/ecc/user/applications/log/60057.log","http://demo.enginatics.com:80/ecc/user/applications/log/60057.log")</f>
        <v>"http://demo.enginatics.com:80/ecc/user/applications/log/60057.log")</v>
      </c>
      <c r="U1515">
        <v>60081</v>
      </c>
      <c r="V1515" t="s">
        <v>38</v>
      </c>
      <c r="W1515" t="s">
        <v>50</v>
      </c>
      <c r="X1515">
        <v>0</v>
      </c>
      <c r="Y1515">
        <v>0</v>
      </c>
      <c r="Z1515" t="s">
        <v>46</v>
      </c>
      <c r="AA1515">
        <v>60082</v>
      </c>
      <c r="AB1515" t="s">
        <v>592</v>
      </c>
      <c r="AC1515" t="s">
        <v>48</v>
      </c>
      <c r="AD1515" t="s">
        <v>38</v>
      </c>
      <c r="AE1515" t="s">
        <v>49</v>
      </c>
      <c r="AF1515" t="s">
        <v>50</v>
      </c>
      <c r="AG1515">
        <v>0</v>
      </c>
      <c r="AH1515">
        <v>0</v>
      </c>
      <c r="AI1515" t="s">
        <v>51</v>
      </c>
      <c r="AJ1515" t="s">
        <v>51</v>
      </c>
      <c r="AK1515" t="s">
        <v>51</v>
      </c>
    </row>
    <row r="1516" spans="1:37" x14ac:dyDescent="0.2">
      <c r="A1516">
        <v>60056</v>
      </c>
      <c r="B1516" t="s">
        <v>37</v>
      </c>
      <c r="C1516" t="s">
        <v>38</v>
      </c>
      <c r="D1516" t="s">
        <v>553</v>
      </c>
      <c r="E1516" t="s">
        <v>581</v>
      </c>
      <c r="G1516" s="4">
        <v>43947.043877314815</v>
      </c>
      <c r="H1516" s="4">
        <v>43947.043912037037</v>
      </c>
      <c r="I1516" t="s">
        <v>85</v>
      </c>
      <c r="J1516" s="5">
        <v>3</v>
      </c>
      <c r="K1516" t="s">
        <v>38</v>
      </c>
      <c r="M1516">
        <v>60077</v>
      </c>
      <c r="N1516" t="s">
        <v>581</v>
      </c>
      <c r="O1516" t="s">
        <v>582</v>
      </c>
      <c r="P1516" t="s">
        <v>38</v>
      </c>
      <c r="Q1516" t="s">
        <v>50</v>
      </c>
      <c r="R1516">
        <v>.9999999999999999999999999999999999999996</v>
      </c>
      <c r="S1516" t="s">
        <v>45</v>
      </c>
      <c r="T1516" t="str" s="2">
        <f>=HYPERLINK("http://demo.enginatics.com:80/ecc/user/applications/log/60056.log","http://demo.enginatics.com:80/ecc/user/applications/log/60056.log")</f>
        <v>"http://demo.enginatics.com:80/ecc/user/applications/log/60056.log")</v>
      </c>
      <c r="U1516">
        <v>60078</v>
      </c>
      <c r="V1516" t="s">
        <v>38</v>
      </c>
      <c r="W1516" t="s">
        <v>50</v>
      </c>
      <c r="X1516">
        <v>.9999999999999999999999999999999999999996</v>
      </c>
      <c r="Y1516">
        <v>0</v>
      </c>
      <c r="Z1516" t="s">
        <v>46</v>
      </c>
      <c r="AA1516">
        <v>60079</v>
      </c>
      <c r="AB1516" t="s">
        <v>583</v>
      </c>
      <c r="AC1516" t="s">
        <v>48</v>
      </c>
      <c r="AD1516" t="s">
        <v>38</v>
      </c>
      <c r="AE1516" t="s">
        <v>49</v>
      </c>
      <c r="AF1516" t="s">
        <v>50</v>
      </c>
      <c r="AG1516">
        <v>.9999999999999999999999999999999999999996</v>
      </c>
      <c r="AH1516">
        <v>0</v>
      </c>
      <c r="AI1516" t="s">
        <v>51</v>
      </c>
      <c r="AJ1516" t="s">
        <v>51</v>
      </c>
      <c r="AK1516" t="s">
        <v>51</v>
      </c>
    </row>
    <row r="1517" spans="1:37" x14ac:dyDescent="0.2">
      <c r="A1517">
        <v>60052</v>
      </c>
      <c r="B1517" t="s">
        <v>37</v>
      </c>
      <c r="C1517" t="s">
        <v>38</v>
      </c>
      <c r="D1517" t="s">
        <v>553</v>
      </c>
      <c r="E1517" t="s">
        <v>584</v>
      </c>
      <c r="G1517" s="4">
        <v>43947.043877314815</v>
      </c>
      <c r="H1517" s="4">
        <v>43947.043912037037</v>
      </c>
      <c r="I1517" t="s">
        <v>85</v>
      </c>
      <c r="J1517" s="5">
        <v>3</v>
      </c>
      <c r="K1517" t="s">
        <v>38</v>
      </c>
      <c r="M1517">
        <v>60074</v>
      </c>
      <c r="N1517" t="s">
        <v>584</v>
      </c>
      <c r="O1517" t="s">
        <v>585</v>
      </c>
      <c r="P1517" t="s">
        <v>38</v>
      </c>
      <c r="Q1517" t="s">
        <v>50</v>
      </c>
      <c r="R1517">
        <v>.9999999999999999999999999999999999999996</v>
      </c>
      <c r="S1517" t="s">
        <v>45</v>
      </c>
      <c r="T1517" t="str" s="2">
        <f>=HYPERLINK("http://demo.enginatics.com:80/ecc/user/applications/log/60052.log","http://demo.enginatics.com:80/ecc/user/applications/log/60052.log")</f>
        <v>"http://demo.enginatics.com:80/ecc/user/applications/log/60052.log")</v>
      </c>
      <c r="U1517">
        <v>60075</v>
      </c>
      <c r="V1517" t="s">
        <v>38</v>
      </c>
      <c r="W1517" t="s">
        <v>50</v>
      </c>
      <c r="X1517">
        <v>.9999999999999999999999999999999999999996</v>
      </c>
      <c r="Y1517">
        <v>0</v>
      </c>
      <c r="Z1517" t="s">
        <v>46</v>
      </c>
      <c r="AA1517">
        <v>60076</v>
      </c>
      <c r="AB1517" t="s">
        <v>586</v>
      </c>
      <c r="AC1517" t="s">
        <v>48</v>
      </c>
      <c r="AD1517" t="s">
        <v>38</v>
      </c>
      <c r="AE1517" t="s">
        <v>49</v>
      </c>
      <c r="AF1517" t="s">
        <v>50</v>
      </c>
      <c r="AG1517">
        <v>.9999999999999999999999999999999999999996</v>
      </c>
      <c r="AH1517">
        <v>0</v>
      </c>
      <c r="AI1517" t="s">
        <v>51</v>
      </c>
      <c r="AJ1517" t="s">
        <v>51</v>
      </c>
      <c r="AK1517" t="s">
        <v>51</v>
      </c>
    </row>
    <row r="1518" spans="1:37" x14ac:dyDescent="0.2">
      <c r="A1518">
        <v>60051</v>
      </c>
      <c r="B1518" t="s">
        <v>37</v>
      </c>
      <c r="C1518" t="s">
        <v>38</v>
      </c>
      <c r="D1518" t="s">
        <v>553</v>
      </c>
      <c r="E1518" t="s">
        <v>557</v>
      </c>
      <c r="G1518" s="4">
        <v>43947.043877314815</v>
      </c>
      <c r="H1518" s="4">
        <v>43947.043900462963</v>
      </c>
      <c r="I1518" t="s">
        <v>88</v>
      </c>
      <c r="J1518" s="5">
        <v>2</v>
      </c>
      <c r="K1518" t="s">
        <v>38</v>
      </c>
      <c r="M1518">
        <v>60071</v>
      </c>
      <c r="N1518" t="s">
        <v>557</v>
      </c>
      <c r="O1518" t="s">
        <v>558</v>
      </c>
      <c r="P1518" t="s">
        <v>38</v>
      </c>
      <c r="Q1518" t="s">
        <v>50</v>
      </c>
      <c r="R1518">
        <v>0</v>
      </c>
      <c r="S1518" t="s">
        <v>45</v>
      </c>
      <c r="T1518" t="str" s="2">
        <f>=HYPERLINK("http://demo.enginatics.com:80/ecc/user/applications/log/60051.log","http://demo.enginatics.com:80/ecc/user/applications/log/60051.log")</f>
        <v>"http://demo.enginatics.com:80/ecc/user/applications/log/60051.log")</v>
      </c>
      <c r="U1518">
        <v>60072</v>
      </c>
      <c r="V1518" t="s">
        <v>38</v>
      </c>
      <c r="W1518" t="s">
        <v>50</v>
      </c>
      <c r="X1518">
        <v>0</v>
      </c>
      <c r="Y1518">
        <v>0</v>
      </c>
      <c r="Z1518" t="s">
        <v>46</v>
      </c>
      <c r="AA1518">
        <v>60073</v>
      </c>
      <c r="AB1518" t="s">
        <v>559</v>
      </c>
      <c r="AC1518" t="s">
        <v>48</v>
      </c>
      <c r="AD1518" t="s">
        <v>38</v>
      </c>
      <c r="AE1518" t="s">
        <v>49</v>
      </c>
      <c r="AF1518" t="s">
        <v>50</v>
      </c>
      <c r="AG1518">
        <v>0</v>
      </c>
      <c r="AH1518">
        <v>0</v>
      </c>
      <c r="AI1518" t="s">
        <v>51</v>
      </c>
      <c r="AJ1518" t="s">
        <v>51</v>
      </c>
      <c r="AK1518" t="s">
        <v>51</v>
      </c>
    </row>
    <row r="1519" spans="1:37" x14ac:dyDescent="0.2">
      <c r="A1519">
        <v>60045</v>
      </c>
      <c r="B1519" t="s">
        <v>37</v>
      </c>
      <c r="C1519" t="s">
        <v>38</v>
      </c>
      <c r="D1519" t="s">
        <v>553</v>
      </c>
      <c r="E1519" t="s">
        <v>572</v>
      </c>
      <c r="G1519" s="4">
        <v>43947.043865740741</v>
      </c>
      <c r="H1519" s="4">
        <v>43947.043900462963</v>
      </c>
      <c r="I1519" t="s">
        <v>85</v>
      </c>
      <c r="J1519" s="5">
        <v>3</v>
      </c>
      <c r="K1519" t="s">
        <v>38</v>
      </c>
      <c r="M1519">
        <v>60068</v>
      </c>
      <c r="N1519" t="s">
        <v>572</v>
      </c>
      <c r="O1519" t="s">
        <v>573</v>
      </c>
      <c r="P1519" t="s">
        <v>38</v>
      </c>
      <c r="Q1519" t="s">
        <v>50</v>
      </c>
      <c r="R1519">
        <v>0</v>
      </c>
      <c r="S1519" t="s">
        <v>45</v>
      </c>
      <c r="T1519" t="str" s="2">
        <f>=HYPERLINK("http://demo.enginatics.com:80/ecc/user/applications/log/60045.log","http://demo.enginatics.com:80/ecc/user/applications/log/60045.log")</f>
        <v>"http://demo.enginatics.com:80/ecc/user/applications/log/60045.log")</v>
      </c>
      <c r="U1519">
        <v>60069</v>
      </c>
      <c r="V1519" t="s">
        <v>38</v>
      </c>
      <c r="W1519" t="s">
        <v>50</v>
      </c>
      <c r="X1519">
        <v>0</v>
      </c>
      <c r="Y1519">
        <v>0</v>
      </c>
      <c r="Z1519" t="s">
        <v>46</v>
      </c>
      <c r="AA1519">
        <v>60070</v>
      </c>
      <c r="AB1519" t="s">
        <v>574</v>
      </c>
      <c r="AC1519" t="s">
        <v>48</v>
      </c>
      <c r="AD1519" t="s">
        <v>38</v>
      </c>
      <c r="AE1519" t="s">
        <v>49</v>
      </c>
      <c r="AF1519" t="s">
        <v>50</v>
      </c>
      <c r="AG1519">
        <v>0</v>
      </c>
      <c r="AH1519">
        <v>0</v>
      </c>
      <c r="AI1519" t="s">
        <v>51</v>
      </c>
      <c r="AJ1519" t="s">
        <v>51</v>
      </c>
      <c r="AK1519" t="s">
        <v>51</v>
      </c>
    </row>
    <row r="1520" spans="1:37" x14ac:dyDescent="0.2">
      <c r="A1520">
        <v>60043</v>
      </c>
      <c r="B1520" t="s">
        <v>37</v>
      </c>
      <c r="C1520" t="s">
        <v>38</v>
      </c>
      <c r="D1520" t="s">
        <v>553</v>
      </c>
      <c r="E1520" t="s">
        <v>560</v>
      </c>
      <c r="G1520" s="4">
        <v>43947.043865740741</v>
      </c>
      <c r="H1520" s="4">
        <v>43947.043900462963</v>
      </c>
      <c r="I1520" t="s">
        <v>85</v>
      </c>
      <c r="J1520" s="5">
        <v>3</v>
      </c>
      <c r="K1520" t="s">
        <v>38</v>
      </c>
      <c r="M1520">
        <v>60065</v>
      </c>
      <c r="N1520" t="s">
        <v>560</v>
      </c>
      <c r="O1520" t="s">
        <v>561</v>
      </c>
      <c r="P1520" t="s">
        <v>38</v>
      </c>
      <c r="Q1520" t="s">
        <v>50</v>
      </c>
      <c r="R1520">
        <v>.9999999999999999999999999999999999999996</v>
      </c>
      <c r="S1520" t="s">
        <v>45</v>
      </c>
      <c r="T1520" t="str" s="2">
        <f>=HYPERLINK("http://demo.enginatics.com:80/ecc/user/applications/log/60043.log","http://demo.enginatics.com:80/ecc/user/applications/log/60043.log")</f>
        <v>"http://demo.enginatics.com:80/ecc/user/applications/log/60043.log")</v>
      </c>
      <c r="U1520">
        <v>60066</v>
      </c>
      <c r="V1520" t="s">
        <v>38</v>
      </c>
      <c r="W1520" t="s">
        <v>50</v>
      </c>
      <c r="X1520">
        <v>.9999999999999999999999999999999999999996</v>
      </c>
      <c r="Y1520">
        <v>0</v>
      </c>
      <c r="Z1520" t="s">
        <v>46</v>
      </c>
      <c r="AA1520">
        <v>60067</v>
      </c>
      <c r="AB1520" t="s">
        <v>562</v>
      </c>
      <c r="AC1520" t="s">
        <v>48</v>
      </c>
      <c r="AD1520" t="s">
        <v>38</v>
      </c>
      <c r="AE1520" t="s">
        <v>49</v>
      </c>
      <c r="AF1520" t="s">
        <v>50</v>
      </c>
      <c r="AG1520">
        <v>0</v>
      </c>
      <c r="AH1520">
        <v>0</v>
      </c>
      <c r="AI1520" t="s">
        <v>51</v>
      </c>
      <c r="AJ1520" t="s">
        <v>51</v>
      </c>
      <c r="AK1520" t="s">
        <v>51</v>
      </c>
    </row>
    <row r="1521" spans="1:37" x14ac:dyDescent="0.2">
      <c r="A1521">
        <v>60042</v>
      </c>
      <c r="B1521" t="s">
        <v>37</v>
      </c>
      <c r="C1521" t="s">
        <v>38</v>
      </c>
      <c r="D1521" t="s">
        <v>553</v>
      </c>
      <c r="E1521" t="s">
        <v>575</v>
      </c>
      <c r="G1521" s="4">
        <v>43947.043865740741</v>
      </c>
      <c r="H1521" s="4">
        <v>43947.043900462963</v>
      </c>
      <c r="I1521" t="s">
        <v>85</v>
      </c>
      <c r="J1521" s="5">
        <v>3</v>
      </c>
      <c r="K1521" t="s">
        <v>38</v>
      </c>
      <c r="M1521">
        <v>60060</v>
      </c>
      <c r="N1521" t="s">
        <v>575</v>
      </c>
      <c r="O1521" t="s">
        <v>576</v>
      </c>
      <c r="P1521" t="s">
        <v>38</v>
      </c>
      <c r="Q1521" t="s">
        <v>50</v>
      </c>
      <c r="R1521">
        <v>.9999999999999999999999999999999999999996</v>
      </c>
      <c r="S1521" t="s">
        <v>45</v>
      </c>
      <c r="T1521" t="str" s="2">
        <f>=HYPERLINK("http://demo.enginatics.com:80/ecc/user/applications/log/60042.log","http://demo.enginatics.com:80/ecc/user/applications/log/60042.log")</f>
        <v>"http://demo.enginatics.com:80/ecc/user/applications/log/60042.log")</v>
      </c>
      <c r="U1521">
        <v>60061</v>
      </c>
      <c r="V1521" t="s">
        <v>38</v>
      </c>
      <c r="W1521" t="s">
        <v>50</v>
      </c>
      <c r="X1521">
        <v>.9999999999999999999999999999999999999996</v>
      </c>
      <c r="Y1521">
        <v>0</v>
      </c>
      <c r="Z1521" t="s">
        <v>46</v>
      </c>
      <c r="AA1521">
        <v>60062</v>
      </c>
      <c r="AB1521" t="s">
        <v>577</v>
      </c>
      <c r="AC1521" t="s">
        <v>48</v>
      </c>
      <c r="AD1521" t="s">
        <v>38</v>
      </c>
      <c r="AE1521" t="s">
        <v>49</v>
      </c>
      <c r="AF1521" t="s">
        <v>50</v>
      </c>
      <c r="AG1521">
        <v>.9999999999999999999999999999999999999996</v>
      </c>
      <c r="AH1521">
        <v>0</v>
      </c>
      <c r="AI1521" t="s">
        <v>51</v>
      </c>
      <c r="AJ1521" t="s">
        <v>51</v>
      </c>
      <c r="AK1521" t="s">
        <v>51</v>
      </c>
    </row>
    <row r="1522" spans="1:37" x14ac:dyDescent="0.2">
      <c r="A1522">
        <v>60041</v>
      </c>
      <c r="B1522" t="s">
        <v>37</v>
      </c>
      <c r="C1522" t="s">
        <v>38</v>
      </c>
      <c r="D1522" t="s">
        <v>553</v>
      </c>
      <c r="E1522" t="s">
        <v>587</v>
      </c>
      <c r="G1522" s="4">
        <v>43947.043865740741</v>
      </c>
      <c r="H1522" s="4">
        <v>43947.043888888889</v>
      </c>
      <c r="I1522" t="s">
        <v>88</v>
      </c>
      <c r="J1522" s="5">
        <v>2</v>
      </c>
      <c r="K1522" t="s">
        <v>38</v>
      </c>
      <c r="M1522">
        <v>60053</v>
      </c>
      <c r="N1522" t="s">
        <v>587</v>
      </c>
      <c r="O1522" t="s">
        <v>588</v>
      </c>
      <c r="P1522" t="s">
        <v>38</v>
      </c>
      <c r="Q1522" t="s">
        <v>50</v>
      </c>
      <c r="R1522">
        <v>.9999999999999999999999999999999999999996</v>
      </c>
      <c r="S1522" t="s">
        <v>45</v>
      </c>
      <c r="T1522" t="str" s="2">
        <f>=HYPERLINK("http://demo.enginatics.com:80/ecc/user/applications/log/60041.log","http://demo.enginatics.com:80/ecc/user/applications/log/60041.log")</f>
        <v>"http://demo.enginatics.com:80/ecc/user/applications/log/60041.log")</v>
      </c>
      <c r="U1522">
        <v>60054</v>
      </c>
      <c r="V1522" t="s">
        <v>38</v>
      </c>
      <c r="W1522" t="s">
        <v>50</v>
      </c>
      <c r="X1522">
        <v>.9999999999999999999999999999999999999996</v>
      </c>
      <c r="Y1522">
        <v>0</v>
      </c>
      <c r="Z1522" t="s">
        <v>46</v>
      </c>
      <c r="AA1522">
        <v>60055</v>
      </c>
      <c r="AB1522" t="s">
        <v>589</v>
      </c>
      <c r="AC1522" t="s">
        <v>48</v>
      </c>
      <c r="AD1522" t="s">
        <v>38</v>
      </c>
      <c r="AE1522" t="s">
        <v>49</v>
      </c>
      <c r="AF1522" t="s">
        <v>50</v>
      </c>
      <c r="AG1522">
        <v>.9999999999999999999999999999999999999996</v>
      </c>
      <c r="AH1522">
        <v>0</v>
      </c>
      <c r="AI1522" t="s">
        <v>51</v>
      </c>
      <c r="AJ1522" t="s">
        <v>51</v>
      </c>
      <c r="AK1522" t="s">
        <v>51</v>
      </c>
    </row>
    <row r="1523" spans="1:37" x14ac:dyDescent="0.2">
      <c r="A1523">
        <v>60040</v>
      </c>
      <c r="B1523" t="s">
        <v>37</v>
      </c>
      <c r="C1523" t="s">
        <v>38</v>
      </c>
      <c r="D1523" t="s">
        <v>553</v>
      </c>
      <c r="E1523" t="s">
        <v>563</v>
      </c>
      <c r="G1523" s="4">
        <v>43947.043865740741</v>
      </c>
      <c r="H1523" s="4">
        <v>43947.043877314815</v>
      </c>
      <c r="I1523" t="s">
        <v>50</v>
      </c>
      <c r="J1523" s="5">
        <v>.9999999999999999999999999999999999999996</v>
      </c>
      <c r="K1523" t="s">
        <v>38</v>
      </c>
      <c r="M1523">
        <v>60047</v>
      </c>
      <c r="N1523" t="s">
        <v>563</v>
      </c>
      <c r="O1523" t="s">
        <v>564</v>
      </c>
      <c r="P1523" t="s">
        <v>38</v>
      </c>
      <c r="Q1523" t="s">
        <v>50</v>
      </c>
      <c r="R1523">
        <v>.9999999999999999999999999999999999999996</v>
      </c>
      <c r="S1523" t="s">
        <v>45</v>
      </c>
      <c r="T1523" t="str" s="2">
        <f>=HYPERLINK("http://demo.enginatics.com:80/ecc/user/applications/log/60040.log","http://demo.enginatics.com:80/ecc/user/applications/log/60040.log")</f>
        <v>"http://demo.enginatics.com:80/ecc/user/applications/log/60040.log")</v>
      </c>
      <c r="U1523">
        <v>60048</v>
      </c>
      <c r="V1523" t="s">
        <v>38</v>
      </c>
      <c r="W1523" t="s">
        <v>50</v>
      </c>
      <c r="X1523">
        <v>.9999999999999999999999999999999999999996</v>
      </c>
      <c r="Y1523">
        <v>0</v>
      </c>
      <c r="Z1523" t="s">
        <v>46</v>
      </c>
      <c r="AA1523">
        <v>60049</v>
      </c>
      <c r="AB1523" t="s">
        <v>565</v>
      </c>
      <c r="AC1523" t="s">
        <v>48</v>
      </c>
      <c r="AD1523" t="s">
        <v>38</v>
      </c>
      <c r="AE1523" t="s">
        <v>49</v>
      </c>
      <c r="AF1523" t="s">
        <v>50</v>
      </c>
      <c r="AG1523">
        <v>.9999999999999999999999999999999999999996</v>
      </c>
      <c r="AH1523">
        <v>0</v>
      </c>
      <c r="AI1523" t="s">
        <v>51</v>
      </c>
      <c r="AJ1523" t="s">
        <v>51</v>
      </c>
      <c r="AK1523" t="s">
        <v>51</v>
      </c>
    </row>
    <row r="1524" spans="1:37" x14ac:dyDescent="0.2">
      <c r="A1524">
        <v>60039</v>
      </c>
      <c r="B1524" t="s">
        <v>37</v>
      </c>
      <c r="C1524" t="s">
        <v>38</v>
      </c>
      <c r="D1524" t="s">
        <v>553</v>
      </c>
      <c r="E1524" t="s">
        <v>593</v>
      </c>
      <c r="G1524" s="4">
        <v>43947.043865740741</v>
      </c>
      <c r="H1524" s="4">
        <v>43947.043888888889</v>
      </c>
      <c r="I1524" t="s">
        <v>88</v>
      </c>
      <c r="J1524" s="5">
        <v>2</v>
      </c>
      <c r="K1524" t="s">
        <v>38</v>
      </c>
      <c r="M1524">
        <v>60044</v>
      </c>
      <c r="N1524" t="s">
        <v>593</v>
      </c>
      <c r="O1524" t="s">
        <v>594</v>
      </c>
      <c r="P1524" t="s">
        <v>38</v>
      </c>
      <c r="Q1524" t="s">
        <v>88</v>
      </c>
      <c r="R1524">
        <v>2</v>
      </c>
      <c r="S1524" t="s">
        <v>45</v>
      </c>
      <c r="T1524" t="str" s="2">
        <f>=HYPERLINK("http://demo.enginatics.com:80/ecc/user/applications/log/60039.log","http://demo.enginatics.com:80/ecc/user/applications/log/60039.log")</f>
        <v>"http://demo.enginatics.com:80/ecc/user/applications/log/60039.log")</v>
      </c>
      <c r="U1524">
        <v>60046</v>
      </c>
      <c r="V1524" t="s">
        <v>38</v>
      </c>
      <c r="W1524" t="s">
        <v>88</v>
      </c>
      <c r="X1524">
        <v>2</v>
      </c>
      <c r="Y1524">
        <v>0</v>
      </c>
      <c r="Z1524" t="s">
        <v>46</v>
      </c>
      <c r="AA1524">
        <v>60050</v>
      </c>
      <c r="AB1524" t="s">
        <v>1466</v>
      </c>
      <c r="AC1524" t="s">
        <v>48</v>
      </c>
      <c r="AD1524" t="s">
        <v>38</v>
      </c>
      <c r="AE1524" t="s">
        <v>49</v>
      </c>
      <c r="AF1524" t="s">
        <v>88</v>
      </c>
      <c r="AG1524">
        <v>2</v>
      </c>
      <c r="AH1524">
        <v>2</v>
      </c>
      <c r="AI1524" t="s">
        <v>51</v>
      </c>
      <c r="AJ1524" t="s">
        <v>51</v>
      </c>
      <c r="AK1524" t="s">
        <v>51</v>
      </c>
    </row>
    <row r="1525" spans="1:37" x14ac:dyDescent="0.2">
      <c r="A1525">
        <v>60035</v>
      </c>
      <c r="B1525" t="s">
        <v>37</v>
      </c>
      <c r="C1525" t="s">
        <v>38</v>
      </c>
      <c r="D1525" t="s">
        <v>553</v>
      </c>
      <c r="E1525" t="s">
        <v>596</v>
      </c>
      <c r="G1525" s="4">
        <v>43947.043784722222</v>
      </c>
      <c r="H1525" s="4">
        <v>43947.043842592593</v>
      </c>
      <c r="I1525" t="s">
        <v>78</v>
      </c>
      <c r="J1525" s="5">
        <v>5</v>
      </c>
      <c r="K1525" t="s">
        <v>38</v>
      </c>
      <c r="M1525">
        <v>60036</v>
      </c>
      <c r="N1525" t="s">
        <v>596</v>
      </c>
      <c r="O1525" t="s">
        <v>597</v>
      </c>
      <c r="P1525" t="s">
        <v>38</v>
      </c>
      <c r="Q1525" t="s">
        <v>78</v>
      </c>
      <c r="R1525">
        <v>5</v>
      </c>
      <c r="S1525" t="s">
        <v>45</v>
      </c>
      <c r="T1525" t="str" s="2">
        <f>=HYPERLINK("http://demo.enginatics.com:80/ecc/user/applications/log/60035.log","http://demo.enginatics.com:80/ecc/user/applications/log/60035.log")</f>
        <v>"http://demo.enginatics.com:80/ecc/user/applications/log/60035.log")</v>
      </c>
      <c r="U1525">
        <v>60037</v>
      </c>
      <c r="V1525" t="s">
        <v>38</v>
      </c>
      <c r="W1525" t="s">
        <v>78</v>
      </c>
      <c r="X1525">
        <v>5</v>
      </c>
      <c r="Y1525">
        <v>0</v>
      </c>
      <c r="Z1525" t="s">
        <v>46</v>
      </c>
      <c r="AA1525">
        <v>60038</v>
      </c>
      <c r="AB1525" t="s">
        <v>1467</v>
      </c>
      <c r="AC1525" t="s">
        <v>48</v>
      </c>
      <c r="AD1525" t="s">
        <v>38</v>
      </c>
      <c r="AE1525" t="s">
        <v>49</v>
      </c>
      <c r="AF1525" t="s">
        <v>44</v>
      </c>
      <c r="AG1525">
        <v>4</v>
      </c>
      <c r="AH1525">
        <v>4</v>
      </c>
      <c r="AI1525" t="s">
        <v>51</v>
      </c>
      <c r="AJ1525" t="s">
        <v>51</v>
      </c>
      <c r="AK1525" t="s">
        <v>51</v>
      </c>
    </row>
    <row r="1526" spans="1:37" x14ac:dyDescent="0.2">
      <c r="A1526">
        <v>60031</v>
      </c>
      <c r="B1526" t="s">
        <v>37</v>
      </c>
      <c r="C1526" t="s">
        <v>38</v>
      </c>
      <c r="D1526" t="s">
        <v>83</v>
      </c>
      <c r="E1526" t="s">
        <v>599</v>
      </c>
      <c r="G1526" s="4">
        <v>43947.042974537037</v>
      </c>
      <c r="H1526" s="4">
        <v>43947.042997685185</v>
      </c>
      <c r="I1526" t="s">
        <v>88</v>
      </c>
      <c r="J1526" s="5">
        <v>2</v>
      </c>
      <c r="K1526" t="s">
        <v>38</v>
      </c>
      <c r="M1526">
        <v>60032</v>
      </c>
      <c r="N1526" t="s">
        <v>599</v>
      </c>
      <c r="O1526" t="s">
        <v>600</v>
      </c>
      <c r="P1526" t="s">
        <v>38</v>
      </c>
      <c r="Q1526" t="s">
        <v>88</v>
      </c>
      <c r="R1526">
        <v>2</v>
      </c>
      <c r="S1526" t="s">
        <v>45</v>
      </c>
      <c r="T1526" t="str" s="2">
        <f>=HYPERLINK("http://demo.enginatics.com:80/ecc/user/applications/log/60031.log","http://demo.enginatics.com:80/ecc/user/applications/log/60031.log")</f>
        <v>"http://demo.enginatics.com:80/ecc/user/applications/log/60031.log")</v>
      </c>
      <c r="U1526">
        <v>60033</v>
      </c>
      <c r="V1526" t="s">
        <v>38</v>
      </c>
      <c r="W1526" t="s">
        <v>88</v>
      </c>
      <c r="X1526">
        <v>2</v>
      </c>
      <c r="Y1526">
        <v>0</v>
      </c>
      <c r="Z1526" t="s">
        <v>46</v>
      </c>
      <c r="AA1526">
        <v>60034</v>
      </c>
      <c r="AB1526" t="s">
        <v>1468</v>
      </c>
      <c r="AC1526" t="s">
        <v>68</v>
      </c>
      <c r="AD1526" t="s">
        <v>38</v>
      </c>
      <c r="AE1526" t="s">
        <v>49</v>
      </c>
      <c r="AF1526" t="s">
        <v>88</v>
      </c>
      <c r="AG1526">
        <v>2</v>
      </c>
      <c r="AH1526">
        <v>2</v>
      </c>
      <c r="AI1526" t="s">
        <v>51</v>
      </c>
      <c r="AJ1526" t="s">
        <v>51</v>
      </c>
      <c r="AK1526" t="s">
        <v>51</v>
      </c>
    </row>
    <row r="1527" spans="1:37" x14ac:dyDescent="0.2">
      <c r="A1527">
        <v>60027</v>
      </c>
      <c r="B1527" t="s">
        <v>37</v>
      </c>
      <c r="C1527" t="s">
        <v>38</v>
      </c>
      <c r="D1527" t="s">
        <v>602</v>
      </c>
      <c r="E1527" t="s">
        <v>603</v>
      </c>
      <c r="G1527" s="4">
        <v>43947.032175925926</v>
      </c>
      <c r="H1527" s="4">
        <v>43947.032222222222</v>
      </c>
      <c r="I1527" t="s">
        <v>44</v>
      </c>
      <c r="J1527" s="5">
        <v>4</v>
      </c>
      <c r="K1527" t="s">
        <v>38</v>
      </c>
      <c r="M1527">
        <v>60028</v>
      </c>
      <c r="N1527" t="s">
        <v>603</v>
      </c>
      <c r="O1527" t="s">
        <v>604</v>
      </c>
      <c r="P1527" t="s">
        <v>38</v>
      </c>
      <c r="Q1527" t="s">
        <v>44</v>
      </c>
      <c r="R1527">
        <v>4</v>
      </c>
      <c r="S1527" t="s">
        <v>45</v>
      </c>
      <c r="T1527" t="str" s="2">
        <f>=HYPERLINK("http://demo.enginatics.com:80/ecc/user/applications/log/60027.log","http://demo.enginatics.com:80/ecc/user/applications/log/60027.log")</f>
        <v>"http://demo.enginatics.com:80/ecc/user/applications/log/60027.log")</v>
      </c>
      <c r="U1527">
        <v>60029</v>
      </c>
      <c r="V1527" t="s">
        <v>38</v>
      </c>
      <c r="W1527" t="s">
        <v>44</v>
      </c>
      <c r="X1527">
        <v>4</v>
      </c>
      <c r="Y1527">
        <v>0</v>
      </c>
      <c r="Z1527" t="s">
        <v>46</v>
      </c>
      <c r="AA1527">
        <v>60030</v>
      </c>
      <c r="AB1527" t="s">
        <v>605</v>
      </c>
      <c r="AC1527" t="s">
        <v>68</v>
      </c>
      <c r="AD1527" t="s">
        <v>38</v>
      </c>
      <c r="AE1527" t="s">
        <v>49</v>
      </c>
      <c r="AF1527" t="s">
        <v>44</v>
      </c>
      <c r="AG1527">
        <v>4</v>
      </c>
      <c r="AH1527">
        <v>3</v>
      </c>
      <c r="AI1527" t="s">
        <v>51</v>
      </c>
      <c r="AJ1527" t="s">
        <v>51</v>
      </c>
      <c r="AK1527" t="s">
        <v>51</v>
      </c>
    </row>
    <row r="1528" spans="1:37" x14ac:dyDescent="0.2">
      <c r="A1528">
        <v>60022</v>
      </c>
      <c r="B1528" t="s">
        <v>37</v>
      </c>
      <c r="C1528" t="s">
        <v>38</v>
      </c>
      <c r="D1528" t="s">
        <v>606</v>
      </c>
      <c r="E1528" t="s">
        <v>607</v>
      </c>
      <c r="G1528" s="4">
        <v>43947.030208333333</v>
      </c>
      <c r="H1528" s="4">
        <v>43947.030208333333</v>
      </c>
      <c r="I1528" t="s">
        <v>50</v>
      </c>
      <c r="J1528" s="5">
        <v>0</v>
      </c>
      <c r="K1528" t="s">
        <v>38</v>
      </c>
      <c r="M1528">
        <v>60023</v>
      </c>
      <c r="N1528" t="s">
        <v>607</v>
      </c>
      <c r="O1528" t="s">
        <v>608</v>
      </c>
      <c r="P1528" t="s">
        <v>38</v>
      </c>
      <c r="Q1528" t="s">
        <v>50</v>
      </c>
      <c r="R1528">
        <v>0</v>
      </c>
      <c r="S1528" t="s">
        <v>45</v>
      </c>
      <c r="T1528" t="str" s="2">
        <f>=HYPERLINK("http://demo.enginatics.com:80/ecc/user/applications/log/60022.log","http://demo.enginatics.com:80/ecc/user/applications/log/60022.log")</f>
        <v>"http://demo.enginatics.com:80/ecc/user/applications/log/60022.log")</v>
      </c>
      <c r="U1528">
        <v>60024</v>
      </c>
      <c r="V1528" t="s">
        <v>38</v>
      </c>
      <c r="W1528" t="s">
        <v>50</v>
      </c>
      <c r="X1528">
        <v>0</v>
      </c>
      <c r="Y1528">
        <v>0</v>
      </c>
      <c r="Z1528" t="s">
        <v>46</v>
      </c>
      <c r="AA1528">
        <v>60026</v>
      </c>
      <c r="AB1528" t="s">
        <v>609</v>
      </c>
      <c r="AC1528" t="s">
        <v>48</v>
      </c>
      <c r="AD1528" t="s">
        <v>38</v>
      </c>
      <c r="AE1528" t="s">
        <v>49</v>
      </c>
      <c r="AF1528" t="s">
        <v>50</v>
      </c>
      <c r="AG1528">
        <v>0</v>
      </c>
      <c r="AH1528">
        <v>0</v>
      </c>
      <c r="AI1528" t="s">
        <v>51</v>
      </c>
      <c r="AJ1528" t="s">
        <v>51</v>
      </c>
      <c r="AK1528" t="s">
        <v>51</v>
      </c>
    </row>
    <row r="1529" spans="1:37" x14ac:dyDescent="0.2">
      <c r="A1529">
        <v>60022</v>
      </c>
      <c r="B1529" t="s">
        <v>37</v>
      </c>
      <c r="C1529" t="s">
        <v>38</v>
      </c>
      <c r="D1529" t="s">
        <v>606</v>
      </c>
      <c r="E1529" t="s">
        <v>607</v>
      </c>
      <c r="G1529" s="4">
        <v>43947.030208333333</v>
      </c>
      <c r="H1529" s="4">
        <v>43947.030208333333</v>
      </c>
      <c r="I1529" t="s">
        <v>50</v>
      </c>
      <c r="J1529" s="5">
        <v>0</v>
      </c>
      <c r="K1529" t="s">
        <v>38</v>
      </c>
      <c r="M1529">
        <v>60023</v>
      </c>
      <c r="N1529" t="s">
        <v>607</v>
      </c>
      <c r="O1529" t="s">
        <v>608</v>
      </c>
      <c r="P1529" t="s">
        <v>38</v>
      </c>
      <c r="Q1529" t="s">
        <v>50</v>
      </c>
      <c r="R1529">
        <v>0</v>
      </c>
      <c r="S1529" t="s">
        <v>45</v>
      </c>
      <c r="T1529" t="str" s="2">
        <f>=HYPERLINK("http://demo.enginatics.com:80/ecc/user/applications/log/60022.log","http://demo.enginatics.com:80/ecc/user/applications/log/60022.log")</f>
        <v>"http://demo.enginatics.com:80/ecc/user/applications/log/60022.log")</v>
      </c>
      <c r="U1529">
        <v>60024</v>
      </c>
      <c r="V1529" t="s">
        <v>38</v>
      </c>
      <c r="W1529" t="s">
        <v>50</v>
      </c>
      <c r="X1529">
        <v>0</v>
      </c>
      <c r="Y1529">
        <v>0</v>
      </c>
      <c r="Z1529" t="s">
        <v>46</v>
      </c>
      <c r="AA1529">
        <v>60025</v>
      </c>
      <c r="AB1529" t="s">
        <v>610</v>
      </c>
      <c r="AC1529" t="s">
        <v>56</v>
      </c>
      <c r="AD1529" t="s">
        <v>38</v>
      </c>
      <c r="AE1529" t="s">
        <v>49</v>
      </c>
      <c r="AF1529" t="s">
        <v>50</v>
      </c>
      <c r="AG1529">
        <v>0</v>
      </c>
      <c r="AH1529">
        <v>0</v>
      </c>
      <c r="AI1529" t="s">
        <v>51</v>
      </c>
      <c r="AJ1529" t="s">
        <v>51</v>
      </c>
      <c r="AK1529" t="s">
        <v>51</v>
      </c>
    </row>
    <row r="1530" spans="1:37" x14ac:dyDescent="0.2">
      <c r="A1530">
        <v>60017</v>
      </c>
      <c r="B1530" t="s">
        <v>37</v>
      </c>
      <c r="C1530" t="s">
        <v>38</v>
      </c>
      <c r="D1530" t="s">
        <v>606</v>
      </c>
      <c r="E1530" t="s">
        <v>611</v>
      </c>
      <c r="G1530" s="4">
        <v>43947.030127314815</v>
      </c>
      <c r="H1530" s="4">
        <v>43947.030127314815</v>
      </c>
      <c r="I1530" t="s">
        <v>50</v>
      </c>
      <c r="J1530" s="5">
        <v>0</v>
      </c>
      <c r="K1530" t="s">
        <v>38</v>
      </c>
      <c r="M1530">
        <v>60018</v>
      </c>
      <c r="N1530" t="s">
        <v>611</v>
      </c>
      <c r="O1530" t="s">
        <v>612</v>
      </c>
      <c r="P1530" t="s">
        <v>38</v>
      </c>
      <c r="Q1530" t="s">
        <v>50</v>
      </c>
      <c r="R1530">
        <v>0</v>
      </c>
      <c r="S1530" t="s">
        <v>45</v>
      </c>
      <c r="T1530" t="str" s="2">
        <f>=HYPERLINK("http://demo.enginatics.com:80/ecc/user/applications/log/60017.log","http://demo.enginatics.com:80/ecc/user/applications/log/60017.log")</f>
        <v>"http://demo.enginatics.com:80/ecc/user/applications/log/60017.log")</v>
      </c>
      <c r="U1530">
        <v>60019</v>
      </c>
      <c r="V1530" t="s">
        <v>38</v>
      </c>
      <c r="W1530" t="s">
        <v>50</v>
      </c>
      <c r="X1530">
        <v>0</v>
      </c>
      <c r="Y1530">
        <v>0</v>
      </c>
      <c r="Z1530" t="s">
        <v>46</v>
      </c>
      <c r="AA1530">
        <v>60021</v>
      </c>
      <c r="AB1530" t="s">
        <v>613</v>
      </c>
      <c r="AC1530" t="s">
        <v>48</v>
      </c>
      <c r="AD1530" t="s">
        <v>38</v>
      </c>
      <c r="AE1530" t="s">
        <v>49</v>
      </c>
      <c r="AF1530" t="s">
        <v>50</v>
      </c>
      <c r="AG1530">
        <v>0</v>
      </c>
      <c r="AH1530">
        <v>0</v>
      </c>
      <c r="AI1530" t="s">
        <v>51</v>
      </c>
      <c r="AJ1530" t="s">
        <v>51</v>
      </c>
      <c r="AK1530" t="s">
        <v>51</v>
      </c>
    </row>
    <row r="1531" spans="1:37" x14ac:dyDescent="0.2">
      <c r="A1531">
        <v>60017</v>
      </c>
      <c r="B1531" t="s">
        <v>37</v>
      </c>
      <c r="C1531" t="s">
        <v>38</v>
      </c>
      <c r="D1531" t="s">
        <v>606</v>
      </c>
      <c r="E1531" t="s">
        <v>611</v>
      </c>
      <c r="G1531" s="4">
        <v>43947.030127314815</v>
      </c>
      <c r="H1531" s="4">
        <v>43947.030127314815</v>
      </c>
      <c r="I1531" t="s">
        <v>50</v>
      </c>
      <c r="J1531" s="5">
        <v>0</v>
      </c>
      <c r="K1531" t="s">
        <v>38</v>
      </c>
      <c r="M1531">
        <v>60018</v>
      </c>
      <c r="N1531" t="s">
        <v>611</v>
      </c>
      <c r="O1531" t="s">
        <v>612</v>
      </c>
      <c r="P1531" t="s">
        <v>38</v>
      </c>
      <c r="Q1531" t="s">
        <v>50</v>
      </c>
      <c r="R1531">
        <v>0</v>
      </c>
      <c r="S1531" t="s">
        <v>45</v>
      </c>
      <c r="T1531" t="str" s="2">
        <f>=HYPERLINK("http://demo.enginatics.com:80/ecc/user/applications/log/60017.log","http://demo.enginatics.com:80/ecc/user/applications/log/60017.log")</f>
        <v>"http://demo.enginatics.com:80/ecc/user/applications/log/60017.log")</v>
      </c>
      <c r="U1531">
        <v>60019</v>
      </c>
      <c r="V1531" t="s">
        <v>38</v>
      </c>
      <c r="W1531" t="s">
        <v>50</v>
      </c>
      <c r="X1531">
        <v>0</v>
      </c>
      <c r="Y1531">
        <v>0</v>
      </c>
      <c r="Z1531" t="s">
        <v>46</v>
      </c>
      <c r="AA1531">
        <v>60020</v>
      </c>
      <c r="AB1531" t="s">
        <v>614</v>
      </c>
      <c r="AC1531" t="s">
        <v>56</v>
      </c>
      <c r="AD1531" t="s">
        <v>38</v>
      </c>
      <c r="AE1531" t="s">
        <v>49</v>
      </c>
      <c r="AF1531" t="s">
        <v>50</v>
      </c>
      <c r="AG1531">
        <v>0</v>
      </c>
      <c r="AH1531">
        <v>0</v>
      </c>
      <c r="AI1531" t="s">
        <v>51</v>
      </c>
      <c r="AJ1531" t="s">
        <v>51</v>
      </c>
      <c r="AK1531" t="s">
        <v>51</v>
      </c>
    </row>
    <row r="1532" spans="1:37" x14ac:dyDescent="0.2">
      <c r="A1532">
        <v>60012</v>
      </c>
      <c r="B1532" t="s">
        <v>37</v>
      </c>
      <c r="C1532" t="s">
        <v>38</v>
      </c>
      <c r="D1532" t="s">
        <v>606</v>
      </c>
      <c r="E1532" t="s">
        <v>615</v>
      </c>
      <c r="G1532" s="4">
        <v>43947.030069444444</v>
      </c>
      <c r="H1532" s="4">
        <v>43947.030069444444</v>
      </c>
      <c r="I1532" t="s">
        <v>50</v>
      </c>
      <c r="J1532" s="5">
        <v>0</v>
      </c>
      <c r="K1532" t="s">
        <v>38</v>
      </c>
      <c r="M1532">
        <v>60013</v>
      </c>
      <c r="N1532" t="s">
        <v>615</v>
      </c>
      <c r="O1532" t="s">
        <v>616</v>
      </c>
      <c r="P1532" t="s">
        <v>38</v>
      </c>
      <c r="Q1532" t="s">
        <v>50</v>
      </c>
      <c r="R1532">
        <v>0</v>
      </c>
      <c r="S1532" t="s">
        <v>45</v>
      </c>
      <c r="T1532" t="str" s="2">
        <f>=HYPERLINK("http://demo.enginatics.com:80/ecc/user/applications/log/60012.log","http://demo.enginatics.com:80/ecc/user/applications/log/60012.log")</f>
        <v>"http://demo.enginatics.com:80/ecc/user/applications/log/60012.log")</v>
      </c>
      <c r="U1532">
        <v>60014</v>
      </c>
      <c r="V1532" t="s">
        <v>38</v>
      </c>
      <c r="W1532" t="s">
        <v>50</v>
      </c>
      <c r="X1532">
        <v>0</v>
      </c>
      <c r="Y1532">
        <v>0</v>
      </c>
      <c r="Z1532" t="s">
        <v>46</v>
      </c>
      <c r="AA1532">
        <v>60016</v>
      </c>
      <c r="AB1532" t="s">
        <v>617</v>
      </c>
      <c r="AC1532" t="s">
        <v>48</v>
      </c>
      <c r="AD1532" t="s">
        <v>38</v>
      </c>
      <c r="AE1532" t="s">
        <v>49</v>
      </c>
      <c r="AF1532" t="s">
        <v>50</v>
      </c>
      <c r="AG1532">
        <v>0</v>
      </c>
      <c r="AH1532">
        <v>0</v>
      </c>
      <c r="AI1532" t="s">
        <v>51</v>
      </c>
      <c r="AJ1532" t="s">
        <v>51</v>
      </c>
      <c r="AK1532" t="s">
        <v>51</v>
      </c>
    </row>
    <row r="1533" spans="1:37" x14ac:dyDescent="0.2">
      <c r="A1533">
        <v>60012</v>
      </c>
      <c r="B1533" t="s">
        <v>37</v>
      </c>
      <c r="C1533" t="s">
        <v>38</v>
      </c>
      <c r="D1533" t="s">
        <v>606</v>
      </c>
      <c r="E1533" t="s">
        <v>615</v>
      </c>
      <c r="G1533" s="4">
        <v>43947.030069444444</v>
      </c>
      <c r="H1533" s="4">
        <v>43947.030069444444</v>
      </c>
      <c r="I1533" t="s">
        <v>50</v>
      </c>
      <c r="J1533" s="5">
        <v>0</v>
      </c>
      <c r="K1533" t="s">
        <v>38</v>
      </c>
      <c r="M1533">
        <v>60013</v>
      </c>
      <c r="N1533" t="s">
        <v>615</v>
      </c>
      <c r="O1533" t="s">
        <v>616</v>
      </c>
      <c r="P1533" t="s">
        <v>38</v>
      </c>
      <c r="Q1533" t="s">
        <v>50</v>
      </c>
      <c r="R1533">
        <v>0</v>
      </c>
      <c r="S1533" t="s">
        <v>45</v>
      </c>
      <c r="T1533" t="str" s="2">
        <f>=HYPERLINK("http://demo.enginatics.com:80/ecc/user/applications/log/60012.log","http://demo.enginatics.com:80/ecc/user/applications/log/60012.log")</f>
        <v>"http://demo.enginatics.com:80/ecc/user/applications/log/60012.log")</v>
      </c>
      <c r="U1533">
        <v>60014</v>
      </c>
      <c r="V1533" t="s">
        <v>38</v>
      </c>
      <c r="W1533" t="s">
        <v>50</v>
      </c>
      <c r="X1533">
        <v>0</v>
      </c>
      <c r="Y1533">
        <v>0</v>
      </c>
      <c r="Z1533" t="s">
        <v>46</v>
      </c>
      <c r="AA1533">
        <v>60015</v>
      </c>
      <c r="AB1533" t="s">
        <v>618</v>
      </c>
      <c r="AC1533" t="s">
        <v>56</v>
      </c>
      <c r="AD1533" t="s">
        <v>38</v>
      </c>
      <c r="AE1533" t="s">
        <v>49</v>
      </c>
      <c r="AF1533" t="s">
        <v>50</v>
      </c>
      <c r="AG1533">
        <v>0</v>
      </c>
      <c r="AH1533">
        <v>0</v>
      </c>
      <c r="AI1533" t="s">
        <v>51</v>
      </c>
      <c r="AJ1533" t="s">
        <v>51</v>
      </c>
      <c r="AK1533" t="s">
        <v>51</v>
      </c>
    </row>
    <row r="1534" spans="1:37" x14ac:dyDescent="0.2">
      <c r="A1534">
        <v>60007</v>
      </c>
      <c r="B1534" t="s">
        <v>37</v>
      </c>
      <c r="C1534" t="s">
        <v>38</v>
      </c>
      <c r="D1534" t="s">
        <v>606</v>
      </c>
      <c r="E1534" t="s">
        <v>619</v>
      </c>
      <c r="G1534" s="4">
        <v>43947.029930555556</v>
      </c>
      <c r="H1534" s="4">
        <v>43947.029930555556</v>
      </c>
      <c r="I1534" t="s">
        <v>50</v>
      </c>
      <c r="J1534" s="5">
        <v>0</v>
      </c>
      <c r="K1534" t="s">
        <v>38</v>
      </c>
      <c r="M1534">
        <v>60008</v>
      </c>
      <c r="N1534" t="s">
        <v>619</v>
      </c>
      <c r="O1534" t="s">
        <v>620</v>
      </c>
      <c r="P1534" t="s">
        <v>38</v>
      </c>
      <c r="Q1534" t="s">
        <v>50</v>
      </c>
      <c r="R1534">
        <v>0</v>
      </c>
      <c r="S1534" t="s">
        <v>45</v>
      </c>
      <c r="T1534" t="str" s="2">
        <f>=HYPERLINK("http://demo.enginatics.com:80/ecc/user/applications/log/60007.log","http://demo.enginatics.com:80/ecc/user/applications/log/60007.log")</f>
        <v>"http://demo.enginatics.com:80/ecc/user/applications/log/60007.log")</v>
      </c>
      <c r="U1534">
        <v>60009</v>
      </c>
      <c r="V1534" t="s">
        <v>38</v>
      </c>
      <c r="W1534" t="s">
        <v>50</v>
      </c>
      <c r="X1534">
        <v>0</v>
      </c>
      <c r="Y1534">
        <v>0</v>
      </c>
      <c r="Z1534" t="s">
        <v>46</v>
      </c>
      <c r="AA1534">
        <v>60011</v>
      </c>
      <c r="AB1534" t="s">
        <v>621</v>
      </c>
      <c r="AC1534" t="s">
        <v>48</v>
      </c>
      <c r="AD1534" t="s">
        <v>38</v>
      </c>
      <c r="AE1534" t="s">
        <v>49</v>
      </c>
      <c r="AF1534" t="s">
        <v>50</v>
      </c>
      <c r="AG1534">
        <v>0</v>
      </c>
      <c r="AH1534">
        <v>0</v>
      </c>
      <c r="AI1534" t="s">
        <v>51</v>
      </c>
      <c r="AJ1534" t="s">
        <v>51</v>
      </c>
      <c r="AK1534" t="s">
        <v>51</v>
      </c>
    </row>
    <row r="1535" spans="1:37" x14ac:dyDescent="0.2">
      <c r="A1535">
        <v>60007</v>
      </c>
      <c r="B1535" t="s">
        <v>37</v>
      </c>
      <c r="C1535" t="s">
        <v>38</v>
      </c>
      <c r="D1535" t="s">
        <v>606</v>
      </c>
      <c r="E1535" t="s">
        <v>619</v>
      </c>
      <c r="G1535" s="4">
        <v>43947.029930555556</v>
      </c>
      <c r="H1535" s="4">
        <v>43947.029930555556</v>
      </c>
      <c r="I1535" t="s">
        <v>50</v>
      </c>
      <c r="J1535" s="5">
        <v>0</v>
      </c>
      <c r="K1535" t="s">
        <v>38</v>
      </c>
      <c r="M1535">
        <v>60008</v>
      </c>
      <c r="N1535" t="s">
        <v>619</v>
      </c>
      <c r="O1535" t="s">
        <v>620</v>
      </c>
      <c r="P1535" t="s">
        <v>38</v>
      </c>
      <c r="Q1535" t="s">
        <v>50</v>
      </c>
      <c r="R1535">
        <v>0</v>
      </c>
      <c r="S1535" t="s">
        <v>45</v>
      </c>
      <c r="T1535" t="str" s="2">
        <f>=HYPERLINK("http://demo.enginatics.com:80/ecc/user/applications/log/60007.log","http://demo.enginatics.com:80/ecc/user/applications/log/60007.log")</f>
        <v>"http://demo.enginatics.com:80/ecc/user/applications/log/60007.log")</v>
      </c>
      <c r="U1535">
        <v>60009</v>
      </c>
      <c r="V1535" t="s">
        <v>38</v>
      </c>
      <c r="W1535" t="s">
        <v>50</v>
      </c>
      <c r="X1535">
        <v>0</v>
      </c>
      <c r="Y1535">
        <v>0</v>
      </c>
      <c r="Z1535" t="s">
        <v>46</v>
      </c>
      <c r="AA1535">
        <v>60010</v>
      </c>
      <c r="AB1535" t="s">
        <v>622</v>
      </c>
      <c r="AC1535" t="s">
        <v>56</v>
      </c>
      <c r="AD1535" t="s">
        <v>38</v>
      </c>
      <c r="AE1535" t="s">
        <v>49</v>
      </c>
      <c r="AF1535" t="s">
        <v>50</v>
      </c>
      <c r="AG1535">
        <v>0</v>
      </c>
      <c r="AH1535">
        <v>0</v>
      </c>
      <c r="AI1535" t="s">
        <v>51</v>
      </c>
      <c r="AJ1535" t="s">
        <v>51</v>
      </c>
      <c r="AK1535" t="s">
        <v>51</v>
      </c>
    </row>
    <row r="1536" spans="1:37" x14ac:dyDescent="0.2">
      <c r="A1536">
        <v>59988</v>
      </c>
      <c r="B1536" t="s">
        <v>37</v>
      </c>
      <c r="C1536" t="s">
        <v>38</v>
      </c>
      <c r="D1536" t="s">
        <v>623</v>
      </c>
      <c r="E1536" t="s">
        <v>624</v>
      </c>
      <c r="G1536" s="4">
        <v>43947.025</v>
      </c>
      <c r="H1536" s="4">
        <v>43947.025011574074</v>
      </c>
      <c r="I1536" t="s">
        <v>50</v>
      </c>
      <c r="J1536" s="5">
        <v>.9999999999999999999999999999999999999996</v>
      </c>
      <c r="K1536" t="s">
        <v>38</v>
      </c>
      <c r="M1536">
        <v>59989</v>
      </c>
      <c r="N1536" t="s">
        <v>624</v>
      </c>
      <c r="O1536" t="s">
        <v>623</v>
      </c>
      <c r="P1536" t="s">
        <v>38</v>
      </c>
      <c r="Q1536" t="s">
        <v>50</v>
      </c>
      <c r="R1536">
        <v>.9999999999999999999999999999999999999996</v>
      </c>
      <c r="S1536" t="s">
        <v>45</v>
      </c>
      <c r="T1536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36">
        <v>59990</v>
      </c>
      <c r="V1536" t="s">
        <v>38</v>
      </c>
      <c r="W1536" t="s">
        <v>50</v>
      </c>
      <c r="X1536">
        <v>.9999999999999999999999999999999999999996</v>
      </c>
      <c r="Y1536">
        <v>0</v>
      </c>
      <c r="Z1536" t="s">
        <v>46</v>
      </c>
      <c r="AA1536">
        <v>60006</v>
      </c>
      <c r="AB1536" t="s">
        <v>625</v>
      </c>
      <c r="AC1536" t="s">
        <v>56</v>
      </c>
      <c r="AD1536" t="s">
        <v>38</v>
      </c>
      <c r="AE1536" t="s">
        <v>49</v>
      </c>
      <c r="AF1536" t="s">
        <v>50</v>
      </c>
      <c r="AG1536">
        <v>0</v>
      </c>
      <c r="AH1536">
        <v>0</v>
      </c>
      <c r="AI1536" t="s">
        <v>51</v>
      </c>
      <c r="AJ1536" t="s">
        <v>51</v>
      </c>
      <c r="AK1536" t="s">
        <v>51</v>
      </c>
    </row>
    <row r="1537" spans="1:37" x14ac:dyDescent="0.2">
      <c r="A1537">
        <v>59988</v>
      </c>
      <c r="B1537" t="s">
        <v>37</v>
      </c>
      <c r="C1537" t="s">
        <v>38</v>
      </c>
      <c r="D1537" t="s">
        <v>623</v>
      </c>
      <c r="E1537" t="s">
        <v>624</v>
      </c>
      <c r="G1537" s="4">
        <v>43947.025</v>
      </c>
      <c r="H1537" s="4">
        <v>43947.025011574074</v>
      </c>
      <c r="I1537" t="s">
        <v>50</v>
      </c>
      <c r="J1537" s="5">
        <v>.9999999999999999999999999999999999999996</v>
      </c>
      <c r="K1537" t="s">
        <v>38</v>
      </c>
      <c r="M1537">
        <v>59989</v>
      </c>
      <c r="N1537" t="s">
        <v>624</v>
      </c>
      <c r="O1537" t="s">
        <v>623</v>
      </c>
      <c r="P1537" t="s">
        <v>38</v>
      </c>
      <c r="Q1537" t="s">
        <v>50</v>
      </c>
      <c r="R1537">
        <v>.9999999999999999999999999999999999999996</v>
      </c>
      <c r="S1537" t="s">
        <v>45</v>
      </c>
      <c r="T1537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37">
        <v>59990</v>
      </c>
      <c r="V1537" t="s">
        <v>38</v>
      </c>
      <c r="W1537" t="s">
        <v>50</v>
      </c>
      <c r="X1537">
        <v>.9999999999999999999999999999999999999996</v>
      </c>
      <c r="Y1537">
        <v>0</v>
      </c>
      <c r="Z1537" t="s">
        <v>46</v>
      </c>
      <c r="AA1537">
        <v>60005</v>
      </c>
      <c r="AB1537" t="s">
        <v>626</v>
      </c>
      <c r="AC1537" t="s">
        <v>56</v>
      </c>
      <c r="AD1537" t="s">
        <v>38</v>
      </c>
      <c r="AE1537" t="s">
        <v>49</v>
      </c>
      <c r="AF1537" t="s">
        <v>50</v>
      </c>
      <c r="AG1537">
        <v>0</v>
      </c>
      <c r="AH1537">
        <v>0</v>
      </c>
      <c r="AI1537" t="s">
        <v>51</v>
      </c>
      <c r="AJ1537" t="s">
        <v>51</v>
      </c>
      <c r="AK1537" t="s">
        <v>51</v>
      </c>
    </row>
    <row r="1538" spans="1:37" x14ac:dyDescent="0.2">
      <c r="A1538">
        <v>59988</v>
      </c>
      <c r="B1538" t="s">
        <v>37</v>
      </c>
      <c r="C1538" t="s">
        <v>38</v>
      </c>
      <c r="D1538" t="s">
        <v>623</v>
      </c>
      <c r="E1538" t="s">
        <v>624</v>
      </c>
      <c r="G1538" s="4">
        <v>43947.025</v>
      </c>
      <c r="H1538" s="4">
        <v>43947.025011574074</v>
      </c>
      <c r="I1538" t="s">
        <v>50</v>
      </c>
      <c r="J1538" s="5">
        <v>.9999999999999999999999999999999999999996</v>
      </c>
      <c r="K1538" t="s">
        <v>38</v>
      </c>
      <c r="M1538">
        <v>59989</v>
      </c>
      <c r="N1538" t="s">
        <v>624</v>
      </c>
      <c r="O1538" t="s">
        <v>623</v>
      </c>
      <c r="P1538" t="s">
        <v>38</v>
      </c>
      <c r="Q1538" t="s">
        <v>50</v>
      </c>
      <c r="R1538">
        <v>.9999999999999999999999999999999999999996</v>
      </c>
      <c r="S1538" t="s">
        <v>45</v>
      </c>
      <c r="T1538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38">
        <v>59990</v>
      </c>
      <c r="V1538" t="s">
        <v>38</v>
      </c>
      <c r="W1538" t="s">
        <v>50</v>
      </c>
      <c r="X1538">
        <v>.9999999999999999999999999999999999999996</v>
      </c>
      <c r="Y1538">
        <v>0</v>
      </c>
      <c r="Z1538" t="s">
        <v>46</v>
      </c>
      <c r="AA1538">
        <v>60004</v>
      </c>
      <c r="AB1538" t="s">
        <v>627</v>
      </c>
      <c r="AC1538" t="s">
        <v>56</v>
      </c>
      <c r="AD1538" t="s">
        <v>38</v>
      </c>
      <c r="AE1538" t="s">
        <v>49</v>
      </c>
      <c r="AF1538" t="s">
        <v>50</v>
      </c>
      <c r="AG1538">
        <v>0</v>
      </c>
      <c r="AH1538">
        <v>0</v>
      </c>
      <c r="AI1538" t="s">
        <v>51</v>
      </c>
      <c r="AJ1538" t="s">
        <v>51</v>
      </c>
      <c r="AK1538" t="s">
        <v>51</v>
      </c>
    </row>
    <row r="1539" spans="1:37" x14ac:dyDescent="0.2">
      <c r="A1539">
        <v>59988</v>
      </c>
      <c r="B1539" t="s">
        <v>37</v>
      </c>
      <c r="C1539" t="s">
        <v>38</v>
      </c>
      <c r="D1539" t="s">
        <v>623</v>
      </c>
      <c r="E1539" t="s">
        <v>624</v>
      </c>
      <c r="G1539" s="4">
        <v>43947.025</v>
      </c>
      <c r="H1539" s="4">
        <v>43947.025011574074</v>
      </c>
      <c r="I1539" t="s">
        <v>50</v>
      </c>
      <c r="J1539" s="5">
        <v>.9999999999999999999999999999999999999996</v>
      </c>
      <c r="K1539" t="s">
        <v>38</v>
      </c>
      <c r="M1539">
        <v>59989</v>
      </c>
      <c r="N1539" t="s">
        <v>624</v>
      </c>
      <c r="O1539" t="s">
        <v>623</v>
      </c>
      <c r="P1539" t="s">
        <v>38</v>
      </c>
      <c r="Q1539" t="s">
        <v>50</v>
      </c>
      <c r="R1539">
        <v>.9999999999999999999999999999999999999996</v>
      </c>
      <c r="S1539" t="s">
        <v>45</v>
      </c>
      <c r="T1539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39">
        <v>59990</v>
      </c>
      <c r="V1539" t="s">
        <v>38</v>
      </c>
      <c r="W1539" t="s">
        <v>50</v>
      </c>
      <c r="X1539">
        <v>.9999999999999999999999999999999999999996</v>
      </c>
      <c r="Y1539">
        <v>0</v>
      </c>
      <c r="Z1539" t="s">
        <v>46</v>
      </c>
      <c r="AA1539">
        <v>60003</v>
      </c>
      <c r="AB1539" t="s">
        <v>628</v>
      </c>
      <c r="AC1539" t="s">
        <v>56</v>
      </c>
      <c r="AD1539" t="s">
        <v>38</v>
      </c>
      <c r="AE1539" t="s">
        <v>49</v>
      </c>
      <c r="AF1539" t="s">
        <v>50</v>
      </c>
      <c r="AG1539">
        <v>0</v>
      </c>
      <c r="AH1539">
        <v>0</v>
      </c>
      <c r="AI1539" t="s">
        <v>51</v>
      </c>
      <c r="AJ1539" t="s">
        <v>51</v>
      </c>
      <c r="AK1539" t="s">
        <v>51</v>
      </c>
    </row>
    <row r="1540" spans="1:37" x14ac:dyDescent="0.2">
      <c r="A1540">
        <v>59988</v>
      </c>
      <c r="B1540" t="s">
        <v>37</v>
      </c>
      <c r="C1540" t="s">
        <v>38</v>
      </c>
      <c r="D1540" t="s">
        <v>623</v>
      </c>
      <c r="E1540" t="s">
        <v>624</v>
      </c>
      <c r="G1540" s="4">
        <v>43947.025</v>
      </c>
      <c r="H1540" s="4">
        <v>43947.025011574074</v>
      </c>
      <c r="I1540" t="s">
        <v>50</v>
      </c>
      <c r="J1540" s="5">
        <v>.9999999999999999999999999999999999999996</v>
      </c>
      <c r="K1540" t="s">
        <v>38</v>
      </c>
      <c r="M1540">
        <v>59989</v>
      </c>
      <c r="N1540" t="s">
        <v>624</v>
      </c>
      <c r="O1540" t="s">
        <v>623</v>
      </c>
      <c r="P1540" t="s">
        <v>38</v>
      </c>
      <c r="Q1540" t="s">
        <v>50</v>
      </c>
      <c r="R1540">
        <v>.9999999999999999999999999999999999999996</v>
      </c>
      <c r="S1540" t="s">
        <v>45</v>
      </c>
      <c r="T1540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0">
        <v>59990</v>
      </c>
      <c r="V1540" t="s">
        <v>38</v>
      </c>
      <c r="W1540" t="s">
        <v>50</v>
      </c>
      <c r="X1540">
        <v>.9999999999999999999999999999999999999996</v>
      </c>
      <c r="Y1540">
        <v>0</v>
      </c>
      <c r="Z1540" t="s">
        <v>46</v>
      </c>
      <c r="AA1540">
        <v>60002</v>
      </c>
      <c r="AB1540" t="s">
        <v>629</v>
      </c>
      <c r="AC1540" t="s">
        <v>56</v>
      </c>
      <c r="AD1540" t="s">
        <v>38</v>
      </c>
      <c r="AE1540" t="s">
        <v>49</v>
      </c>
      <c r="AF1540" t="s">
        <v>50</v>
      </c>
      <c r="AG1540">
        <v>0</v>
      </c>
      <c r="AH1540">
        <v>0</v>
      </c>
      <c r="AI1540" t="s">
        <v>51</v>
      </c>
      <c r="AJ1540" t="s">
        <v>51</v>
      </c>
      <c r="AK1540" t="s">
        <v>51</v>
      </c>
    </row>
    <row r="1541" spans="1:37" x14ac:dyDescent="0.2">
      <c r="A1541">
        <v>59988</v>
      </c>
      <c r="B1541" t="s">
        <v>37</v>
      </c>
      <c r="C1541" t="s">
        <v>38</v>
      </c>
      <c r="D1541" t="s">
        <v>623</v>
      </c>
      <c r="E1541" t="s">
        <v>624</v>
      </c>
      <c r="G1541" s="4">
        <v>43947.025</v>
      </c>
      <c r="H1541" s="4">
        <v>43947.025011574074</v>
      </c>
      <c r="I1541" t="s">
        <v>50</v>
      </c>
      <c r="J1541" s="5">
        <v>.9999999999999999999999999999999999999996</v>
      </c>
      <c r="K1541" t="s">
        <v>38</v>
      </c>
      <c r="M1541">
        <v>59989</v>
      </c>
      <c r="N1541" t="s">
        <v>624</v>
      </c>
      <c r="O1541" t="s">
        <v>623</v>
      </c>
      <c r="P1541" t="s">
        <v>38</v>
      </c>
      <c r="Q1541" t="s">
        <v>50</v>
      </c>
      <c r="R1541">
        <v>.9999999999999999999999999999999999999996</v>
      </c>
      <c r="S1541" t="s">
        <v>45</v>
      </c>
      <c r="T1541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1">
        <v>59990</v>
      </c>
      <c r="V1541" t="s">
        <v>38</v>
      </c>
      <c r="W1541" t="s">
        <v>50</v>
      </c>
      <c r="X1541">
        <v>.9999999999999999999999999999999999999996</v>
      </c>
      <c r="Y1541">
        <v>0</v>
      </c>
      <c r="Z1541" t="s">
        <v>46</v>
      </c>
      <c r="AA1541">
        <v>60001</v>
      </c>
      <c r="AB1541" t="s">
        <v>630</v>
      </c>
      <c r="AC1541" t="s">
        <v>56</v>
      </c>
      <c r="AD1541" t="s">
        <v>38</v>
      </c>
      <c r="AE1541" t="s">
        <v>49</v>
      </c>
      <c r="AF1541" t="s">
        <v>50</v>
      </c>
      <c r="AG1541">
        <v>0</v>
      </c>
      <c r="AH1541">
        <v>0</v>
      </c>
      <c r="AI1541" t="s">
        <v>51</v>
      </c>
      <c r="AJ1541" t="s">
        <v>51</v>
      </c>
      <c r="AK1541" t="s">
        <v>51</v>
      </c>
    </row>
    <row r="1542" spans="1:37" x14ac:dyDescent="0.2">
      <c r="A1542">
        <v>59988</v>
      </c>
      <c r="B1542" t="s">
        <v>37</v>
      </c>
      <c r="C1542" t="s">
        <v>38</v>
      </c>
      <c r="D1542" t="s">
        <v>623</v>
      </c>
      <c r="E1542" t="s">
        <v>624</v>
      </c>
      <c r="G1542" s="4">
        <v>43947.025</v>
      </c>
      <c r="H1542" s="4">
        <v>43947.025011574074</v>
      </c>
      <c r="I1542" t="s">
        <v>50</v>
      </c>
      <c r="J1542" s="5">
        <v>.9999999999999999999999999999999999999996</v>
      </c>
      <c r="K1542" t="s">
        <v>38</v>
      </c>
      <c r="M1542">
        <v>59989</v>
      </c>
      <c r="N1542" t="s">
        <v>624</v>
      </c>
      <c r="O1542" t="s">
        <v>623</v>
      </c>
      <c r="P1542" t="s">
        <v>38</v>
      </c>
      <c r="Q1542" t="s">
        <v>50</v>
      </c>
      <c r="R1542">
        <v>.9999999999999999999999999999999999999996</v>
      </c>
      <c r="S1542" t="s">
        <v>45</v>
      </c>
      <c r="T1542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2">
        <v>59990</v>
      </c>
      <c r="V1542" t="s">
        <v>38</v>
      </c>
      <c r="W1542" t="s">
        <v>50</v>
      </c>
      <c r="X1542">
        <v>.9999999999999999999999999999999999999996</v>
      </c>
      <c r="Y1542">
        <v>0</v>
      </c>
      <c r="Z1542" t="s">
        <v>46</v>
      </c>
      <c r="AA1542">
        <v>60000</v>
      </c>
      <c r="AB1542" t="s">
        <v>631</v>
      </c>
      <c r="AC1542" t="s">
        <v>56</v>
      </c>
      <c r="AD1542" t="s">
        <v>38</v>
      </c>
      <c r="AE1542" t="s">
        <v>49</v>
      </c>
      <c r="AF1542" t="s">
        <v>50</v>
      </c>
      <c r="AG1542">
        <v>0</v>
      </c>
      <c r="AH1542">
        <v>0</v>
      </c>
      <c r="AI1542" t="s">
        <v>51</v>
      </c>
      <c r="AJ1542" t="s">
        <v>51</v>
      </c>
      <c r="AK1542" t="s">
        <v>51</v>
      </c>
    </row>
    <row r="1543" spans="1:37" x14ac:dyDescent="0.2">
      <c r="A1543">
        <v>59988</v>
      </c>
      <c r="B1543" t="s">
        <v>37</v>
      </c>
      <c r="C1543" t="s">
        <v>38</v>
      </c>
      <c r="D1543" t="s">
        <v>623</v>
      </c>
      <c r="E1543" t="s">
        <v>624</v>
      </c>
      <c r="G1543" s="4">
        <v>43947.025</v>
      </c>
      <c r="H1543" s="4">
        <v>43947.025011574074</v>
      </c>
      <c r="I1543" t="s">
        <v>50</v>
      </c>
      <c r="J1543" s="5">
        <v>.9999999999999999999999999999999999999996</v>
      </c>
      <c r="K1543" t="s">
        <v>38</v>
      </c>
      <c r="M1543">
        <v>59989</v>
      </c>
      <c r="N1543" t="s">
        <v>624</v>
      </c>
      <c r="O1543" t="s">
        <v>623</v>
      </c>
      <c r="P1543" t="s">
        <v>38</v>
      </c>
      <c r="Q1543" t="s">
        <v>50</v>
      </c>
      <c r="R1543">
        <v>.9999999999999999999999999999999999999996</v>
      </c>
      <c r="S1543" t="s">
        <v>45</v>
      </c>
      <c r="T1543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3">
        <v>59990</v>
      </c>
      <c r="V1543" t="s">
        <v>38</v>
      </c>
      <c r="W1543" t="s">
        <v>50</v>
      </c>
      <c r="X1543">
        <v>.9999999999999999999999999999999999999996</v>
      </c>
      <c r="Y1543">
        <v>0</v>
      </c>
      <c r="Z1543" t="s">
        <v>46</v>
      </c>
      <c r="AA1543">
        <v>59999</v>
      </c>
      <c r="AB1543" t="s">
        <v>632</v>
      </c>
      <c r="AC1543" t="s">
        <v>56</v>
      </c>
      <c r="AD1543" t="s">
        <v>38</v>
      </c>
      <c r="AE1543" t="s">
        <v>49</v>
      </c>
      <c r="AF1543" t="s">
        <v>50</v>
      </c>
      <c r="AG1543">
        <v>0</v>
      </c>
      <c r="AH1543">
        <v>0</v>
      </c>
      <c r="AI1543" t="s">
        <v>51</v>
      </c>
      <c r="AJ1543" t="s">
        <v>51</v>
      </c>
      <c r="AK1543" t="s">
        <v>51</v>
      </c>
    </row>
    <row r="1544" spans="1:37" x14ac:dyDescent="0.2">
      <c r="A1544">
        <v>59988</v>
      </c>
      <c r="B1544" t="s">
        <v>37</v>
      </c>
      <c r="C1544" t="s">
        <v>38</v>
      </c>
      <c r="D1544" t="s">
        <v>623</v>
      </c>
      <c r="E1544" t="s">
        <v>624</v>
      </c>
      <c r="G1544" s="4">
        <v>43947.025</v>
      </c>
      <c r="H1544" s="4">
        <v>43947.025011574074</v>
      </c>
      <c r="I1544" t="s">
        <v>50</v>
      </c>
      <c r="J1544" s="5">
        <v>.9999999999999999999999999999999999999996</v>
      </c>
      <c r="K1544" t="s">
        <v>38</v>
      </c>
      <c r="M1544">
        <v>59989</v>
      </c>
      <c r="N1544" t="s">
        <v>624</v>
      </c>
      <c r="O1544" t="s">
        <v>623</v>
      </c>
      <c r="P1544" t="s">
        <v>38</v>
      </c>
      <c r="Q1544" t="s">
        <v>50</v>
      </c>
      <c r="R1544">
        <v>.9999999999999999999999999999999999999996</v>
      </c>
      <c r="S1544" t="s">
        <v>45</v>
      </c>
      <c r="T1544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4">
        <v>59990</v>
      </c>
      <c r="V1544" t="s">
        <v>38</v>
      </c>
      <c r="W1544" t="s">
        <v>50</v>
      </c>
      <c r="X1544">
        <v>.9999999999999999999999999999999999999996</v>
      </c>
      <c r="Y1544">
        <v>0</v>
      </c>
      <c r="Z1544" t="s">
        <v>46</v>
      </c>
      <c r="AA1544">
        <v>59998</v>
      </c>
      <c r="AB1544" t="s">
        <v>1469</v>
      </c>
      <c r="AC1544" t="s">
        <v>103</v>
      </c>
      <c r="AD1544" t="s">
        <v>38</v>
      </c>
      <c r="AE1544" t="s">
        <v>49</v>
      </c>
      <c r="AF1544" t="s">
        <v>50</v>
      </c>
      <c r="AG1544">
        <v>0</v>
      </c>
      <c r="AH1544">
        <v>0</v>
      </c>
      <c r="AI1544" t="s">
        <v>51</v>
      </c>
      <c r="AJ1544" t="s">
        <v>51</v>
      </c>
      <c r="AK1544" t="s">
        <v>51</v>
      </c>
    </row>
    <row r="1545" spans="1:37" x14ac:dyDescent="0.2">
      <c r="A1545">
        <v>59988</v>
      </c>
      <c r="B1545" t="s">
        <v>37</v>
      </c>
      <c r="C1545" t="s">
        <v>38</v>
      </c>
      <c r="D1545" t="s">
        <v>623</v>
      </c>
      <c r="E1545" t="s">
        <v>624</v>
      </c>
      <c r="G1545" s="4">
        <v>43947.025</v>
      </c>
      <c r="H1545" s="4">
        <v>43947.025011574074</v>
      </c>
      <c r="I1545" t="s">
        <v>50</v>
      </c>
      <c r="J1545" s="5">
        <v>.9999999999999999999999999999999999999996</v>
      </c>
      <c r="K1545" t="s">
        <v>38</v>
      </c>
      <c r="M1545">
        <v>59989</v>
      </c>
      <c r="N1545" t="s">
        <v>624</v>
      </c>
      <c r="O1545" t="s">
        <v>623</v>
      </c>
      <c r="P1545" t="s">
        <v>38</v>
      </c>
      <c r="Q1545" t="s">
        <v>50</v>
      </c>
      <c r="R1545">
        <v>.9999999999999999999999999999999999999996</v>
      </c>
      <c r="S1545" t="s">
        <v>45</v>
      </c>
      <c r="T1545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5">
        <v>59990</v>
      </c>
      <c r="V1545" t="s">
        <v>38</v>
      </c>
      <c r="W1545" t="s">
        <v>50</v>
      </c>
      <c r="X1545">
        <v>.9999999999999999999999999999999999999996</v>
      </c>
      <c r="Y1545">
        <v>0</v>
      </c>
      <c r="Z1545" t="s">
        <v>46</v>
      </c>
      <c r="AA1545">
        <v>59997</v>
      </c>
      <c r="AB1545" t="s">
        <v>1470</v>
      </c>
      <c r="AC1545" t="s">
        <v>103</v>
      </c>
      <c r="AD1545" t="s">
        <v>38</v>
      </c>
      <c r="AE1545" t="s">
        <v>49</v>
      </c>
      <c r="AF1545" t="s">
        <v>50</v>
      </c>
      <c r="AG1545">
        <v>0</v>
      </c>
      <c r="AH1545">
        <v>0</v>
      </c>
      <c r="AI1545" t="s">
        <v>51</v>
      </c>
      <c r="AJ1545" t="s">
        <v>51</v>
      </c>
      <c r="AK1545" t="s">
        <v>51</v>
      </c>
    </row>
    <row r="1546" spans="1:37" x14ac:dyDescent="0.2">
      <c r="A1546">
        <v>59988</v>
      </c>
      <c r="B1546" t="s">
        <v>37</v>
      </c>
      <c r="C1546" t="s">
        <v>38</v>
      </c>
      <c r="D1546" t="s">
        <v>623</v>
      </c>
      <c r="E1546" t="s">
        <v>624</v>
      </c>
      <c r="G1546" s="4">
        <v>43947.025</v>
      </c>
      <c r="H1546" s="4">
        <v>43947.025011574074</v>
      </c>
      <c r="I1546" t="s">
        <v>50</v>
      </c>
      <c r="J1546" s="5">
        <v>.9999999999999999999999999999999999999996</v>
      </c>
      <c r="K1546" t="s">
        <v>38</v>
      </c>
      <c r="M1546">
        <v>59989</v>
      </c>
      <c r="N1546" t="s">
        <v>624</v>
      </c>
      <c r="O1546" t="s">
        <v>623</v>
      </c>
      <c r="P1546" t="s">
        <v>38</v>
      </c>
      <c r="Q1546" t="s">
        <v>50</v>
      </c>
      <c r="R1546">
        <v>.9999999999999999999999999999999999999996</v>
      </c>
      <c r="S1546" t="s">
        <v>45</v>
      </c>
      <c r="T1546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6">
        <v>59990</v>
      </c>
      <c r="V1546" t="s">
        <v>38</v>
      </c>
      <c r="W1546" t="s">
        <v>50</v>
      </c>
      <c r="X1546">
        <v>.9999999999999999999999999999999999999996</v>
      </c>
      <c r="Y1546">
        <v>0</v>
      </c>
      <c r="Z1546" t="s">
        <v>46</v>
      </c>
      <c r="AA1546">
        <v>59996</v>
      </c>
      <c r="AB1546" t="s">
        <v>1471</v>
      </c>
      <c r="AC1546" t="s">
        <v>103</v>
      </c>
      <c r="AD1546" t="s">
        <v>38</v>
      </c>
      <c r="AE1546" t="s">
        <v>49</v>
      </c>
      <c r="AF1546" t="s">
        <v>50</v>
      </c>
      <c r="AG1546">
        <v>0</v>
      </c>
      <c r="AH1546">
        <v>0</v>
      </c>
      <c r="AI1546" t="s">
        <v>51</v>
      </c>
      <c r="AJ1546" t="s">
        <v>51</v>
      </c>
      <c r="AK1546" t="s">
        <v>51</v>
      </c>
    </row>
    <row r="1547" spans="1:37" x14ac:dyDescent="0.2">
      <c r="A1547">
        <v>59988</v>
      </c>
      <c r="B1547" t="s">
        <v>37</v>
      </c>
      <c r="C1547" t="s">
        <v>38</v>
      </c>
      <c r="D1547" t="s">
        <v>623</v>
      </c>
      <c r="E1547" t="s">
        <v>624</v>
      </c>
      <c r="G1547" s="4">
        <v>43947.025</v>
      </c>
      <c r="H1547" s="4">
        <v>43947.025011574074</v>
      </c>
      <c r="I1547" t="s">
        <v>50</v>
      </c>
      <c r="J1547" s="5">
        <v>.9999999999999999999999999999999999999996</v>
      </c>
      <c r="K1547" t="s">
        <v>38</v>
      </c>
      <c r="M1547">
        <v>59989</v>
      </c>
      <c r="N1547" t="s">
        <v>624</v>
      </c>
      <c r="O1547" t="s">
        <v>623</v>
      </c>
      <c r="P1547" t="s">
        <v>38</v>
      </c>
      <c r="Q1547" t="s">
        <v>50</v>
      </c>
      <c r="R1547">
        <v>.9999999999999999999999999999999999999996</v>
      </c>
      <c r="S1547" t="s">
        <v>45</v>
      </c>
      <c r="T1547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7">
        <v>59990</v>
      </c>
      <c r="V1547" t="s">
        <v>38</v>
      </c>
      <c r="W1547" t="s">
        <v>50</v>
      </c>
      <c r="X1547">
        <v>.9999999999999999999999999999999999999996</v>
      </c>
      <c r="Y1547">
        <v>0</v>
      </c>
      <c r="Z1547" t="s">
        <v>46</v>
      </c>
      <c r="AA1547">
        <v>59995</v>
      </c>
      <c r="AB1547" t="s">
        <v>1472</v>
      </c>
      <c r="AC1547" t="s">
        <v>103</v>
      </c>
      <c r="AD1547" t="s">
        <v>38</v>
      </c>
      <c r="AE1547" t="s">
        <v>49</v>
      </c>
      <c r="AF1547" t="s">
        <v>50</v>
      </c>
      <c r="AG1547">
        <v>0</v>
      </c>
      <c r="AH1547">
        <v>0</v>
      </c>
      <c r="AI1547" t="s">
        <v>51</v>
      </c>
      <c r="AJ1547" t="s">
        <v>51</v>
      </c>
      <c r="AK1547" t="s">
        <v>51</v>
      </c>
    </row>
    <row r="1548" spans="1:37" x14ac:dyDescent="0.2">
      <c r="A1548">
        <v>59988</v>
      </c>
      <c r="B1548" t="s">
        <v>37</v>
      </c>
      <c r="C1548" t="s">
        <v>38</v>
      </c>
      <c r="D1548" t="s">
        <v>623</v>
      </c>
      <c r="E1548" t="s">
        <v>624</v>
      </c>
      <c r="G1548" s="4">
        <v>43947.025</v>
      </c>
      <c r="H1548" s="4">
        <v>43947.025011574074</v>
      </c>
      <c r="I1548" t="s">
        <v>50</v>
      </c>
      <c r="J1548" s="5">
        <v>.9999999999999999999999999999999999999996</v>
      </c>
      <c r="K1548" t="s">
        <v>38</v>
      </c>
      <c r="M1548">
        <v>59989</v>
      </c>
      <c r="N1548" t="s">
        <v>624</v>
      </c>
      <c r="O1548" t="s">
        <v>623</v>
      </c>
      <c r="P1548" t="s">
        <v>38</v>
      </c>
      <c r="Q1548" t="s">
        <v>50</v>
      </c>
      <c r="R1548">
        <v>.9999999999999999999999999999999999999996</v>
      </c>
      <c r="S1548" t="s">
        <v>45</v>
      </c>
      <c r="T1548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8">
        <v>59990</v>
      </c>
      <c r="V1548" t="s">
        <v>38</v>
      </c>
      <c r="W1548" t="s">
        <v>50</v>
      </c>
      <c r="X1548">
        <v>.9999999999999999999999999999999999999996</v>
      </c>
      <c r="Y1548">
        <v>0</v>
      </c>
      <c r="Z1548" t="s">
        <v>46</v>
      </c>
      <c r="AA1548">
        <v>59994</v>
      </c>
      <c r="AB1548" t="s">
        <v>1473</v>
      </c>
      <c r="AC1548" t="s">
        <v>103</v>
      </c>
      <c r="AD1548" t="s">
        <v>38</v>
      </c>
      <c r="AE1548" t="s">
        <v>49</v>
      </c>
      <c r="AF1548" t="s">
        <v>50</v>
      </c>
      <c r="AG1548">
        <v>0</v>
      </c>
      <c r="AH1548">
        <v>0</v>
      </c>
      <c r="AI1548" t="s">
        <v>51</v>
      </c>
      <c r="AJ1548" t="s">
        <v>51</v>
      </c>
      <c r="AK1548" t="s">
        <v>51</v>
      </c>
    </row>
    <row r="1549" spans="1:37" x14ac:dyDescent="0.2">
      <c r="A1549">
        <v>59988</v>
      </c>
      <c r="B1549" t="s">
        <v>37</v>
      </c>
      <c r="C1549" t="s">
        <v>38</v>
      </c>
      <c r="D1549" t="s">
        <v>623</v>
      </c>
      <c r="E1549" t="s">
        <v>624</v>
      </c>
      <c r="G1549" s="4">
        <v>43947.025</v>
      </c>
      <c r="H1549" s="4">
        <v>43947.025011574074</v>
      </c>
      <c r="I1549" t="s">
        <v>50</v>
      </c>
      <c r="J1549" s="5">
        <v>.9999999999999999999999999999999999999996</v>
      </c>
      <c r="K1549" t="s">
        <v>38</v>
      </c>
      <c r="M1549">
        <v>59989</v>
      </c>
      <c r="N1549" t="s">
        <v>624</v>
      </c>
      <c r="O1549" t="s">
        <v>623</v>
      </c>
      <c r="P1549" t="s">
        <v>38</v>
      </c>
      <c r="Q1549" t="s">
        <v>50</v>
      </c>
      <c r="R1549">
        <v>.9999999999999999999999999999999999999996</v>
      </c>
      <c r="S1549" t="s">
        <v>45</v>
      </c>
      <c r="T1549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49">
        <v>59990</v>
      </c>
      <c r="V1549" t="s">
        <v>38</v>
      </c>
      <c r="W1549" t="s">
        <v>50</v>
      </c>
      <c r="X1549">
        <v>.9999999999999999999999999999999999999996</v>
      </c>
      <c r="Y1549">
        <v>0</v>
      </c>
      <c r="Z1549" t="s">
        <v>46</v>
      </c>
      <c r="AA1549">
        <v>59993</v>
      </c>
      <c r="AB1549" t="s">
        <v>1474</v>
      </c>
      <c r="AC1549" t="s">
        <v>103</v>
      </c>
      <c r="AD1549" t="s">
        <v>38</v>
      </c>
      <c r="AE1549" t="s">
        <v>49</v>
      </c>
      <c r="AF1549" t="s">
        <v>50</v>
      </c>
      <c r="AG1549">
        <v>0</v>
      </c>
      <c r="AH1549">
        <v>0</v>
      </c>
      <c r="AI1549" t="s">
        <v>51</v>
      </c>
      <c r="AJ1549" t="s">
        <v>51</v>
      </c>
      <c r="AK1549" t="s">
        <v>51</v>
      </c>
    </row>
    <row r="1550" spans="1:37" x14ac:dyDescent="0.2">
      <c r="A1550">
        <v>59988</v>
      </c>
      <c r="B1550" t="s">
        <v>37</v>
      </c>
      <c r="C1550" t="s">
        <v>38</v>
      </c>
      <c r="D1550" t="s">
        <v>623</v>
      </c>
      <c r="E1550" t="s">
        <v>624</v>
      </c>
      <c r="G1550" s="4">
        <v>43947.025</v>
      </c>
      <c r="H1550" s="4">
        <v>43947.025011574074</v>
      </c>
      <c r="I1550" t="s">
        <v>50</v>
      </c>
      <c r="J1550" s="5">
        <v>.9999999999999999999999999999999999999996</v>
      </c>
      <c r="K1550" t="s">
        <v>38</v>
      </c>
      <c r="M1550">
        <v>59989</v>
      </c>
      <c r="N1550" t="s">
        <v>624</v>
      </c>
      <c r="O1550" t="s">
        <v>623</v>
      </c>
      <c r="P1550" t="s">
        <v>38</v>
      </c>
      <c r="Q1550" t="s">
        <v>50</v>
      </c>
      <c r="R1550">
        <v>.9999999999999999999999999999999999999996</v>
      </c>
      <c r="S1550" t="s">
        <v>45</v>
      </c>
      <c r="T1550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50">
        <v>59990</v>
      </c>
      <c r="V1550" t="s">
        <v>38</v>
      </c>
      <c r="W1550" t="s">
        <v>50</v>
      </c>
      <c r="X1550">
        <v>.9999999999999999999999999999999999999996</v>
      </c>
      <c r="Y1550">
        <v>0</v>
      </c>
      <c r="Z1550" t="s">
        <v>46</v>
      </c>
      <c r="AA1550">
        <v>59992</v>
      </c>
      <c r="AB1550" t="s">
        <v>1475</v>
      </c>
      <c r="AC1550" t="s">
        <v>103</v>
      </c>
      <c r="AD1550" t="s">
        <v>38</v>
      </c>
      <c r="AE1550" t="s">
        <v>49</v>
      </c>
      <c r="AF1550" t="s">
        <v>50</v>
      </c>
      <c r="AG1550">
        <v>.9999999999999999999999999999999999999996</v>
      </c>
      <c r="AH1550">
        <v>0</v>
      </c>
      <c r="AI1550" t="s">
        <v>51</v>
      </c>
      <c r="AJ1550" t="s">
        <v>51</v>
      </c>
      <c r="AK1550" t="s">
        <v>51</v>
      </c>
    </row>
    <row r="1551" spans="1:37" x14ac:dyDescent="0.2">
      <c r="A1551">
        <v>59988</v>
      </c>
      <c r="B1551" t="s">
        <v>37</v>
      </c>
      <c r="C1551" t="s">
        <v>38</v>
      </c>
      <c r="D1551" t="s">
        <v>623</v>
      </c>
      <c r="E1551" t="s">
        <v>624</v>
      </c>
      <c r="G1551" s="4">
        <v>43947.025</v>
      </c>
      <c r="H1551" s="4">
        <v>43947.025011574074</v>
      </c>
      <c r="I1551" t="s">
        <v>50</v>
      </c>
      <c r="J1551" s="5">
        <v>.9999999999999999999999999999999999999996</v>
      </c>
      <c r="K1551" t="s">
        <v>38</v>
      </c>
      <c r="M1551">
        <v>59989</v>
      </c>
      <c r="N1551" t="s">
        <v>624</v>
      </c>
      <c r="O1551" t="s">
        <v>623</v>
      </c>
      <c r="P1551" t="s">
        <v>38</v>
      </c>
      <c r="Q1551" t="s">
        <v>50</v>
      </c>
      <c r="R1551">
        <v>.9999999999999999999999999999999999999996</v>
      </c>
      <c r="S1551" t="s">
        <v>45</v>
      </c>
      <c r="T1551" t="str" s="2">
        <f>=HYPERLINK("http://demo.enginatics.com:80/ecc/user/applications/log/59988.log","http://demo.enginatics.com:80/ecc/user/applications/log/59988.log")</f>
        <v>"http://demo.enginatics.com:80/ecc/user/applications/log/59988.log")</v>
      </c>
      <c r="U1551">
        <v>59990</v>
      </c>
      <c r="V1551" t="s">
        <v>38</v>
      </c>
      <c r="W1551" t="s">
        <v>50</v>
      </c>
      <c r="X1551">
        <v>.9999999999999999999999999999999999999996</v>
      </c>
      <c r="Y1551">
        <v>0</v>
      </c>
      <c r="Z1551" t="s">
        <v>46</v>
      </c>
      <c r="AA1551">
        <v>59991</v>
      </c>
      <c r="AB1551" t="s">
        <v>1476</v>
      </c>
      <c r="AC1551" t="s">
        <v>103</v>
      </c>
      <c r="AD1551" t="s">
        <v>38</v>
      </c>
      <c r="AE1551" t="s">
        <v>49</v>
      </c>
      <c r="AF1551" t="s">
        <v>50</v>
      </c>
      <c r="AG1551">
        <v>0</v>
      </c>
      <c r="AH1551">
        <v>0</v>
      </c>
      <c r="AI1551" t="s">
        <v>51</v>
      </c>
      <c r="AJ1551" t="s">
        <v>51</v>
      </c>
      <c r="AK1551" t="s">
        <v>51</v>
      </c>
    </row>
    <row r="1552" spans="1:37" x14ac:dyDescent="0.2">
      <c r="A1552">
        <v>59978</v>
      </c>
      <c r="B1552" t="s">
        <v>37</v>
      </c>
      <c r="C1552" t="s">
        <v>38</v>
      </c>
      <c r="D1552" t="s">
        <v>641</v>
      </c>
      <c r="E1552" t="s">
        <v>40</v>
      </c>
      <c r="G1552" s="4">
        <v>43947.022002314815</v>
      </c>
      <c r="H1552" s="4">
        <v>43947.022013888889</v>
      </c>
      <c r="I1552" t="s">
        <v>50</v>
      </c>
      <c r="J1552" s="5">
        <v>.9999999999999999999999999999999999999996</v>
      </c>
      <c r="K1552" t="s">
        <v>38</v>
      </c>
      <c r="M1552">
        <v>59985</v>
      </c>
      <c r="N1552" t="s">
        <v>642</v>
      </c>
      <c r="O1552" t="s">
        <v>643</v>
      </c>
      <c r="P1552" t="s">
        <v>38</v>
      </c>
      <c r="Q1552" t="s">
        <v>50</v>
      </c>
      <c r="R1552">
        <v>0</v>
      </c>
      <c r="S1552" t="s">
        <v>45</v>
      </c>
      <c r="T1552" t="str" s="2">
        <f>=HYPERLINK("http://demo.enginatics.com:80/ecc/user/applications/log/59978.log","http://demo.enginatics.com:80/ecc/user/applications/log/59978.log")</f>
        <v>"http://demo.enginatics.com:80/ecc/user/applications/log/59978.log")</v>
      </c>
      <c r="U1552">
        <v>59986</v>
      </c>
      <c r="V1552" t="s">
        <v>38</v>
      </c>
      <c r="W1552" t="s">
        <v>50</v>
      </c>
      <c r="X1552">
        <v>0</v>
      </c>
      <c r="Y1552">
        <v>0</v>
      </c>
      <c r="Z1552" t="s">
        <v>46</v>
      </c>
      <c r="AA1552">
        <v>59987</v>
      </c>
      <c r="AB1552" t="s">
        <v>1477</v>
      </c>
      <c r="AC1552" t="s">
        <v>68</v>
      </c>
      <c r="AD1552" t="s">
        <v>38</v>
      </c>
      <c r="AE1552" t="s">
        <v>49</v>
      </c>
      <c r="AF1552" t="s">
        <v>50</v>
      </c>
      <c r="AG1552">
        <v>0</v>
      </c>
      <c r="AH1552">
        <v>0</v>
      </c>
      <c r="AI1552" t="s">
        <v>51</v>
      </c>
      <c r="AJ1552" t="s">
        <v>51</v>
      </c>
      <c r="AK1552" t="s">
        <v>51</v>
      </c>
    </row>
    <row r="1553" spans="1:37" x14ac:dyDescent="0.2">
      <c r="A1553">
        <v>59978</v>
      </c>
      <c r="B1553" t="s">
        <v>37</v>
      </c>
      <c r="C1553" t="s">
        <v>38</v>
      </c>
      <c r="D1553" t="s">
        <v>641</v>
      </c>
      <c r="E1553" t="s">
        <v>40</v>
      </c>
      <c r="G1553" s="4">
        <v>43947.022002314815</v>
      </c>
      <c r="H1553" s="4">
        <v>43947.022013888889</v>
      </c>
      <c r="I1553" t="s">
        <v>50</v>
      </c>
      <c r="J1553" s="5">
        <v>.9999999999999999999999999999999999999996</v>
      </c>
      <c r="K1553" t="s">
        <v>38</v>
      </c>
      <c r="M1553">
        <v>59982</v>
      </c>
      <c r="N1553" t="s">
        <v>645</v>
      </c>
      <c r="O1553" t="s">
        <v>646</v>
      </c>
      <c r="P1553" t="s">
        <v>38</v>
      </c>
      <c r="Q1553" t="s">
        <v>50</v>
      </c>
      <c r="R1553">
        <v>.9999999999999999999999999999999999999996</v>
      </c>
      <c r="S1553" t="s">
        <v>45</v>
      </c>
      <c r="T1553" t="str" s="2">
        <f>=HYPERLINK("http://demo.enginatics.com:80/ecc/user/applications/log/59978.log","http://demo.enginatics.com:80/ecc/user/applications/log/59978.log")</f>
        <v>"http://demo.enginatics.com:80/ecc/user/applications/log/59978.log")</v>
      </c>
      <c r="U1553">
        <v>59983</v>
      </c>
      <c r="V1553" t="s">
        <v>38</v>
      </c>
      <c r="W1553" t="s">
        <v>50</v>
      </c>
      <c r="X1553">
        <v>0</v>
      </c>
      <c r="Y1553">
        <v>0</v>
      </c>
      <c r="Z1553" t="s">
        <v>46</v>
      </c>
      <c r="AA1553">
        <v>59984</v>
      </c>
      <c r="AB1553" t="s">
        <v>1478</v>
      </c>
      <c r="AC1553" t="s">
        <v>68</v>
      </c>
      <c r="AD1553" t="s">
        <v>38</v>
      </c>
      <c r="AE1553" t="s">
        <v>49</v>
      </c>
      <c r="AF1553" t="s">
        <v>50</v>
      </c>
      <c r="AG1553">
        <v>0</v>
      </c>
      <c r="AH1553">
        <v>0</v>
      </c>
      <c r="AI1553" t="s">
        <v>51</v>
      </c>
      <c r="AJ1553" t="s">
        <v>51</v>
      </c>
      <c r="AK1553" t="s">
        <v>51</v>
      </c>
    </row>
    <row r="1554" spans="1:37" x14ac:dyDescent="0.2">
      <c r="A1554">
        <v>59978</v>
      </c>
      <c r="B1554" t="s">
        <v>37</v>
      </c>
      <c r="C1554" t="s">
        <v>38</v>
      </c>
      <c r="D1554" t="s">
        <v>641</v>
      </c>
      <c r="E1554" t="s">
        <v>40</v>
      </c>
      <c r="G1554" s="4">
        <v>43947.022002314815</v>
      </c>
      <c r="H1554" s="4">
        <v>43947.022013888889</v>
      </c>
      <c r="I1554" t="s">
        <v>50</v>
      </c>
      <c r="J1554" s="5">
        <v>.9999999999999999999999999999999999999996</v>
      </c>
      <c r="K1554" t="s">
        <v>38</v>
      </c>
      <c r="M1554">
        <v>59979</v>
      </c>
      <c r="N1554" t="s">
        <v>648</v>
      </c>
      <c r="O1554" t="s">
        <v>649</v>
      </c>
      <c r="P1554" t="s">
        <v>38</v>
      </c>
      <c r="Q1554" t="s">
        <v>50</v>
      </c>
      <c r="R1554">
        <v>0</v>
      </c>
      <c r="S1554" t="s">
        <v>45</v>
      </c>
      <c r="T1554" t="str" s="2">
        <f>=HYPERLINK("http://demo.enginatics.com:80/ecc/user/applications/log/59978.log","http://demo.enginatics.com:80/ecc/user/applications/log/59978.log")</f>
        <v>"http://demo.enginatics.com:80/ecc/user/applications/log/59978.log")</v>
      </c>
      <c r="U1554">
        <v>59980</v>
      </c>
      <c r="V1554" t="s">
        <v>38</v>
      </c>
      <c r="W1554" t="s">
        <v>50</v>
      </c>
      <c r="X1554">
        <v>0</v>
      </c>
      <c r="Y1554">
        <v>0</v>
      </c>
      <c r="Z1554" t="s">
        <v>46</v>
      </c>
      <c r="AA1554">
        <v>59981</v>
      </c>
      <c r="AB1554" t="s">
        <v>1479</v>
      </c>
      <c r="AC1554" t="s">
        <v>68</v>
      </c>
      <c r="AD1554" t="s">
        <v>38</v>
      </c>
      <c r="AE1554" t="s">
        <v>49</v>
      </c>
      <c r="AF1554" t="s">
        <v>50</v>
      </c>
      <c r="AG1554">
        <v>0</v>
      </c>
      <c r="AH1554">
        <v>0</v>
      </c>
      <c r="AI1554" t="s">
        <v>51</v>
      </c>
      <c r="AJ1554" t="s">
        <v>51</v>
      </c>
      <c r="AK1554" t="s">
        <v>51</v>
      </c>
    </row>
    <row r="1555" spans="1:37" x14ac:dyDescent="0.2">
      <c r="A1555">
        <v>59956</v>
      </c>
      <c r="B1555" t="s">
        <v>37</v>
      </c>
      <c r="C1555" t="s">
        <v>38</v>
      </c>
      <c r="D1555" t="s">
        <v>651</v>
      </c>
      <c r="E1555" t="s">
        <v>40</v>
      </c>
      <c r="G1555" s="4">
        <v>43947.014918981481</v>
      </c>
      <c r="H1555" s="4">
        <v>43947.015</v>
      </c>
      <c r="I1555" t="s">
        <v>247</v>
      </c>
      <c r="J1555" s="5">
        <v>7</v>
      </c>
      <c r="K1555" t="s">
        <v>38</v>
      </c>
      <c r="M1555">
        <v>59975</v>
      </c>
      <c r="N1555" t="s">
        <v>653</v>
      </c>
      <c r="O1555" t="s">
        <v>654</v>
      </c>
      <c r="P1555" t="s">
        <v>38</v>
      </c>
      <c r="Q1555" t="s">
        <v>44</v>
      </c>
      <c r="R1555">
        <v>4</v>
      </c>
      <c r="S1555" t="s">
        <v>45</v>
      </c>
      <c r="T1555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55">
        <v>59976</v>
      </c>
      <c r="V1555" t="s">
        <v>38</v>
      </c>
      <c r="W1555" t="s">
        <v>85</v>
      </c>
      <c r="X1555">
        <v>3</v>
      </c>
      <c r="Y1555">
        <v>0</v>
      </c>
      <c r="Z1555" t="s">
        <v>46</v>
      </c>
      <c r="AA1555">
        <v>59977</v>
      </c>
      <c r="AB1555" t="s">
        <v>655</v>
      </c>
      <c r="AC1555" t="s">
        <v>48</v>
      </c>
      <c r="AD1555" t="s">
        <v>38</v>
      </c>
      <c r="AE1555" t="s">
        <v>49</v>
      </c>
      <c r="AF1555" t="s">
        <v>85</v>
      </c>
      <c r="AG1555">
        <v>3</v>
      </c>
      <c r="AH1555">
        <v>3</v>
      </c>
      <c r="AI1555" t="s">
        <v>51</v>
      </c>
      <c r="AJ1555" t="s">
        <v>51</v>
      </c>
      <c r="AK1555" t="s">
        <v>51</v>
      </c>
    </row>
    <row r="1556" spans="1:37" x14ac:dyDescent="0.2">
      <c r="A1556">
        <v>59956</v>
      </c>
      <c r="B1556" t="s">
        <v>37</v>
      </c>
      <c r="C1556" t="s">
        <v>38</v>
      </c>
      <c r="D1556" t="s">
        <v>651</v>
      </c>
      <c r="E1556" t="s">
        <v>40</v>
      </c>
      <c r="G1556" s="4">
        <v>43947.014918981481</v>
      </c>
      <c r="H1556" s="4">
        <v>43947.015</v>
      </c>
      <c r="I1556" t="s">
        <v>247</v>
      </c>
      <c r="J1556" s="5">
        <v>7</v>
      </c>
      <c r="K1556" t="s">
        <v>38</v>
      </c>
      <c r="M1556">
        <v>59972</v>
      </c>
      <c r="N1556" t="s">
        <v>656</v>
      </c>
      <c r="O1556" t="s">
        <v>657</v>
      </c>
      <c r="P1556" t="s">
        <v>38</v>
      </c>
      <c r="Q1556" t="s">
        <v>50</v>
      </c>
      <c r="R1556">
        <v>.9999999999999999999999999999999999999996</v>
      </c>
      <c r="S1556" t="s">
        <v>45</v>
      </c>
      <c r="T1556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56">
        <v>59973</v>
      </c>
      <c r="V1556" t="s">
        <v>38</v>
      </c>
      <c r="W1556" t="s">
        <v>50</v>
      </c>
      <c r="X1556">
        <v>.9999999999999999999999999999999999999996</v>
      </c>
      <c r="Y1556">
        <v>0</v>
      </c>
      <c r="Z1556" t="s">
        <v>46</v>
      </c>
      <c r="AA1556">
        <v>59974</v>
      </c>
      <c r="AB1556" t="s">
        <v>658</v>
      </c>
      <c r="AC1556" t="s">
        <v>48</v>
      </c>
      <c r="AD1556" t="s">
        <v>38</v>
      </c>
      <c r="AE1556" t="s">
        <v>49</v>
      </c>
      <c r="AF1556" t="s">
        <v>50</v>
      </c>
      <c r="AG1556">
        <v>.9999999999999999999999999999999999999996</v>
      </c>
      <c r="AH1556">
        <v>0</v>
      </c>
      <c r="AI1556" t="s">
        <v>51</v>
      </c>
      <c r="AJ1556" t="s">
        <v>51</v>
      </c>
      <c r="AK1556" t="s">
        <v>51</v>
      </c>
    </row>
    <row r="1557" spans="1:37" x14ac:dyDescent="0.2">
      <c r="A1557">
        <v>59956</v>
      </c>
      <c r="B1557" t="s">
        <v>37</v>
      </c>
      <c r="C1557" t="s">
        <v>38</v>
      </c>
      <c r="D1557" t="s">
        <v>651</v>
      </c>
      <c r="E1557" t="s">
        <v>40</v>
      </c>
      <c r="G1557" s="4">
        <v>43947.014918981481</v>
      </c>
      <c r="H1557" s="4">
        <v>43947.015</v>
      </c>
      <c r="I1557" t="s">
        <v>247</v>
      </c>
      <c r="J1557" s="5">
        <v>7</v>
      </c>
      <c r="K1557" t="s">
        <v>38</v>
      </c>
      <c r="M1557">
        <v>59969</v>
      </c>
      <c r="N1557" t="s">
        <v>659</v>
      </c>
      <c r="O1557" t="s">
        <v>660</v>
      </c>
      <c r="P1557" t="s">
        <v>38</v>
      </c>
      <c r="Q1557" t="s">
        <v>50</v>
      </c>
      <c r="R1557">
        <v>0</v>
      </c>
      <c r="S1557" t="s">
        <v>45</v>
      </c>
      <c r="T1557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57">
        <v>59970</v>
      </c>
      <c r="V1557" t="s">
        <v>38</v>
      </c>
      <c r="W1557" t="s">
        <v>50</v>
      </c>
      <c r="X1557">
        <v>0</v>
      </c>
      <c r="Y1557">
        <v>0</v>
      </c>
      <c r="Z1557" t="s">
        <v>46</v>
      </c>
      <c r="AA1557">
        <v>59971</v>
      </c>
      <c r="AB1557" t="s">
        <v>661</v>
      </c>
      <c r="AC1557" t="s">
        <v>48</v>
      </c>
      <c r="AD1557" t="s">
        <v>38</v>
      </c>
      <c r="AE1557" t="s">
        <v>49</v>
      </c>
      <c r="AF1557" t="s">
        <v>50</v>
      </c>
      <c r="AG1557">
        <v>0</v>
      </c>
      <c r="AH1557">
        <v>0</v>
      </c>
      <c r="AI1557" t="s">
        <v>51</v>
      </c>
      <c r="AJ1557" t="s">
        <v>51</v>
      </c>
      <c r="AK1557" t="s">
        <v>51</v>
      </c>
    </row>
    <row r="1558" spans="1:37" x14ac:dyDescent="0.2">
      <c r="A1558">
        <v>59956</v>
      </c>
      <c r="B1558" t="s">
        <v>37</v>
      </c>
      <c r="C1558" t="s">
        <v>38</v>
      </c>
      <c r="D1558" t="s">
        <v>651</v>
      </c>
      <c r="E1558" t="s">
        <v>40</v>
      </c>
      <c r="G1558" s="4">
        <v>43947.014918981481</v>
      </c>
      <c r="H1558" s="4">
        <v>43947.015</v>
      </c>
      <c r="I1558" t="s">
        <v>247</v>
      </c>
      <c r="J1558" s="5">
        <v>7</v>
      </c>
      <c r="K1558" t="s">
        <v>38</v>
      </c>
      <c r="M1558">
        <v>59966</v>
      </c>
      <c r="N1558" t="s">
        <v>662</v>
      </c>
      <c r="O1558" t="s">
        <v>663</v>
      </c>
      <c r="P1558" t="s">
        <v>38</v>
      </c>
      <c r="Q1558" t="s">
        <v>50</v>
      </c>
      <c r="R1558">
        <v>.9999999999999999999999999999999999999996</v>
      </c>
      <c r="S1558" t="s">
        <v>45</v>
      </c>
      <c r="T1558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58">
        <v>59967</v>
      </c>
      <c r="V1558" t="s">
        <v>38</v>
      </c>
      <c r="W1558" t="s">
        <v>50</v>
      </c>
      <c r="X1558">
        <v>.9999999999999999999999999999999999999996</v>
      </c>
      <c r="Y1558">
        <v>1</v>
      </c>
      <c r="Z1558" t="s">
        <v>46</v>
      </c>
      <c r="AA1558">
        <v>59968</v>
      </c>
      <c r="AB1558" t="s">
        <v>664</v>
      </c>
      <c r="AC1558" t="s">
        <v>48</v>
      </c>
      <c r="AD1558" t="s">
        <v>38</v>
      </c>
      <c r="AE1558" t="s">
        <v>49</v>
      </c>
      <c r="AF1558" t="s">
        <v>50</v>
      </c>
      <c r="AG1558">
        <v>0</v>
      </c>
      <c r="AH1558">
        <v>0</v>
      </c>
      <c r="AI1558" t="s">
        <v>51</v>
      </c>
      <c r="AJ1558" t="s">
        <v>51</v>
      </c>
      <c r="AK1558" t="s">
        <v>51</v>
      </c>
    </row>
    <row r="1559" spans="1:37" x14ac:dyDescent="0.2">
      <c r="A1559">
        <v>59956</v>
      </c>
      <c r="B1559" t="s">
        <v>37</v>
      </c>
      <c r="C1559" t="s">
        <v>38</v>
      </c>
      <c r="D1559" t="s">
        <v>651</v>
      </c>
      <c r="E1559" t="s">
        <v>40</v>
      </c>
      <c r="G1559" s="4">
        <v>43947.014918981481</v>
      </c>
      <c r="H1559" s="4">
        <v>43947.015</v>
      </c>
      <c r="I1559" t="s">
        <v>247</v>
      </c>
      <c r="J1559" s="5">
        <v>7</v>
      </c>
      <c r="K1559" t="s">
        <v>38</v>
      </c>
      <c r="M1559">
        <v>59963</v>
      </c>
      <c r="N1559" t="s">
        <v>665</v>
      </c>
      <c r="O1559" t="s">
        <v>666</v>
      </c>
      <c r="P1559" t="s">
        <v>38</v>
      </c>
      <c r="Q1559" t="s">
        <v>50</v>
      </c>
      <c r="R1559">
        <v>.9999999999999999999999999999999999999996</v>
      </c>
      <c r="S1559" t="s">
        <v>45</v>
      </c>
      <c r="T1559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59">
        <v>59964</v>
      </c>
      <c r="V1559" t="s">
        <v>38</v>
      </c>
      <c r="W1559" t="s">
        <v>50</v>
      </c>
      <c r="X1559">
        <v>.9999999999999999999999999999999999999996</v>
      </c>
      <c r="Y1559">
        <v>0</v>
      </c>
      <c r="Z1559" t="s">
        <v>46</v>
      </c>
      <c r="AA1559">
        <v>59965</v>
      </c>
      <c r="AB1559" t="s">
        <v>667</v>
      </c>
      <c r="AC1559" t="s">
        <v>48</v>
      </c>
      <c r="AD1559" t="s">
        <v>38</v>
      </c>
      <c r="AE1559" t="s">
        <v>49</v>
      </c>
      <c r="AF1559" t="s">
        <v>50</v>
      </c>
      <c r="AG1559">
        <v>.9999999999999999999999999999999999999996</v>
      </c>
      <c r="AH1559">
        <v>0</v>
      </c>
      <c r="AI1559" t="s">
        <v>51</v>
      </c>
      <c r="AJ1559" t="s">
        <v>51</v>
      </c>
      <c r="AK1559" t="s">
        <v>51</v>
      </c>
    </row>
    <row r="1560" spans="1:37" x14ac:dyDescent="0.2">
      <c r="A1560">
        <v>59956</v>
      </c>
      <c r="B1560" t="s">
        <v>37</v>
      </c>
      <c r="C1560" t="s">
        <v>38</v>
      </c>
      <c r="D1560" t="s">
        <v>651</v>
      </c>
      <c r="E1560" t="s">
        <v>40</v>
      </c>
      <c r="G1560" s="4">
        <v>43947.014918981481</v>
      </c>
      <c r="H1560" s="4">
        <v>43947.015</v>
      </c>
      <c r="I1560" t="s">
        <v>247</v>
      </c>
      <c r="J1560" s="5">
        <v>7</v>
      </c>
      <c r="K1560" t="s">
        <v>38</v>
      </c>
      <c r="M1560">
        <v>59960</v>
      </c>
      <c r="N1560" t="s">
        <v>668</v>
      </c>
      <c r="O1560" t="s">
        <v>669</v>
      </c>
      <c r="P1560" t="s">
        <v>38</v>
      </c>
      <c r="Q1560" t="s">
        <v>50</v>
      </c>
      <c r="R1560">
        <v>0</v>
      </c>
      <c r="S1560" t="s">
        <v>45</v>
      </c>
      <c r="T1560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60">
        <v>59961</v>
      </c>
      <c r="V1560" t="s">
        <v>38</v>
      </c>
      <c r="W1560" t="s">
        <v>50</v>
      </c>
      <c r="X1560">
        <v>0</v>
      </c>
      <c r="Y1560">
        <v>0</v>
      </c>
      <c r="Z1560" t="s">
        <v>46</v>
      </c>
      <c r="AA1560">
        <v>59962</v>
      </c>
      <c r="AB1560" t="s">
        <v>670</v>
      </c>
      <c r="AC1560" t="s">
        <v>48</v>
      </c>
      <c r="AD1560" t="s">
        <v>38</v>
      </c>
      <c r="AE1560" t="s">
        <v>49</v>
      </c>
      <c r="AF1560" t="s">
        <v>50</v>
      </c>
      <c r="AG1560">
        <v>0</v>
      </c>
      <c r="AH1560">
        <v>0</v>
      </c>
      <c r="AI1560" t="s">
        <v>51</v>
      </c>
      <c r="AJ1560" t="s">
        <v>51</v>
      </c>
      <c r="AK1560" t="s">
        <v>51</v>
      </c>
    </row>
    <row r="1561" spans="1:37" x14ac:dyDescent="0.2">
      <c r="A1561">
        <v>59956</v>
      </c>
      <c r="B1561" t="s">
        <v>37</v>
      </c>
      <c r="C1561" t="s">
        <v>38</v>
      </c>
      <c r="D1561" t="s">
        <v>651</v>
      </c>
      <c r="E1561" t="s">
        <v>40</v>
      </c>
      <c r="G1561" s="4">
        <v>43947.014918981481</v>
      </c>
      <c r="H1561" s="4">
        <v>43947.015</v>
      </c>
      <c r="I1561" t="s">
        <v>247</v>
      </c>
      <c r="J1561" s="5">
        <v>7</v>
      </c>
      <c r="K1561" t="s">
        <v>38</v>
      </c>
      <c r="M1561">
        <v>59957</v>
      </c>
      <c r="N1561" t="s">
        <v>671</v>
      </c>
      <c r="O1561" t="s">
        <v>672</v>
      </c>
      <c r="P1561" t="s">
        <v>38</v>
      </c>
      <c r="Q1561" t="s">
        <v>50</v>
      </c>
      <c r="R1561">
        <v>0</v>
      </c>
      <c r="S1561" t="s">
        <v>45</v>
      </c>
      <c r="T1561" t="str" s="2">
        <f>=HYPERLINK("http://demo.enginatics.com:80/ecc/user/applications/log/59956.log","http://demo.enginatics.com:80/ecc/user/applications/log/59956.log")</f>
        <v>"http://demo.enginatics.com:80/ecc/user/applications/log/59956.log")</v>
      </c>
      <c r="U1561">
        <v>59958</v>
      </c>
      <c r="V1561" t="s">
        <v>38</v>
      </c>
      <c r="W1561" t="s">
        <v>50</v>
      </c>
      <c r="X1561">
        <v>0</v>
      </c>
      <c r="Y1561">
        <v>0</v>
      </c>
      <c r="Z1561" t="s">
        <v>46</v>
      </c>
      <c r="AA1561">
        <v>59959</v>
      </c>
      <c r="AB1561" t="s">
        <v>673</v>
      </c>
      <c r="AC1561" t="s">
        <v>48</v>
      </c>
      <c r="AD1561" t="s">
        <v>38</v>
      </c>
      <c r="AE1561" t="s">
        <v>49</v>
      </c>
      <c r="AF1561" t="s">
        <v>50</v>
      </c>
      <c r="AG1561">
        <v>0</v>
      </c>
      <c r="AH1561">
        <v>0</v>
      </c>
      <c r="AI1561" t="s">
        <v>51</v>
      </c>
      <c r="AJ1561" t="s">
        <v>51</v>
      </c>
      <c r="AK1561" t="s">
        <v>51</v>
      </c>
    </row>
    <row r="1562" spans="1:37" x14ac:dyDescent="0.2">
      <c r="A1562">
        <v>59783</v>
      </c>
      <c r="B1562" t="s">
        <v>37</v>
      </c>
      <c r="C1562" t="s">
        <v>38</v>
      </c>
      <c r="D1562" t="s">
        <v>674</v>
      </c>
      <c r="E1562" t="s">
        <v>40</v>
      </c>
      <c r="G1562" s="4">
        <v>43947.008020833333</v>
      </c>
      <c r="H1562" s="4">
        <v>43947.008819444444</v>
      </c>
      <c r="I1562" t="s">
        <v>1480</v>
      </c>
      <c r="J1562" s="5">
        <v>68.99999999999999999999999999999999999999</v>
      </c>
      <c r="K1562" t="s">
        <v>38</v>
      </c>
      <c r="M1562">
        <v>59953</v>
      </c>
      <c r="N1562" t="s">
        <v>676</v>
      </c>
      <c r="O1562" t="s">
        <v>677</v>
      </c>
      <c r="P1562" t="s">
        <v>38</v>
      </c>
      <c r="Q1562" t="s">
        <v>652</v>
      </c>
      <c r="R1562">
        <v>8</v>
      </c>
      <c r="S1562" t="s">
        <v>45</v>
      </c>
      <c r="T156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2">
        <v>59954</v>
      </c>
      <c r="V1562" t="s">
        <v>38</v>
      </c>
      <c r="W1562" t="s">
        <v>78</v>
      </c>
      <c r="X1562">
        <v>5</v>
      </c>
      <c r="Y1562">
        <v>0</v>
      </c>
      <c r="Z1562" t="s">
        <v>46</v>
      </c>
      <c r="AA1562">
        <v>59955</v>
      </c>
      <c r="AB1562" t="s">
        <v>678</v>
      </c>
      <c r="AC1562" t="s">
        <v>48</v>
      </c>
      <c r="AD1562" t="s">
        <v>38</v>
      </c>
      <c r="AE1562" t="s">
        <v>1206</v>
      </c>
      <c r="AF1562" t="s">
        <v>78</v>
      </c>
      <c r="AG1562">
        <v>5</v>
      </c>
      <c r="AH1562">
        <v>0</v>
      </c>
      <c r="AI1562" t="s">
        <v>1207</v>
      </c>
      <c r="AJ1562" t="s">
        <v>51</v>
      </c>
      <c r="AK1562" t="s">
        <v>1207</v>
      </c>
    </row>
    <row r="1563" spans="1:37" x14ac:dyDescent="0.2">
      <c r="A1563">
        <v>59783</v>
      </c>
      <c r="B1563" t="s">
        <v>37</v>
      </c>
      <c r="C1563" t="s">
        <v>38</v>
      </c>
      <c r="D1563" t="s">
        <v>674</v>
      </c>
      <c r="E1563" t="s">
        <v>40</v>
      </c>
      <c r="G1563" s="4">
        <v>43947.008020833333</v>
      </c>
      <c r="H1563" s="4">
        <v>43947.008819444444</v>
      </c>
      <c r="I1563" t="s">
        <v>1480</v>
      </c>
      <c r="J1563" s="5">
        <v>68.99999999999999999999999999999999999999</v>
      </c>
      <c r="K1563" t="s">
        <v>38</v>
      </c>
      <c r="M1563">
        <v>59950</v>
      </c>
      <c r="N1563" t="s">
        <v>681</v>
      </c>
      <c r="O1563" t="s">
        <v>682</v>
      </c>
      <c r="P1563" t="s">
        <v>38</v>
      </c>
      <c r="Q1563" t="s">
        <v>75</v>
      </c>
      <c r="R1563">
        <v>6</v>
      </c>
      <c r="S1563" t="s">
        <v>45</v>
      </c>
      <c r="T156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3">
        <v>59951</v>
      </c>
      <c r="V1563" t="s">
        <v>38</v>
      </c>
      <c r="W1563" t="s">
        <v>75</v>
      </c>
      <c r="X1563">
        <v>6</v>
      </c>
      <c r="Y1563">
        <v>0</v>
      </c>
      <c r="Z1563" t="s">
        <v>46</v>
      </c>
      <c r="AA1563">
        <v>59952</v>
      </c>
      <c r="AB1563" t="s">
        <v>683</v>
      </c>
      <c r="AC1563" t="s">
        <v>48</v>
      </c>
      <c r="AD1563" t="s">
        <v>38</v>
      </c>
      <c r="AE1563" t="s">
        <v>1208</v>
      </c>
      <c r="AF1563" t="s">
        <v>75</v>
      </c>
      <c r="AG1563">
        <v>6</v>
      </c>
      <c r="AH1563">
        <v>0</v>
      </c>
      <c r="AI1563" t="s">
        <v>1209</v>
      </c>
      <c r="AJ1563" t="s">
        <v>51</v>
      </c>
      <c r="AK1563" t="s">
        <v>1209</v>
      </c>
    </row>
    <row r="1564" spans="1:37" x14ac:dyDescent="0.2">
      <c r="A1564">
        <v>59783</v>
      </c>
      <c r="B1564" t="s">
        <v>37</v>
      </c>
      <c r="C1564" t="s">
        <v>38</v>
      </c>
      <c r="D1564" t="s">
        <v>674</v>
      </c>
      <c r="E1564" t="s">
        <v>40</v>
      </c>
      <c r="G1564" s="4">
        <v>43947.008020833333</v>
      </c>
      <c r="H1564" s="4">
        <v>43947.008819444444</v>
      </c>
      <c r="I1564" t="s">
        <v>1480</v>
      </c>
      <c r="J1564" s="5">
        <v>68.99999999999999999999999999999999999999</v>
      </c>
      <c r="K1564" t="s">
        <v>38</v>
      </c>
      <c r="M1564">
        <v>59947</v>
      </c>
      <c r="N1564" t="s">
        <v>686</v>
      </c>
      <c r="O1564" t="s">
        <v>687</v>
      </c>
      <c r="P1564" t="s">
        <v>38</v>
      </c>
      <c r="Q1564" t="s">
        <v>75</v>
      </c>
      <c r="R1564">
        <v>6</v>
      </c>
      <c r="S1564" t="s">
        <v>45</v>
      </c>
      <c r="T156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4">
        <v>59948</v>
      </c>
      <c r="V1564" t="s">
        <v>38</v>
      </c>
      <c r="W1564" t="s">
        <v>75</v>
      </c>
      <c r="X1564">
        <v>6</v>
      </c>
      <c r="Y1564">
        <v>0</v>
      </c>
      <c r="Z1564" t="s">
        <v>46</v>
      </c>
      <c r="AA1564">
        <v>59949</v>
      </c>
      <c r="AB1564" t="s">
        <v>688</v>
      </c>
      <c r="AC1564" t="s">
        <v>48</v>
      </c>
      <c r="AD1564" t="s">
        <v>38</v>
      </c>
      <c r="AE1564" t="s">
        <v>689</v>
      </c>
      <c r="AF1564" t="s">
        <v>78</v>
      </c>
      <c r="AG1564">
        <v>5</v>
      </c>
      <c r="AH1564">
        <v>0</v>
      </c>
      <c r="AI1564" t="s">
        <v>690</v>
      </c>
      <c r="AJ1564" t="s">
        <v>51</v>
      </c>
      <c r="AK1564" t="s">
        <v>690</v>
      </c>
    </row>
    <row r="1565" spans="1:37" x14ac:dyDescent="0.2">
      <c r="A1565">
        <v>59783</v>
      </c>
      <c r="B1565" t="s">
        <v>37</v>
      </c>
      <c r="C1565" t="s">
        <v>38</v>
      </c>
      <c r="D1565" t="s">
        <v>674</v>
      </c>
      <c r="E1565" t="s">
        <v>40</v>
      </c>
      <c r="G1565" s="4">
        <v>43947.008020833333</v>
      </c>
      <c r="H1565" s="4">
        <v>43947.008819444444</v>
      </c>
      <c r="I1565" t="s">
        <v>1480</v>
      </c>
      <c r="J1565" s="5">
        <v>68.99999999999999999999999999999999999999</v>
      </c>
      <c r="K1565" t="s">
        <v>38</v>
      </c>
      <c r="M1565">
        <v>59943</v>
      </c>
      <c r="N1565" t="s">
        <v>691</v>
      </c>
      <c r="O1565" t="s">
        <v>692</v>
      </c>
      <c r="P1565" t="s">
        <v>38</v>
      </c>
      <c r="Q1565" t="s">
        <v>693</v>
      </c>
      <c r="R1565">
        <v>19.99999999999999999999999999999999999996</v>
      </c>
      <c r="S1565" t="s">
        <v>45</v>
      </c>
      <c r="T156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5">
        <v>59944</v>
      </c>
      <c r="V1565" t="s">
        <v>38</v>
      </c>
      <c r="W1565" t="s">
        <v>693</v>
      </c>
      <c r="X1565">
        <v>19.99999999999999999999999999999999999996</v>
      </c>
      <c r="Y1565">
        <v>0</v>
      </c>
      <c r="Z1565" t="s">
        <v>46</v>
      </c>
      <c r="AA1565">
        <v>59946</v>
      </c>
      <c r="AB1565" t="s">
        <v>694</v>
      </c>
      <c r="AC1565" t="s">
        <v>103</v>
      </c>
      <c r="AD1565" t="s">
        <v>38</v>
      </c>
      <c r="AE1565" t="s">
        <v>992</v>
      </c>
      <c r="AF1565" t="s">
        <v>300</v>
      </c>
      <c r="AG1565">
        <v>10.00000000000000000000000000000000000002</v>
      </c>
      <c r="AH1565">
        <v>5</v>
      </c>
      <c r="AI1565" t="s">
        <v>993</v>
      </c>
      <c r="AJ1565" t="s">
        <v>51</v>
      </c>
      <c r="AK1565" t="s">
        <v>993</v>
      </c>
    </row>
    <row r="1566" spans="1:37" x14ac:dyDescent="0.2">
      <c r="A1566">
        <v>59783</v>
      </c>
      <c r="B1566" t="s">
        <v>37</v>
      </c>
      <c r="C1566" t="s">
        <v>38</v>
      </c>
      <c r="D1566" t="s">
        <v>674</v>
      </c>
      <c r="E1566" t="s">
        <v>40</v>
      </c>
      <c r="G1566" s="4">
        <v>43947.008020833333</v>
      </c>
      <c r="H1566" s="4">
        <v>43947.008819444444</v>
      </c>
      <c r="I1566" t="s">
        <v>1480</v>
      </c>
      <c r="J1566" s="5">
        <v>68.99999999999999999999999999999999999999</v>
      </c>
      <c r="K1566" t="s">
        <v>38</v>
      </c>
      <c r="M1566">
        <v>59943</v>
      </c>
      <c r="N1566" t="s">
        <v>691</v>
      </c>
      <c r="O1566" t="s">
        <v>692</v>
      </c>
      <c r="P1566" t="s">
        <v>38</v>
      </c>
      <c r="Q1566" t="s">
        <v>693</v>
      </c>
      <c r="R1566">
        <v>19.99999999999999999999999999999999999996</v>
      </c>
      <c r="S1566" t="s">
        <v>45</v>
      </c>
      <c r="T156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6">
        <v>59944</v>
      </c>
      <c r="V1566" t="s">
        <v>38</v>
      </c>
      <c r="W1566" t="s">
        <v>693</v>
      </c>
      <c r="X1566">
        <v>19.99999999999999999999999999999999999996</v>
      </c>
      <c r="Y1566">
        <v>0</v>
      </c>
      <c r="Z1566" t="s">
        <v>46</v>
      </c>
      <c r="AA1566">
        <v>59945</v>
      </c>
      <c r="AB1566" t="s">
        <v>697</v>
      </c>
      <c r="AC1566" t="s">
        <v>48</v>
      </c>
      <c r="AD1566" t="s">
        <v>38</v>
      </c>
      <c r="AE1566" t="s">
        <v>992</v>
      </c>
      <c r="AF1566" t="s">
        <v>300</v>
      </c>
      <c r="AG1566">
        <v>10.00000000000000000000000000000000000002</v>
      </c>
      <c r="AH1566">
        <v>7</v>
      </c>
      <c r="AI1566" t="s">
        <v>993</v>
      </c>
      <c r="AJ1566" t="s">
        <v>51</v>
      </c>
      <c r="AK1566" t="s">
        <v>993</v>
      </c>
    </row>
    <row r="1567" spans="1:37" x14ac:dyDescent="0.2">
      <c r="A1567">
        <v>59783</v>
      </c>
      <c r="B1567" t="s">
        <v>37</v>
      </c>
      <c r="C1567" t="s">
        <v>38</v>
      </c>
      <c r="D1567" t="s">
        <v>674</v>
      </c>
      <c r="E1567" t="s">
        <v>40</v>
      </c>
      <c r="G1567" s="4">
        <v>43947.008020833333</v>
      </c>
      <c r="H1567" s="4">
        <v>43947.008819444444</v>
      </c>
      <c r="I1567" t="s">
        <v>1480</v>
      </c>
      <c r="J1567" s="5">
        <v>68.99999999999999999999999999999999999999</v>
      </c>
      <c r="K1567" t="s">
        <v>38</v>
      </c>
      <c r="M1567">
        <v>59939</v>
      </c>
      <c r="N1567" t="s">
        <v>698</v>
      </c>
      <c r="O1567" t="s">
        <v>699</v>
      </c>
      <c r="P1567" t="s">
        <v>38</v>
      </c>
      <c r="Q1567" t="s">
        <v>652</v>
      </c>
      <c r="R1567">
        <v>8</v>
      </c>
      <c r="S1567" t="s">
        <v>45</v>
      </c>
      <c r="T156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7">
        <v>59940</v>
      </c>
      <c r="V1567" t="s">
        <v>38</v>
      </c>
      <c r="W1567" t="s">
        <v>652</v>
      </c>
      <c r="X1567">
        <v>8</v>
      </c>
      <c r="Y1567">
        <v>0</v>
      </c>
      <c r="Z1567" t="s">
        <v>46</v>
      </c>
      <c r="AA1567">
        <v>59942</v>
      </c>
      <c r="AB1567" t="s">
        <v>700</v>
      </c>
      <c r="AC1567" t="s">
        <v>103</v>
      </c>
      <c r="AD1567" t="s">
        <v>38</v>
      </c>
      <c r="AE1567" t="s">
        <v>909</v>
      </c>
      <c r="AF1567" t="s">
        <v>78</v>
      </c>
      <c r="AG1567">
        <v>5</v>
      </c>
      <c r="AH1567">
        <v>0</v>
      </c>
      <c r="AI1567" t="s">
        <v>1210</v>
      </c>
      <c r="AJ1567" t="s">
        <v>51</v>
      </c>
      <c r="AK1567" t="s">
        <v>910</v>
      </c>
    </row>
    <row r="1568" spans="1:37" x14ac:dyDescent="0.2">
      <c r="A1568">
        <v>59783</v>
      </c>
      <c r="B1568" t="s">
        <v>37</v>
      </c>
      <c r="C1568" t="s">
        <v>38</v>
      </c>
      <c r="D1568" t="s">
        <v>674</v>
      </c>
      <c r="E1568" t="s">
        <v>40</v>
      </c>
      <c r="G1568" s="4">
        <v>43947.008020833333</v>
      </c>
      <c r="H1568" s="4">
        <v>43947.008819444444</v>
      </c>
      <c r="I1568" t="s">
        <v>1480</v>
      </c>
      <c r="J1568" s="5">
        <v>68.99999999999999999999999999999999999999</v>
      </c>
      <c r="K1568" t="s">
        <v>38</v>
      </c>
      <c r="M1568">
        <v>59939</v>
      </c>
      <c r="N1568" t="s">
        <v>698</v>
      </c>
      <c r="O1568" t="s">
        <v>699</v>
      </c>
      <c r="P1568" t="s">
        <v>38</v>
      </c>
      <c r="Q1568" t="s">
        <v>652</v>
      </c>
      <c r="R1568">
        <v>8</v>
      </c>
      <c r="S1568" t="s">
        <v>45</v>
      </c>
      <c r="T156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8">
        <v>59940</v>
      </c>
      <c r="V1568" t="s">
        <v>38</v>
      </c>
      <c r="W1568" t="s">
        <v>652</v>
      </c>
      <c r="X1568">
        <v>8</v>
      </c>
      <c r="Y1568">
        <v>0</v>
      </c>
      <c r="Z1568" t="s">
        <v>46</v>
      </c>
      <c r="AA1568">
        <v>59941</v>
      </c>
      <c r="AB1568" t="s">
        <v>704</v>
      </c>
      <c r="AC1568" t="s">
        <v>48</v>
      </c>
      <c r="AD1568" t="s">
        <v>38</v>
      </c>
      <c r="AE1568" t="s">
        <v>909</v>
      </c>
      <c r="AF1568" t="s">
        <v>85</v>
      </c>
      <c r="AG1568">
        <v>3</v>
      </c>
      <c r="AH1568">
        <v>0</v>
      </c>
      <c r="AI1568" t="s">
        <v>910</v>
      </c>
      <c r="AJ1568" t="s">
        <v>51</v>
      </c>
      <c r="AK1568" t="s">
        <v>910</v>
      </c>
    </row>
    <row r="1569" spans="1:37" x14ac:dyDescent="0.2">
      <c r="A1569">
        <v>59783</v>
      </c>
      <c r="B1569" t="s">
        <v>37</v>
      </c>
      <c r="C1569" t="s">
        <v>38</v>
      </c>
      <c r="D1569" t="s">
        <v>674</v>
      </c>
      <c r="E1569" t="s">
        <v>40</v>
      </c>
      <c r="G1569" s="4">
        <v>43947.008020833333</v>
      </c>
      <c r="H1569" s="4">
        <v>43947.008819444444</v>
      </c>
      <c r="I1569" t="s">
        <v>1480</v>
      </c>
      <c r="J1569" s="5">
        <v>68.99999999999999999999999999999999999999</v>
      </c>
      <c r="K1569" t="s">
        <v>38</v>
      </c>
      <c r="M1569">
        <v>59784</v>
      </c>
      <c r="N1569" t="s">
        <v>705</v>
      </c>
      <c r="O1569" t="s">
        <v>706</v>
      </c>
      <c r="P1569" t="s">
        <v>38</v>
      </c>
      <c r="Q1569" t="s">
        <v>693</v>
      </c>
      <c r="R1569">
        <v>19.99999999999999999999999999999999999996</v>
      </c>
      <c r="S1569" t="s">
        <v>45</v>
      </c>
      <c r="T156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69">
        <v>59785</v>
      </c>
      <c r="V1569" t="s">
        <v>38</v>
      </c>
      <c r="W1569" t="s">
        <v>693</v>
      </c>
      <c r="X1569">
        <v>19.99999999999999999999999999999999999996</v>
      </c>
      <c r="Y1569">
        <v>0</v>
      </c>
      <c r="Z1569" t="s">
        <v>46</v>
      </c>
      <c r="AA1569">
        <v>59938</v>
      </c>
      <c r="AB1569" t="s">
        <v>1481</v>
      </c>
      <c r="AC1569" t="s">
        <v>103</v>
      </c>
      <c r="AD1569" t="s">
        <v>38</v>
      </c>
      <c r="AE1569" t="s">
        <v>49</v>
      </c>
      <c r="AF1569" t="s">
        <v>50</v>
      </c>
      <c r="AG1569">
        <v>0</v>
      </c>
      <c r="AH1569">
        <v>0</v>
      </c>
      <c r="AI1569" t="s">
        <v>51</v>
      </c>
      <c r="AJ1569" t="s">
        <v>51</v>
      </c>
      <c r="AK1569" t="s">
        <v>51</v>
      </c>
    </row>
    <row r="1570" spans="1:37" x14ac:dyDescent="0.2">
      <c r="A1570">
        <v>59783</v>
      </c>
      <c r="B1570" t="s">
        <v>37</v>
      </c>
      <c r="C1570" t="s">
        <v>38</v>
      </c>
      <c r="D1570" t="s">
        <v>674</v>
      </c>
      <c r="E1570" t="s">
        <v>40</v>
      </c>
      <c r="G1570" s="4">
        <v>43947.008020833333</v>
      </c>
      <c r="H1570" s="4">
        <v>43947.008819444444</v>
      </c>
      <c r="I1570" t="s">
        <v>1480</v>
      </c>
      <c r="J1570" s="5">
        <v>68.99999999999999999999999999999999999999</v>
      </c>
      <c r="K1570" t="s">
        <v>38</v>
      </c>
      <c r="M1570">
        <v>59784</v>
      </c>
      <c r="N1570" t="s">
        <v>705</v>
      </c>
      <c r="O1570" t="s">
        <v>706</v>
      </c>
      <c r="P1570" t="s">
        <v>38</v>
      </c>
      <c r="Q1570" t="s">
        <v>693</v>
      </c>
      <c r="R1570">
        <v>19.99999999999999999999999999999999999996</v>
      </c>
      <c r="S1570" t="s">
        <v>45</v>
      </c>
      <c r="T157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0">
        <v>59785</v>
      </c>
      <c r="V1570" t="s">
        <v>38</v>
      </c>
      <c r="W1570" t="s">
        <v>693</v>
      </c>
      <c r="X1570">
        <v>19.99999999999999999999999999999999999996</v>
      </c>
      <c r="Y1570">
        <v>0</v>
      </c>
      <c r="Z1570" t="s">
        <v>46</v>
      </c>
      <c r="AA1570">
        <v>59937</v>
      </c>
      <c r="AB1570" t="s">
        <v>1482</v>
      </c>
      <c r="AC1570" t="s">
        <v>103</v>
      </c>
      <c r="AD1570" t="s">
        <v>38</v>
      </c>
      <c r="AE1570" t="s">
        <v>49</v>
      </c>
      <c r="AF1570" t="s">
        <v>50</v>
      </c>
      <c r="AG1570">
        <v>0</v>
      </c>
      <c r="AH1570">
        <v>0</v>
      </c>
      <c r="AI1570" t="s">
        <v>51</v>
      </c>
      <c r="AJ1570" t="s">
        <v>51</v>
      </c>
      <c r="AK1570" t="s">
        <v>51</v>
      </c>
    </row>
    <row r="1571" spans="1:37" x14ac:dyDescent="0.2">
      <c r="A1571">
        <v>59783</v>
      </c>
      <c r="B1571" t="s">
        <v>37</v>
      </c>
      <c r="C1571" t="s">
        <v>38</v>
      </c>
      <c r="D1571" t="s">
        <v>674</v>
      </c>
      <c r="E1571" t="s">
        <v>40</v>
      </c>
      <c r="G1571" s="4">
        <v>43947.008020833333</v>
      </c>
      <c r="H1571" s="4">
        <v>43947.008819444444</v>
      </c>
      <c r="I1571" t="s">
        <v>1480</v>
      </c>
      <c r="J1571" s="5">
        <v>68.99999999999999999999999999999999999999</v>
      </c>
      <c r="K1571" t="s">
        <v>38</v>
      </c>
      <c r="M1571">
        <v>59784</v>
      </c>
      <c r="N1571" t="s">
        <v>705</v>
      </c>
      <c r="O1571" t="s">
        <v>706</v>
      </c>
      <c r="P1571" t="s">
        <v>38</v>
      </c>
      <c r="Q1571" t="s">
        <v>693</v>
      </c>
      <c r="R1571">
        <v>19.99999999999999999999999999999999999996</v>
      </c>
      <c r="S1571" t="s">
        <v>45</v>
      </c>
      <c r="T157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1">
        <v>59785</v>
      </c>
      <c r="V1571" t="s">
        <v>38</v>
      </c>
      <c r="W1571" t="s">
        <v>693</v>
      </c>
      <c r="X1571">
        <v>19.99999999999999999999999999999999999996</v>
      </c>
      <c r="Y1571">
        <v>0</v>
      </c>
      <c r="Z1571" t="s">
        <v>46</v>
      </c>
      <c r="AA1571">
        <v>59936</v>
      </c>
      <c r="AB1571" t="s">
        <v>1483</v>
      </c>
      <c r="AC1571" t="s">
        <v>103</v>
      </c>
      <c r="AD1571" t="s">
        <v>38</v>
      </c>
      <c r="AE1571" t="s">
        <v>49</v>
      </c>
      <c r="AF1571" t="s">
        <v>50</v>
      </c>
      <c r="AG1571">
        <v>0</v>
      </c>
      <c r="AH1571">
        <v>0</v>
      </c>
      <c r="AI1571" t="s">
        <v>51</v>
      </c>
      <c r="AJ1571" t="s">
        <v>51</v>
      </c>
      <c r="AK1571" t="s">
        <v>51</v>
      </c>
    </row>
    <row r="1572" spans="1:37" x14ac:dyDescent="0.2">
      <c r="A1572">
        <v>59783</v>
      </c>
      <c r="B1572" t="s">
        <v>37</v>
      </c>
      <c r="C1572" t="s">
        <v>38</v>
      </c>
      <c r="D1572" t="s">
        <v>674</v>
      </c>
      <c r="E1572" t="s">
        <v>40</v>
      </c>
      <c r="G1572" s="4">
        <v>43947.008020833333</v>
      </c>
      <c r="H1572" s="4">
        <v>43947.008819444444</v>
      </c>
      <c r="I1572" t="s">
        <v>1480</v>
      </c>
      <c r="J1572" s="5">
        <v>68.99999999999999999999999999999999999999</v>
      </c>
      <c r="K1572" t="s">
        <v>38</v>
      </c>
      <c r="M1572">
        <v>59784</v>
      </c>
      <c r="N1572" t="s">
        <v>705</v>
      </c>
      <c r="O1572" t="s">
        <v>706</v>
      </c>
      <c r="P1572" t="s">
        <v>38</v>
      </c>
      <c r="Q1572" t="s">
        <v>693</v>
      </c>
      <c r="R1572">
        <v>19.99999999999999999999999999999999999996</v>
      </c>
      <c r="S1572" t="s">
        <v>45</v>
      </c>
      <c r="T157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2">
        <v>59785</v>
      </c>
      <c r="V1572" t="s">
        <v>38</v>
      </c>
      <c r="W1572" t="s">
        <v>693</v>
      </c>
      <c r="X1572">
        <v>19.99999999999999999999999999999999999996</v>
      </c>
      <c r="Y1572">
        <v>0</v>
      </c>
      <c r="Z1572" t="s">
        <v>46</v>
      </c>
      <c r="AA1572">
        <v>59935</v>
      </c>
      <c r="AB1572" t="s">
        <v>1484</v>
      </c>
      <c r="AC1572" t="s">
        <v>103</v>
      </c>
      <c r="AD1572" t="s">
        <v>38</v>
      </c>
      <c r="AE1572" t="s">
        <v>49</v>
      </c>
      <c r="AF1572" t="s">
        <v>50</v>
      </c>
      <c r="AG1572">
        <v>0</v>
      </c>
      <c r="AH1572">
        <v>0</v>
      </c>
      <c r="AI1572" t="s">
        <v>51</v>
      </c>
      <c r="AJ1572" t="s">
        <v>51</v>
      </c>
      <c r="AK1572" t="s">
        <v>51</v>
      </c>
    </row>
    <row r="1573" spans="1:37" x14ac:dyDescent="0.2">
      <c r="A1573">
        <v>59783</v>
      </c>
      <c r="B1573" t="s">
        <v>37</v>
      </c>
      <c r="C1573" t="s">
        <v>38</v>
      </c>
      <c r="D1573" t="s">
        <v>674</v>
      </c>
      <c r="E1573" t="s">
        <v>40</v>
      </c>
      <c r="G1573" s="4">
        <v>43947.008020833333</v>
      </c>
      <c r="H1573" s="4">
        <v>43947.008819444444</v>
      </c>
      <c r="I1573" t="s">
        <v>1480</v>
      </c>
      <c r="J1573" s="5">
        <v>68.99999999999999999999999999999999999999</v>
      </c>
      <c r="K1573" t="s">
        <v>38</v>
      </c>
      <c r="M1573">
        <v>59784</v>
      </c>
      <c r="N1573" t="s">
        <v>705</v>
      </c>
      <c r="O1573" t="s">
        <v>706</v>
      </c>
      <c r="P1573" t="s">
        <v>38</v>
      </c>
      <c r="Q1573" t="s">
        <v>693</v>
      </c>
      <c r="R1573">
        <v>19.99999999999999999999999999999999999996</v>
      </c>
      <c r="S1573" t="s">
        <v>45</v>
      </c>
      <c r="T157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3">
        <v>59785</v>
      </c>
      <c r="V1573" t="s">
        <v>38</v>
      </c>
      <c r="W1573" t="s">
        <v>693</v>
      </c>
      <c r="X1573">
        <v>19.99999999999999999999999999999999999996</v>
      </c>
      <c r="Y1573">
        <v>0</v>
      </c>
      <c r="Z1573" t="s">
        <v>46</v>
      </c>
      <c r="AA1573">
        <v>59934</v>
      </c>
      <c r="AB1573" t="s">
        <v>1485</v>
      </c>
      <c r="AC1573" t="s">
        <v>103</v>
      </c>
      <c r="AD1573" t="s">
        <v>38</v>
      </c>
      <c r="AE1573" t="s">
        <v>49</v>
      </c>
      <c r="AF1573" t="s">
        <v>50</v>
      </c>
      <c r="AG1573">
        <v>0</v>
      </c>
      <c r="AH1573">
        <v>0</v>
      </c>
      <c r="AI1573" t="s">
        <v>51</v>
      </c>
      <c r="AJ1573" t="s">
        <v>51</v>
      </c>
      <c r="AK1573" t="s">
        <v>51</v>
      </c>
    </row>
    <row r="1574" spans="1:37" x14ac:dyDescent="0.2">
      <c r="A1574">
        <v>59783</v>
      </c>
      <c r="B1574" t="s">
        <v>37</v>
      </c>
      <c r="C1574" t="s">
        <v>38</v>
      </c>
      <c r="D1574" t="s">
        <v>674</v>
      </c>
      <c r="E1574" t="s">
        <v>40</v>
      </c>
      <c r="G1574" s="4">
        <v>43947.008020833333</v>
      </c>
      <c r="H1574" s="4">
        <v>43947.008819444444</v>
      </c>
      <c r="I1574" t="s">
        <v>1480</v>
      </c>
      <c r="J1574" s="5">
        <v>68.99999999999999999999999999999999999999</v>
      </c>
      <c r="K1574" t="s">
        <v>38</v>
      </c>
      <c r="M1574">
        <v>59784</v>
      </c>
      <c r="N1574" t="s">
        <v>705</v>
      </c>
      <c r="O1574" t="s">
        <v>706</v>
      </c>
      <c r="P1574" t="s">
        <v>38</v>
      </c>
      <c r="Q1574" t="s">
        <v>693</v>
      </c>
      <c r="R1574">
        <v>19.99999999999999999999999999999999999996</v>
      </c>
      <c r="S1574" t="s">
        <v>45</v>
      </c>
      <c r="T157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4">
        <v>59785</v>
      </c>
      <c r="V1574" t="s">
        <v>38</v>
      </c>
      <c r="W1574" t="s">
        <v>693</v>
      </c>
      <c r="X1574">
        <v>19.99999999999999999999999999999999999996</v>
      </c>
      <c r="Y1574">
        <v>0</v>
      </c>
      <c r="Z1574" t="s">
        <v>46</v>
      </c>
      <c r="AA1574">
        <v>59933</v>
      </c>
      <c r="AB1574" t="s">
        <v>1486</v>
      </c>
      <c r="AC1574" t="s">
        <v>103</v>
      </c>
      <c r="AD1574" t="s">
        <v>38</v>
      </c>
      <c r="AE1574" t="s">
        <v>49</v>
      </c>
      <c r="AF1574" t="s">
        <v>50</v>
      </c>
      <c r="AG1574">
        <v>0</v>
      </c>
      <c r="AH1574">
        <v>0</v>
      </c>
      <c r="AI1574" t="s">
        <v>51</v>
      </c>
      <c r="AJ1574" t="s">
        <v>51</v>
      </c>
      <c r="AK1574" t="s">
        <v>51</v>
      </c>
    </row>
    <row r="1575" spans="1:37" x14ac:dyDescent="0.2">
      <c r="A1575">
        <v>59783</v>
      </c>
      <c r="B1575" t="s">
        <v>37</v>
      </c>
      <c r="C1575" t="s">
        <v>38</v>
      </c>
      <c r="D1575" t="s">
        <v>674</v>
      </c>
      <c r="E1575" t="s">
        <v>40</v>
      </c>
      <c r="G1575" s="4">
        <v>43947.008020833333</v>
      </c>
      <c r="H1575" s="4">
        <v>43947.008819444444</v>
      </c>
      <c r="I1575" t="s">
        <v>1480</v>
      </c>
      <c r="J1575" s="5">
        <v>68.99999999999999999999999999999999999999</v>
      </c>
      <c r="K1575" t="s">
        <v>38</v>
      </c>
      <c r="M1575">
        <v>59784</v>
      </c>
      <c r="N1575" t="s">
        <v>705</v>
      </c>
      <c r="O1575" t="s">
        <v>706</v>
      </c>
      <c r="P1575" t="s">
        <v>38</v>
      </c>
      <c r="Q1575" t="s">
        <v>693</v>
      </c>
      <c r="R1575">
        <v>19.99999999999999999999999999999999999996</v>
      </c>
      <c r="S1575" t="s">
        <v>45</v>
      </c>
      <c r="T157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5">
        <v>59785</v>
      </c>
      <c r="V1575" t="s">
        <v>38</v>
      </c>
      <c r="W1575" t="s">
        <v>693</v>
      </c>
      <c r="X1575">
        <v>19.99999999999999999999999999999999999996</v>
      </c>
      <c r="Y1575">
        <v>0</v>
      </c>
      <c r="Z1575" t="s">
        <v>46</v>
      </c>
      <c r="AA1575">
        <v>59932</v>
      </c>
      <c r="AB1575" t="s">
        <v>1487</v>
      </c>
      <c r="AC1575" t="s">
        <v>103</v>
      </c>
      <c r="AD1575" t="s">
        <v>38</v>
      </c>
      <c r="AE1575" t="s">
        <v>49</v>
      </c>
      <c r="AF1575" t="s">
        <v>50</v>
      </c>
      <c r="AG1575">
        <v>.9999999999999999999999999999999999999996</v>
      </c>
      <c r="AH1575">
        <v>0</v>
      </c>
      <c r="AI1575" t="s">
        <v>51</v>
      </c>
      <c r="AJ1575" t="s">
        <v>51</v>
      </c>
      <c r="AK1575" t="s">
        <v>51</v>
      </c>
    </row>
    <row r="1576" spans="1:37" x14ac:dyDescent="0.2">
      <c r="A1576">
        <v>59783</v>
      </c>
      <c r="B1576" t="s">
        <v>37</v>
      </c>
      <c r="C1576" t="s">
        <v>38</v>
      </c>
      <c r="D1576" t="s">
        <v>674</v>
      </c>
      <c r="E1576" t="s">
        <v>40</v>
      </c>
      <c r="G1576" s="4">
        <v>43947.008020833333</v>
      </c>
      <c r="H1576" s="4">
        <v>43947.008819444444</v>
      </c>
      <c r="I1576" t="s">
        <v>1480</v>
      </c>
      <c r="J1576" s="5">
        <v>68.99999999999999999999999999999999999999</v>
      </c>
      <c r="K1576" t="s">
        <v>38</v>
      </c>
      <c r="M1576">
        <v>59784</v>
      </c>
      <c r="N1576" t="s">
        <v>705</v>
      </c>
      <c r="O1576" t="s">
        <v>706</v>
      </c>
      <c r="P1576" t="s">
        <v>38</v>
      </c>
      <c r="Q1576" t="s">
        <v>693</v>
      </c>
      <c r="R1576">
        <v>19.99999999999999999999999999999999999996</v>
      </c>
      <c r="S1576" t="s">
        <v>45</v>
      </c>
      <c r="T157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6">
        <v>59785</v>
      </c>
      <c r="V1576" t="s">
        <v>38</v>
      </c>
      <c r="W1576" t="s">
        <v>693</v>
      </c>
      <c r="X1576">
        <v>19.99999999999999999999999999999999999996</v>
      </c>
      <c r="Y1576">
        <v>0</v>
      </c>
      <c r="Z1576" t="s">
        <v>46</v>
      </c>
      <c r="AA1576">
        <v>59931</v>
      </c>
      <c r="AB1576" t="s">
        <v>1488</v>
      </c>
      <c r="AC1576" t="s">
        <v>103</v>
      </c>
      <c r="AD1576" t="s">
        <v>38</v>
      </c>
      <c r="AE1576" t="s">
        <v>49</v>
      </c>
      <c r="AF1576" t="s">
        <v>50</v>
      </c>
      <c r="AG1576">
        <v>0</v>
      </c>
      <c r="AH1576">
        <v>0</v>
      </c>
      <c r="AI1576" t="s">
        <v>51</v>
      </c>
      <c r="AJ1576" t="s">
        <v>51</v>
      </c>
      <c r="AK1576" t="s">
        <v>51</v>
      </c>
    </row>
    <row r="1577" spans="1:37" x14ac:dyDescent="0.2">
      <c r="A1577">
        <v>59783</v>
      </c>
      <c r="B1577" t="s">
        <v>37</v>
      </c>
      <c r="C1577" t="s">
        <v>38</v>
      </c>
      <c r="D1577" t="s">
        <v>674</v>
      </c>
      <c r="E1577" t="s">
        <v>40</v>
      </c>
      <c r="G1577" s="4">
        <v>43947.008020833333</v>
      </c>
      <c r="H1577" s="4">
        <v>43947.008819444444</v>
      </c>
      <c r="I1577" t="s">
        <v>1480</v>
      </c>
      <c r="J1577" s="5">
        <v>68.99999999999999999999999999999999999999</v>
      </c>
      <c r="K1577" t="s">
        <v>38</v>
      </c>
      <c r="M1577">
        <v>59784</v>
      </c>
      <c r="N1577" t="s">
        <v>705</v>
      </c>
      <c r="O1577" t="s">
        <v>706</v>
      </c>
      <c r="P1577" t="s">
        <v>38</v>
      </c>
      <c r="Q1577" t="s">
        <v>693</v>
      </c>
      <c r="R1577">
        <v>19.99999999999999999999999999999999999996</v>
      </c>
      <c r="S1577" t="s">
        <v>45</v>
      </c>
      <c r="T157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7">
        <v>59785</v>
      </c>
      <c r="V1577" t="s">
        <v>38</v>
      </c>
      <c r="W1577" t="s">
        <v>693</v>
      </c>
      <c r="X1577">
        <v>19.99999999999999999999999999999999999996</v>
      </c>
      <c r="Y1577">
        <v>0</v>
      </c>
      <c r="Z1577" t="s">
        <v>46</v>
      </c>
      <c r="AA1577">
        <v>59930</v>
      </c>
      <c r="AB1577" t="s">
        <v>1489</v>
      </c>
      <c r="AC1577" t="s">
        <v>103</v>
      </c>
      <c r="AD1577" t="s">
        <v>38</v>
      </c>
      <c r="AE1577" t="s">
        <v>49</v>
      </c>
      <c r="AF1577" t="s">
        <v>50</v>
      </c>
      <c r="AG1577">
        <v>0</v>
      </c>
      <c r="AH1577">
        <v>0</v>
      </c>
      <c r="AI1577" t="s">
        <v>51</v>
      </c>
      <c r="AJ1577" t="s">
        <v>51</v>
      </c>
      <c r="AK1577" t="s">
        <v>51</v>
      </c>
    </row>
    <row r="1578" spans="1:37" x14ac:dyDescent="0.2">
      <c r="A1578">
        <v>59783</v>
      </c>
      <c r="B1578" t="s">
        <v>37</v>
      </c>
      <c r="C1578" t="s">
        <v>38</v>
      </c>
      <c r="D1578" t="s">
        <v>674</v>
      </c>
      <c r="E1578" t="s">
        <v>40</v>
      </c>
      <c r="G1578" s="4">
        <v>43947.008020833333</v>
      </c>
      <c r="H1578" s="4">
        <v>43947.008819444444</v>
      </c>
      <c r="I1578" t="s">
        <v>1480</v>
      </c>
      <c r="J1578" s="5">
        <v>68.99999999999999999999999999999999999999</v>
      </c>
      <c r="K1578" t="s">
        <v>38</v>
      </c>
      <c r="M1578">
        <v>59784</v>
      </c>
      <c r="N1578" t="s">
        <v>705</v>
      </c>
      <c r="O1578" t="s">
        <v>706</v>
      </c>
      <c r="P1578" t="s">
        <v>38</v>
      </c>
      <c r="Q1578" t="s">
        <v>693</v>
      </c>
      <c r="R1578">
        <v>19.99999999999999999999999999999999999996</v>
      </c>
      <c r="S1578" t="s">
        <v>45</v>
      </c>
      <c r="T157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8">
        <v>59785</v>
      </c>
      <c r="V1578" t="s">
        <v>38</v>
      </c>
      <c r="W1578" t="s">
        <v>693</v>
      </c>
      <c r="X1578">
        <v>19.99999999999999999999999999999999999996</v>
      </c>
      <c r="Y1578">
        <v>0</v>
      </c>
      <c r="Z1578" t="s">
        <v>46</v>
      </c>
      <c r="AA1578">
        <v>59929</v>
      </c>
      <c r="AB1578" t="s">
        <v>1490</v>
      </c>
      <c r="AC1578" t="s">
        <v>103</v>
      </c>
      <c r="AD1578" t="s">
        <v>38</v>
      </c>
      <c r="AE1578" t="s">
        <v>49</v>
      </c>
      <c r="AF1578" t="s">
        <v>50</v>
      </c>
      <c r="AG1578">
        <v>0</v>
      </c>
      <c r="AH1578">
        <v>0</v>
      </c>
      <c r="AI1578" t="s">
        <v>51</v>
      </c>
      <c r="AJ1578" t="s">
        <v>51</v>
      </c>
      <c r="AK1578" t="s">
        <v>51</v>
      </c>
    </row>
    <row r="1579" spans="1:37" x14ac:dyDescent="0.2">
      <c r="A1579">
        <v>59783</v>
      </c>
      <c r="B1579" t="s">
        <v>37</v>
      </c>
      <c r="C1579" t="s">
        <v>38</v>
      </c>
      <c r="D1579" t="s">
        <v>674</v>
      </c>
      <c r="E1579" t="s">
        <v>40</v>
      </c>
      <c r="G1579" s="4">
        <v>43947.008020833333</v>
      </c>
      <c r="H1579" s="4">
        <v>43947.008819444444</v>
      </c>
      <c r="I1579" t="s">
        <v>1480</v>
      </c>
      <c r="J1579" s="5">
        <v>68.99999999999999999999999999999999999999</v>
      </c>
      <c r="K1579" t="s">
        <v>38</v>
      </c>
      <c r="M1579">
        <v>59784</v>
      </c>
      <c r="N1579" t="s">
        <v>705</v>
      </c>
      <c r="O1579" t="s">
        <v>706</v>
      </c>
      <c r="P1579" t="s">
        <v>38</v>
      </c>
      <c r="Q1579" t="s">
        <v>693</v>
      </c>
      <c r="R1579">
        <v>19.99999999999999999999999999999999999996</v>
      </c>
      <c r="S1579" t="s">
        <v>45</v>
      </c>
      <c r="T157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79">
        <v>59785</v>
      </c>
      <c r="V1579" t="s">
        <v>38</v>
      </c>
      <c r="W1579" t="s">
        <v>693</v>
      </c>
      <c r="X1579">
        <v>19.99999999999999999999999999999999999996</v>
      </c>
      <c r="Y1579">
        <v>0</v>
      </c>
      <c r="Z1579" t="s">
        <v>46</v>
      </c>
      <c r="AA1579">
        <v>59928</v>
      </c>
      <c r="AB1579" t="s">
        <v>1491</v>
      </c>
      <c r="AC1579" t="s">
        <v>103</v>
      </c>
      <c r="AD1579" t="s">
        <v>38</v>
      </c>
      <c r="AE1579" t="s">
        <v>49</v>
      </c>
      <c r="AF1579" t="s">
        <v>50</v>
      </c>
      <c r="AG1579">
        <v>0</v>
      </c>
      <c r="AH1579">
        <v>0</v>
      </c>
      <c r="AI1579" t="s">
        <v>51</v>
      </c>
      <c r="AJ1579" t="s">
        <v>51</v>
      </c>
      <c r="AK1579" t="s">
        <v>51</v>
      </c>
    </row>
    <row r="1580" spans="1:37" x14ac:dyDescent="0.2">
      <c r="A1580">
        <v>59783</v>
      </c>
      <c r="B1580" t="s">
        <v>37</v>
      </c>
      <c r="C1580" t="s">
        <v>38</v>
      </c>
      <c r="D1580" t="s">
        <v>674</v>
      </c>
      <c r="E1580" t="s">
        <v>40</v>
      </c>
      <c r="G1580" s="4">
        <v>43947.008020833333</v>
      </c>
      <c r="H1580" s="4">
        <v>43947.008819444444</v>
      </c>
      <c r="I1580" t="s">
        <v>1480</v>
      </c>
      <c r="J1580" s="5">
        <v>68.99999999999999999999999999999999999999</v>
      </c>
      <c r="K1580" t="s">
        <v>38</v>
      </c>
      <c r="M1580">
        <v>59784</v>
      </c>
      <c r="N1580" t="s">
        <v>705</v>
      </c>
      <c r="O1580" t="s">
        <v>706</v>
      </c>
      <c r="P1580" t="s">
        <v>38</v>
      </c>
      <c r="Q1580" t="s">
        <v>693</v>
      </c>
      <c r="R1580">
        <v>19.99999999999999999999999999999999999996</v>
      </c>
      <c r="S1580" t="s">
        <v>45</v>
      </c>
      <c r="T158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0">
        <v>59785</v>
      </c>
      <c r="V1580" t="s">
        <v>38</v>
      </c>
      <c r="W1580" t="s">
        <v>693</v>
      </c>
      <c r="X1580">
        <v>19.99999999999999999999999999999999999996</v>
      </c>
      <c r="Y1580">
        <v>0</v>
      </c>
      <c r="Z1580" t="s">
        <v>46</v>
      </c>
      <c r="AA1580">
        <v>59927</v>
      </c>
      <c r="AB1580" t="s">
        <v>1492</v>
      </c>
      <c r="AC1580" t="s">
        <v>103</v>
      </c>
      <c r="AD1580" t="s">
        <v>38</v>
      </c>
      <c r="AE1580" t="s">
        <v>49</v>
      </c>
      <c r="AF1580" t="s">
        <v>50</v>
      </c>
      <c r="AG1580">
        <v>.9999999999999999999999999999999999999996</v>
      </c>
      <c r="AH1580">
        <v>0</v>
      </c>
      <c r="AI1580" t="s">
        <v>51</v>
      </c>
      <c r="AJ1580" t="s">
        <v>51</v>
      </c>
      <c r="AK1580" t="s">
        <v>51</v>
      </c>
    </row>
    <row r="1581" spans="1:37" x14ac:dyDescent="0.2">
      <c r="A1581">
        <v>59783</v>
      </c>
      <c r="B1581" t="s">
        <v>37</v>
      </c>
      <c r="C1581" t="s">
        <v>38</v>
      </c>
      <c r="D1581" t="s">
        <v>674</v>
      </c>
      <c r="E1581" t="s">
        <v>40</v>
      </c>
      <c r="G1581" s="4">
        <v>43947.008020833333</v>
      </c>
      <c r="H1581" s="4">
        <v>43947.008819444444</v>
      </c>
      <c r="I1581" t="s">
        <v>1480</v>
      </c>
      <c r="J1581" s="5">
        <v>68.99999999999999999999999999999999999999</v>
      </c>
      <c r="K1581" t="s">
        <v>38</v>
      </c>
      <c r="M1581">
        <v>59784</v>
      </c>
      <c r="N1581" t="s">
        <v>705</v>
      </c>
      <c r="O1581" t="s">
        <v>706</v>
      </c>
      <c r="P1581" t="s">
        <v>38</v>
      </c>
      <c r="Q1581" t="s">
        <v>693</v>
      </c>
      <c r="R1581">
        <v>19.99999999999999999999999999999999999996</v>
      </c>
      <c r="S1581" t="s">
        <v>45</v>
      </c>
      <c r="T158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1">
        <v>59785</v>
      </c>
      <c r="V1581" t="s">
        <v>38</v>
      </c>
      <c r="W1581" t="s">
        <v>693</v>
      </c>
      <c r="X1581">
        <v>19.99999999999999999999999999999999999996</v>
      </c>
      <c r="Y1581">
        <v>0</v>
      </c>
      <c r="Z1581" t="s">
        <v>46</v>
      </c>
      <c r="AA1581">
        <v>59926</v>
      </c>
      <c r="AB1581" t="s">
        <v>1493</v>
      </c>
      <c r="AC1581" t="s">
        <v>103</v>
      </c>
      <c r="AD1581" t="s">
        <v>38</v>
      </c>
      <c r="AE1581" t="s">
        <v>49</v>
      </c>
      <c r="AF1581" t="s">
        <v>50</v>
      </c>
      <c r="AG1581">
        <v>0</v>
      </c>
      <c r="AH1581">
        <v>0</v>
      </c>
      <c r="AI1581" t="s">
        <v>51</v>
      </c>
      <c r="AJ1581" t="s">
        <v>51</v>
      </c>
      <c r="AK1581" t="s">
        <v>51</v>
      </c>
    </row>
    <row r="1582" spans="1:37" x14ac:dyDescent="0.2">
      <c r="A1582">
        <v>59783</v>
      </c>
      <c r="B1582" t="s">
        <v>37</v>
      </c>
      <c r="C1582" t="s">
        <v>38</v>
      </c>
      <c r="D1582" t="s">
        <v>674</v>
      </c>
      <c r="E1582" t="s">
        <v>40</v>
      </c>
      <c r="G1582" s="4">
        <v>43947.008020833333</v>
      </c>
      <c r="H1582" s="4">
        <v>43947.008819444444</v>
      </c>
      <c r="I1582" t="s">
        <v>1480</v>
      </c>
      <c r="J1582" s="5">
        <v>68.99999999999999999999999999999999999999</v>
      </c>
      <c r="K1582" t="s">
        <v>38</v>
      </c>
      <c r="M1582">
        <v>59784</v>
      </c>
      <c r="N1582" t="s">
        <v>705</v>
      </c>
      <c r="O1582" t="s">
        <v>706</v>
      </c>
      <c r="P1582" t="s">
        <v>38</v>
      </c>
      <c r="Q1582" t="s">
        <v>693</v>
      </c>
      <c r="R1582">
        <v>19.99999999999999999999999999999999999996</v>
      </c>
      <c r="S1582" t="s">
        <v>45</v>
      </c>
      <c r="T158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2">
        <v>59785</v>
      </c>
      <c r="V1582" t="s">
        <v>38</v>
      </c>
      <c r="W1582" t="s">
        <v>693</v>
      </c>
      <c r="X1582">
        <v>19.99999999999999999999999999999999999996</v>
      </c>
      <c r="Y1582">
        <v>0</v>
      </c>
      <c r="Z1582" t="s">
        <v>46</v>
      </c>
      <c r="AA1582">
        <v>59925</v>
      </c>
      <c r="AB1582" t="s">
        <v>1494</v>
      </c>
      <c r="AC1582" t="s">
        <v>103</v>
      </c>
      <c r="AD1582" t="s">
        <v>38</v>
      </c>
      <c r="AE1582" t="s">
        <v>49</v>
      </c>
      <c r="AF1582" t="s">
        <v>50</v>
      </c>
      <c r="AG1582">
        <v>0</v>
      </c>
      <c r="AH1582">
        <v>0</v>
      </c>
      <c r="AI1582" t="s">
        <v>51</v>
      </c>
      <c r="AJ1582" t="s">
        <v>51</v>
      </c>
      <c r="AK1582" t="s">
        <v>51</v>
      </c>
    </row>
    <row r="1583" spans="1:37" x14ac:dyDescent="0.2">
      <c r="A1583">
        <v>59783</v>
      </c>
      <c r="B1583" t="s">
        <v>37</v>
      </c>
      <c r="C1583" t="s">
        <v>38</v>
      </c>
      <c r="D1583" t="s">
        <v>674</v>
      </c>
      <c r="E1583" t="s">
        <v>40</v>
      </c>
      <c r="G1583" s="4">
        <v>43947.008020833333</v>
      </c>
      <c r="H1583" s="4">
        <v>43947.008819444444</v>
      </c>
      <c r="I1583" t="s">
        <v>1480</v>
      </c>
      <c r="J1583" s="5">
        <v>68.99999999999999999999999999999999999999</v>
      </c>
      <c r="K1583" t="s">
        <v>38</v>
      </c>
      <c r="M1583">
        <v>59784</v>
      </c>
      <c r="N1583" t="s">
        <v>705</v>
      </c>
      <c r="O1583" t="s">
        <v>706</v>
      </c>
      <c r="P1583" t="s">
        <v>38</v>
      </c>
      <c r="Q1583" t="s">
        <v>693</v>
      </c>
      <c r="R1583">
        <v>19.99999999999999999999999999999999999996</v>
      </c>
      <c r="S1583" t="s">
        <v>45</v>
      </c>
      <c r="T158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3">
        <v>59785</v>
      </c>
      <c r="V1583" t="s">
        <v>38</v>
      </c>
      <c r="W1583" t="s">
        <v>693</v>
      </c>
      <c r="X1583">
        <v>19.99999999999999999999999999999999999996</v>
      </c>
      <c r="Y1583">
        <v>0</v>
      </c>
      <c r="Z1583" t="s">
        <v>46</v>
      </c>
      <c r="AA1583">
        <v>59924</v>
      </c>
      <c r="AB1583" t="s">
        <v>1495</v>
      </c>
      <c r="AC1583" t="s">
        <v>103</v>
      </c>
      <c r="AD1583" t="s">
        <v>38</v>
      </c>
      <c r="AE1583" t="s">
        <v>49</v>
      </c>
      <c r="AF1583" t="s">
        <v>50</v>
      </c>
      <c r="AG1583">
        <v>0</v>
      </c>
      <c r="AH1583">
        <v>0</v>
      </c>
      <c r="AI1583" t="s">
        <v>51</v>
      </c>
      <c r="AJ1583" t="s">
        <v>51</v>
      </c>
      <c r="AK1583" t="s">
        <v>51</v>
      </c>
    </row>
    <row r="1584" spans="1:37" x14ac:dyDescent="0.2">
      <c r="A1584">
        <v>59783</v>
      </c>
      <c r="B1584" t="s">
        <v>37</v>
      </c>
      <c r="C1584" t="s">
        <v>38</v>
      </c>
      <c r="D1584" t="s">
        <v>674</v>
      </c>
      <c r="E1584" t="s">
        <v>40</v>
      </c>
      <c r="G1584" s="4">
        <v>43947.008020833333</v>
      </c>
      <c r="H1584" s="4">
        <v>43947.008819444444</v>
      </c>
      <c r="I1584" t="s">
        <v>1480</v>
      </c>
      <c r="J1584" s="5">
        <v>68.99999999999999999999999999999999999999</v>
      </c>
      <c r="K1584" t="s">
        <v>38</v>
      </c>
      <c r="M1584">
        <v>59784</v>
      </c>
      <c r="N1584" t="s">
        <v>705</v>
      </c>
      <c r="O1584" t="s">
        <v>706</v>
      </c>
      <c r="P1584" t="s">
        <v>38</v>
      </c>
      <c r="Q1584" t="s">
        <v>693</v>
      </c>
      <c r="R1584">
        <v>19.99999999999999999999999999999999999996</v>
      </c>
      <c r="S1584" t="s">
        <v>45</v>
      </c>
      <c r="T158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4">
        <v>59785</v>
      </c>
      <c r="V1584" t="s">
        <v>38</v>
      </c>
      <c r="W1584" t="s">
        <v>693</v>
      </c>
      <c r="X1584">
        <v>19.99999999999999999999999999999999999996</v>
      </c>
      <c r="Y1584">
        <v>0</v>
      </c>
      <c r="Z1584" t="s">
        <v>46</v>
      </c>
      <c r="AA1584">
        <v>59923</v>
      </c>
      <c r="AB1584" t="s">
        <v>1496</v>
      </c>
      <c r="AC1584" t="s">
        <v>103</v>
      </c>
      <c r="AD1584" t="s">
        <v>38</v>
      </c>
      <c r="AE1584" t="s">
        <v>49</v>
      </c>
      <c r="AF1584" t="s">
        <v>50</v>
      </c>
      <c r="AG1584">
        <v>0</v>
      </c>
      <c r="AH1584">
        <v>0</v>
      </c>
      <c r="AI1584" t="s">
        <v>51</v>
      </c>
      <c r="AJ1584" t="s">
        <v>51</v>
      </c>
      <c r="AK1584" t="s">
        <v>51</v>
      </c>
    </row>
    <row r="1585" spans="1:37" x14ac:dyDescent="0.2">
      <c r="A1585">
        <v>59783</v>
      </c>
      <c r="B1585" t="s">
        <v>37</v>
      </c>
      <c r="C1585" t="s">
        <v>38</v>
      </c>
      <c r="D1585" t="s">
        <v>674</v>
      </c>
      <c r="E1585" t="s">
        <v>40</v>
      </c>
      <c r="G1585" s="4">
        <v>43947.008020833333</v>
      </c>
      <c r="H1585" s="4">
        <v>43947.008819444444</v>
      </c>
      <c r="I1585" t="s">
        <v>1480</v>
      </c>
      <c r="J1585" s="5">
        <v>68.99999999999999999999999999999999999999</v>
      </c>
      <c r="K1585" t="s">
        <v>38</v>
      </c>
      <c r="M1585">
        <v>59784</v>
      </c>
      <c r="N1585" t="s">
        <v>705</v>
      </c>
      <c r="O1585" t="s">
        <v>706</v>
      </c>
      <c r="P1585" t="s">
        <v>38</v>
      </c>
      <c r="Q1585" t="s">
        <v>693</v>
      </c>
      <c r="R1585">
        <v>19.99999999999999999999999999999999999996</v>
      </c>
      <c r="S1585" t="s">
        <v>45</v>
      </c>
      <c r="T158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5">
        <v>59785</v>
      </c>
      <c r="V1585" t="s">
        <v>38</v>
      </c>
      <c r="W1585" t="s">
        <v>693</v>
      </c>
      <c r="X1585">
        <v>19.99999999999999999999999999999999999996</v>
      </c>
      <c r="Y1585">
        <v>0</v>
      </c>
      <c r="Z1585" t="s">
        <v>46</v>
      </c>
      <c r="AA1585">
        <v>59922</v>
      </c>
      <c r="AB1585" t="s">
        <v>1497</v>
      </c>
      <c r="AC1585" t="s">
        <v>103</v>
      </c>
      <c r="AD1585" t="s">
        <v>38</v>
      </c>
      <c r="AE1585" t="s">
        <v>49</v>
      </c>
      <c r="AF1585" t="s">
        <v>50</v>
      </c>
      <c r="AG1585">
        <v>0</v>
      </c>
      <c r="AH1585">
        <v>0</v>
      </c>
      <c r="AI1585" t="s">
        <v>51</v>
      </c>
      <c r="AJ1585" t="s">
        <v>51</v>
      </c>
      <c r="AK1585" t="s">
        <v>51</v>
      </c>
    </row>
    <row r="1586" spans="1:37" x14ac:dyDescent="0.2">
      <c r="A1586">
        <v>59783</v>
      </c>
      <c r="B1586" t="s">
        <v>37</v>
      </c>
      <c r="C1586" t="s">
        <v>38</v>
      </c>
      <c r="D1586" t="s">
        <v>674</v>
      </c>
      <c r="E1586" t="s">
        <v>40</v>
      </c>
      <c r="G1586" s="4">
        <v>43947.008020833333</v>
      </c>
      <c r="H1586" s="4">
        <v>43947.008819444444</v>
      </c>
      <c r="I1586" t="s">
        <v>1480</v>
      </c>
      <c r="J1586" s="5">
        <v>68.99999999999999999999999999999999999999</v>
      </c>
      <c r="K1586" t="s">
        <v>38</v>
      </c>
      <c r="M1586">
        <v>59784</v>
      </c>
      <c r="N1586" t="s">
        <v>705</v>
      </c>
      <c r="O1586" t="s">
        <v>706</v>
      </c>
      <c r="P1586" t="s">
        <v>38</v>
      </c>
      <c r="Q1586" t="s">
        <v>693</v>
      </c>
      <c r="R1586">
        <v>19.99999999999999999999999999999999999996</v>
      </c>
      <c r="S1586" t="s">
        <v>45</v>
      </c>
      <c r="T158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6">
        <v>59785</v>
      </c>
      <c r="V1586" t="s">
        <v>38</v>
      </c>
      <c r="W1586" t="s">
        <v>693</v>
      </c>
      <c r="X1586">
        <v>19.99999999999999999999999999999999999996</v>
      </c>
      <c r="Y1586">
        <v>0</v>
      </c>
      <c r="Z1586" t="s">
        <v>46</v>
      </c>
      <c r="AA1586">
        <v>59921</v>
      </c>
      <c r="AB1586" t="s">
        <v>1498</v>
      </c>
      <c r="AC1586" t="s">
        <v>103</v>
      </c>
      <c r="AD1586" t="s">
        <v>38</v>
      </c>
      <c r="AE1586" t="s">
        <v>49</v>
      </c>
      <c r="AF1586" t="s">
        <v>50</v>
      </c>
      <c r="AG1586">
        <v>0</v>
      </c>
      <c r="AH1586">
        <v>0</v>
      </c>
      <c r="AI1586" t="s">
        <v>51</v>
      </c>
      <c r="AJ1586" t="s">
        <v>51</v>
      </c>
      <c r="AK1586" t="s">
        <v>51</v>
      </c>
    </row>
    <row r="1587" spans="1:37" x14ac:dyDescent="0.2">
      <c r="A1587">
        <v>59783</v>
      </c>
      <c r="B1587" t="s">
        <v>37</v>
      </c>
      <c r="C1587" t="s">
        <v>38</v>
      </c>
      <c r="D1587" t="s">
        <v>674</v>
      </c>
      <c r="E1587" t="s">
        <v>40</v>
      </c>
      <c r="G1587" s="4">
        <v>43947.008020833333</v>
      </c>
      <c r="H1587" s="4">
        <v>43947.008819444444</v>
      </c>
      <c r="I1587" t="s">
        <v>1480</v>
      </c>
      <c r="J1587" s="5">
        <v>68.99999999999999999999999999999999999999</v>
      </c>
      <c r="K1587" t="s">
        <v>38</v>
      </c>
      <c r="M1587">
        <v>59784</v>
      </c>
      <c r="N1587" t="s">
        <v>705</v>
      </c>
      <c r="O1587" t="s">
        <v>706</v>
      </c>
      <c r="P1587" t="s">
        <v>38</v>
      </c>
      <c r="Q1587" t="s">
        <v>693</v>
      </c>
      <c r="R1587">
        <v>19.99999999999999999999999999999999999996</v>
      </c>
      <c r="S1587" t="s">
        <v>45</v>
      </c>
      <c r="T158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7">
        <v>59785</v>
      </c>
      <c r="V1587" t="s">
        <v>38</v>
      </c>
      <c r="W1587" t="s">
        <v>693</v>
      </c>
      <c r="X1587">
        <v>19.99999999999999999999999999999999999996</v>
      </c>
      <c r="Y1587">
        <v>0</v>
      </c>
      <c r="Z1587" t="s">
        <v>46</v>
      </c>
      <c r="AA1587">
        <v>59920</v>
      </c>
      <c r="AB1587" t="s">
        <v>1499</v>
      </c>
      <c r="AC1587" t="s">
        <v>103</v>
      </c>
      <c r="AD1587" t="s">
        <v>38</v>
      </c>
      <c r="AE1587" t="s">
        <v>49</v>
      </c>
      <c r="AF1587" t="s">
        <v>50</v>
      </c>
      <c r="AG1587">
        <v>0</v>
      </c>
      <c r="AH1587">
        <v>0</v>
      </c>
      <c r="AI1587" t="s">
        <v>51</v>
      </c>
      <c r="AJ1587" t="s">
        <v>51</v>
      </c>
      <c r="AK1587" t="s">
        <v>51</v>
      </c>
    </row>
    <row r="1588" spans="1:37" x14ac:dyDescent="0.2">
      <c r="A1588">
        <v>59783</v>
      </c>
      <c r="B1588" t="s">
        <v>37</v>
      </c>
      <c r="C1588" t="s">
        <v>38</v>
      </c>
      <c r="D1588" t="s">
        <v>674</v>
      </c>
      <c r="E1588" t="s">
        <v>40</v>
      </c>
      <c r="G1588" s="4">
        <v>43947.008020833333</v>
      </c>
      <c r="H1588" s="4">
        <v>43947.008819444444</v>
      </c>
      <c r="I1588" t="s">
        <v>1480</v>
      </c>
      <c r="J1588" s="5">
        <v>68.99999999999999999999999999999999999999</v>
      </c>
      <c r="K1588" t="s">
        <v>38</v>
      </c>
      <c r="M1588">
        <v>59784</v>
      </c>
      <c r="N1588" t="s">
        <v>705</v>
      </c>
      <c r="O1588" t="s">
        <v>706</v>
      </c>
      <c r="P1588" t="s">
        <v>38</v>
      </c>
      <c r="Q1588" t="s">
        <v>693</v>
      </c>
      <c r="R1588">
        <v>19.99999999999999999999999999999999999996</v>
      </c>
      <c r="S1588" t="s">
        <v>45</v>
      </c>
      <c r="T158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8">
        <v>59785</v>
      </c>
      <c r="V1588" t="s">
        <v>38</v>
      </c>
      <c r="W1588" t="s">
        <v>693</v>
      </c>
      <c r="X1588">
        <v>19.99999999999999999999999999999999999996</v>
      </c>
      <c r="Y1588">
        <v>0</v>
      </c>
      <c r="Z1588" t="s">
        <v>46</v>
      </c>
      <c r="AA1588">
        <v>59919</v>
      </c>
      <c r="AB1588" t="s">
        <v>1500</v>
      </c>
      <c r="AC1588" t="s">
        <v>103</v>
      </c>
      <c r="AD1588" t="s">
        <v>38</v>
      </c>
      <c r="AE1588" t="s">
        <v>49</v>
      </c>
      <c r="AF1588" t="s">
        <v>652</v>
      </c>
      <c r="AG1588">
        <v>8</v>
      </c>
      <c r="AH1588">
        <v>0</v>
      </c>
      <c r="AI1588" t="s">
        <v>51</v>
      </c>
      <c r="AJ1588" t="s">
        <v>51</v>
      </c>
      <c r="AK1588" t="s">
        <v>51</v>
      </c>
    </row>
    <row r="1589" spans="1:37" x14ac:dyDescent="0.2">
      <c r="A1589">
        <v>59783</v>
      </c>
      <c r="B1589" t="s">
        <v>37</v>
      </c>
      <c r="C1589" t="s">
        <v>38</v>
      </c>
      <c r="D1589" t="s">
        <v>674</v>
      </c>
      <c r="E1589" t="s">
        <v>40</v>
      </c>
      <c r="G1589" s="4">
        <v>43947.008020833333</v>
      </c>
      <c r="H1589" s="4">
        <v>43947.008819444444</v>
      </c>
      <c r="I1589" t="s">
        <v>1480</v>
      </c>
      <c r="J1589" s="5">
        <v>68.99999999999999999999999999999999999999</v>
      </c>
      <c r="K1589" t="s">
        <v>38</v>
      </c>
      <c r="M1589">
        <v>59784</v>
      </c>
      <c r="N1589" t="s">
        <v>705</v>
      </c>
      <c r="O1589" t="s">
        <v>706</v>
      </c>
      <c r="P1589" t="s">
        <v>38</v>
      </c>
      <c r="Q1589" t="s">
        <v>693</v>
      </c>
      <c r="R1589">
        <v>19.99999999999999999999999999999999999996</v>
      </c>
      <c r="S1589" t="s">
        <v>45</v>
      </c>
      <c r="T158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89">
        <v>59785</v>
      </c>
      <c r="V1589" t="s">
        <v>38</v>
      </c>
      <c r="W1589" t="s">
        <v>693</v>
      </c>
      <c r="X1589">
        <v>19.99999999999999999999999999999999999996</v>
      </c>
      <c r="Y1589">
        <v>0</v>
      </c>
      <c r="Z1589" t="s">
        <v>46</v>
      </c>
      <c r="AA1589">
        <v>59918</v>
      </c>
      <c r="AB1589" t="s">
        <v>1501</v>
      </c>
      <c r="AC1589" t="s">
        <v>103</v>
      </c>
      <c r="AD1589" t="s">
        <v>38</v>
      </c>
      <c r="AE1589" t="s">
        <v>49</v>
      </c>
      <c r="AF1589" t="s">
        <v>50</v>
      </c>
      <c r="AG1589">
        <v>0</v>
      </c>
      <c r="AH1589">
        <v>0</v>
      </c>
      <c r="AI1589" t="s">
        <v>51</v>
      </c>
      <c r="AJ1589" t="s">
        <v>51</v>
      </c>
      <c r="AK1589" t="s">
        <v>51</v>
      </c>
    </row>
    <row r="1590" spans="1:37" x14ac:dyDescent="0.2">
      <c r="A1590">
        <v>59783</v>
      </c>
      <c r="B1590" t="s">
        <v>37</v>
      </c>
      <c r="C1590" t="s">
        <v>38</v>
      </c>
      <c r="D1590" t="s">
        <v>674</v>
      </c>
      <c r="E1590" t="s">
        <v>40</v>
      </c>
      <c r="G1590" s="4">
        <v>43947.008020833333</v>
      </c>
      <c r="H1590" s="4">
        <v>43947.008819444444</v>
      </c>
      <c r="I1590" t="s">
        <v>1480</v>
      </c>
      <c r="J1590" s="5">
        <v>68.99999999999999999999999999999999999999</v>
      </c>
      <c r="K1590" t="s">
        <v>38</v>
      </c>
      <c r="M1590">
        <v>59784</v>
      </c>
      <c r="N1590" t="s">
        <v>705</v>
      </c>
      <c r="O1590" t="s">
        <v>706</v>
      </c>
      <c r="P1590" t="s">
        <v>38</v>
      </c>
      <c r="Q1590" t="s">
        <v>693</v>
      </c>
      <c r="R1590">
        <v>19.99999999999999999999999999999999999996</v>
      </c>
      <c r="S1590" t="s">
        <v>45</v>
      </c>
      <c r="T159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0">
        <v>59785</v>
      </c>
      <c r="V1590" t="s">
        <v>38</v>
      </c>
      <c r="W1590" t="s">
        <v>693</v>
      </c>
      <c r="X1590">
        <v>19.99999999999999999999999999999999999996</v>
      </c>
      <c r="Y1590">
        <v>0</v>
      </c>
      <c r="Z1590" t="s">
        <v>46</v>
      </c>
      <c r="AA1590">
        <v>59917</v>
      </c>
      <c r="AB1590" t="s">
        <v>1502</v>
      </c>
      <c r="AC1590" t="s">
        <v>103</v>
      </c>
      <c r="AD1590" t="s">
        <v>38</v>
      </c>
      <c r="AE1590" t="s">
        <v>49</v>
      </c>
      <c r="AF1590" t="s">
        <v>50</v>
      </c>
      <c r="AG1590">
        <v>0</v>
      </c>
      <c r="AH1590">
        <v>0</v>
      </c>
      <c r="AI1590" t="s">
        <v>51</v>
      </c>
      <c r="AJ1590" t="s">
        <v>51</v>
      </c>
      <c r="AK1590" t="s">
        <v>51</v>
      </c>
    </row>
    <row r="1591" spans="1:37" x14ac:dyDescent="0.2">
      <c r="A1591">
        <v>59783</v>
      </c>
      <c r="B1591" t="s">
        <v>37</v>
      </c>
      <c r="C1591" t="s">
        <v>38</v>
      </c>
      <c r="D1591" t="s">
        <v>674</v>
      </c>
      <c r="E1591" t="s">
        <v>40</v>
      </c>
      <c r="G1591" s="4">
        <v>43947.008020833333</v>
      </c>
      <c r="H1591" s="4">
        <v>43947.008819444444</v>
      </c>
      <c r="I1591" t="s">
        <v>1480</v>
      </c>
      <c r="J1591" s="5">
        <v>68.99999999999999999999999999999999999999</v>
      </c>
      <c r="K1591" t="s">
        <v>38</v>
      </c>
      <c r="M1591">
        <v>59784</v>
      </c>
      <c r="N1591" t="s">
        <v>705</v>
      </c>
      <c r="O1591" t="s">
        <v>706</v>
      </c>
      <c r="P1591" t="s">
        <v>38</v>
      </c>
      <c r="Q1591" t="s">
        <v>693</v>
      </c>
      <c r="R1591">
        <v>19.99999999999999999999999999999999999996</v>
      </c>
      <c r="S1591" t="s">
        <v>45</v>
      </c>
      <c r="T159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1">
        <v>59785</v>
      </c>
      <c r="V1591" t="s">
        <v>38</v>
      </c>
      <c r="W1591" t="s">
        <v>693</v>
      </c>
      <c r="X1591">
        <v>19.99999999999999999999999999999999999996</v>
      </c>
      <c r="Y1591">
        <v>0</v>
      </c>
      <c r="Z1591" t="s">
        <v>46</v>
      </c>
      <c r="AA1591">
        <v>59916</v>
      </c>
      <c r="AB1591" t="s">
        <v>1503</v>
      </c>
      <c r="AC1591" t="s">
        <v>103</v>
      </c>
      <c r="AD1591" t="s">
        <v>38</v>
      </c>
      <c r="AE1591" t="s">
        <v>49</v>
      </c>
      <c r="AF1591" t="s">
        <v>50</v>
      </c>
      <c r="AG1591">
        <v>0</v>
      </c>
      <c r="AH1591">
        <v>0</v>
      </c>
      <c r="AI1591" t="s">
        <v>51</v>
      </c>
      <c r="AJ1591" t="s">
        <v>51</v>
      </c>
      <c r="AK1591" t="s">
        <v>51</v>
      </c>
    </row>
    <row r="1592" spans="1:37" x14ac:dyDescent="0.2">
      <c r="A1592">
        <v>59783</v>
      </c>
      <c r="B1592" t="s">
        <v>37</v>
      </c>
      <c r="C1592" t="s">
        <v>38</v>
      </c>
      <c r="D1592" t="s">
        <v>674</v>
      </c>
      <c r="E1592" t="s">
        <v>40</v>
      </c>
      <c r="G1592" s="4">
        <v>43947.008020833333</v>
      </c>
      <c r="H1592" s="4">
        <v>43947.008819444444</v>
      </c>
      <c r="I1592" t="s">
        <v>1480</v>
      </c>
      <c r="J1592" s="5">
        <v>68.99999999999999999999999999999999999999</v>
      </c>
      <c r="K1592" t="s">
        <v>38</v>
      </c>
      <c r="M1592">
        <v>59784</v>
      </c>
      <c r="N1592" t="s">
        <v>705</v>
      </c>
      <c r="O1592" t="s">
        <v>706</v>
      </c>
      <c r="P1592" t="s">
        <v>38</v>
      </c>
      <c r="Q1592" t="s">
        <v>693</v>
      </c>
      <c r="R1592">
        <v>19.99999999999999999999999999999999999996</v>
      </c>
      <c r="S1592" t="s">
        <v>45</v>
      </c>
      <c r="T159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2">
        <v>59785</v>
      </c>
      <c r="V1592" t="s">
        <v>38</v>
      </c>
      <c r="W1592" t="s">
        <v>693</v>
      </c>
      <c r="X1592">
        <v>19.99999999999999999999999999999999999996</v>
      </c>
      <c r="Y1592">
        <v>0</v>
      </c>
      <c r="Z1592" t="s">
        <v>46</v>
      </c>
      <c r="AA1592">
        <v>59915</v>
      </c>
      <c r="AB1592" t="s">
        <v>1504</v>
      </c>
      <c r="AC1592" t="s">
        <v>103</v>
      </c>
      <c r="AD1592" t="s">
        <v>38</v>
      </c>
      <c r="AE1592" t="s">
        <v>49</v>
      </c>
      <c r="AF1592" t="s">
        <v>50</v>
      </c>
      <c r="AG1592">
        <v>0</v>
      </c>
      <c r="AH1592">
        <v>0</v>
      </c>
      <c r="AI1592" t="s">
        <v>51</v>
      </c>
      <c r="AJ1592" t="s">
        <v>51</v>
      </c>
      <c r="AK1592" t="s">
        <v>51</v>
      </c>
    </row>
    <row r="1593" spans="1:37" x14ac:dyDescent="0.2">
      <c r="A1593">
        <v>59783</v>
      </c>
      <c r="B1593" t="s">
        <v>37</v>
      </c>
      <c r="C1593" t="s">
        <v>38</v>
      </c>
      <c r="D1593" t="s">
        <v>674</v>
      </c>
      <c r="E1593" t="s">
        <v>40</v>
      </c>
      <c r="G1593" s="4">
        <v>43947.008020833333</v>
      </c>
      <c r="H1593" s="4">
        <v>43947.008819444444</v>
      </c>
      <c r="I1593" t="s">
        <v>1480</v>
      </c>
      <c r="J1593" s="5">
        <v>68.99999999999999999999999999999999999999</v>
      </c>
      <c r="K1593" t="s">
        <v>38</v>
      </c>
      <c r="M1593">
        <v>59784</v>
      </c>
      <c r="N1593" t="s">
        <v>705</v>
      </c>
      <c r="O1593" t="s">
        <v>706</v>
      </c>
      <c r="P1593" t="s">
        <v>38</v>
      </c>
      <c r="Q1593" t="s">
        <v>693</v>
      </c>
      <c r="R1593">
        <v>19.99999999999999999999999999999999999996</v>
      </c>
      <c r="S1593" t="s">
        <v>45</v>
      </c>
      <c r="T159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3">
        <v>59785</v>
      </c>
      <c r="V1593" t="s">
        <v>38</v>
      </c>
      <c r="W1593" t="s">
        <v>693</v>
      </c>
      <c r="X1593">
        <v>19.99999999999999999999999999999999999996</v>
      </c>
      <c r="Y1593">
        <v>0</v>
      </c>
      <c r="Z1593" t="s">
        <v>46</v>
      </c>
      <c r="AA1593">
        <v>59914</v>
      </c>
      <c r="AB1593" t="s">
        <v>1505</v>
      </c>
      <c r="AC1593" t="s">
        <v>103</v>
      </c>
      <c r="AD1593" t="s">
        <v>38</v>
      </c>
      <c r="AE1593" t="s">
        <v>49</v>
      </c>
      <c r="AF1593" t="s">
        <v>50</v>
      </c>
      <c r="AG1593">
        <v>0</v>
      </c>
      <c r="AH1593">
        <v>0</v>
      </c>
      <c r="AI1593" t="s">
        <v>51</v>
      </c>
      <c r="AJ1593" t="s">
        <v>51</v>
      </c>
      <c r="AK1593" t="s">
        <v>51</v>
      </c>
    </row>
    <row r="1594" spans="1:37" x14ac:dyDescent="0.2">
      <c r="A1594">
        <v>59783</v>
      </c>
      <c r="B1594" t="s">
        <v>37</v>
      </c>
      <c r="C1594" t="s">
        <v>38</v>
      </c>
      <c r="D1594" t="s">
        <v>674</v>
      </c>
      <c r="E1594" t="s">
        <v>40</v>
      </c>
      <c r="G1594" s="4">
        <v>43947.008020833333</v>
      </c>
      <c r="H1594" s="4">
        <v>43947.008819444444</v>
      </c>
      <c r="I1594" t="s">
        <v>1480</v>
      </c>
      <c r="J1594" s="5">
        <v>68.99999999999999999999999999999999999999</v>
      </c>
      <c r="K1594" t="s">
        <v>38</v>
      </c>
      <c r="M1594">
        <v>59784</v>
      </c>
      <c r="N1594" t="s">
        <v>705</v>
      </c>
      <c r="O1594" t="s">
        <v>706</v>
      </c>
      <c r="P1594" t="s">
        <v>38</v>
      </c>
      <c r="Q1594" t="s">
        <v>693</v>
      </c>
      <c r="R1594">
        <v>19.99999999999999999999999999999999999996</v>
      </c>
      <c r="S1594" t="s">
        <v>45</v>
      </c>
      <c r="T159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4">
        <v>59785</v>
      </c>
      <c r="V1594" t="s">
        <v>38</v>
      </c>
      <c r="W1594" t="s">
        <v>693</v>
      </c>
      <c r="X1594">
        <v>19.99999999999999999999999999999999999996</v>
      </c>
      <c r="Y1594">
        <v>0</v>
      </c>
      <c r="Z1594" t="s">
        <v>46</v>
      </c>
      <c r="AA1594">
        <v>59913</v>
      </c>
      <c r="AB1594" t="s">
        <v>1506</v>
      </c>
      <c r="AC1594" t="s">
        <v>103</v>
      </c>
      <c r="AD1594" t="s">
        <v>38</v>
      </c>
      <c r="AE1594" t="s">
        <v>49</v>
      </c>
      <c r="AF1594" t="s">
        <v>50</v>
      </c>
      <c r="AG1594">
        <v>.9999999999999999999999999999999999999996</v>
      </c>
      <c r="AH1594">
        <v>0</v>
      </c>
      <c r="AI1594" t="s">
        <v>51</v>
      </c>
      <c r="AJ1594" t="s">
        <v>51</v>
      </c>
      <c r="AK1594" t="s">
        <v>51</v>
      </c>
    </row>
    <row r="1595" spans="1:37" x14ac:dyDescent="0.2">
      <c r="A1595">
        <v>59783</v>
      </c>
      <c r="B1595" t="s">
        <v>37</v>
      </c>
      <c r="C1595" t="s">
        <v>38</v>
      </c>
      <c r="D1595" t="s">
        <v>674</v>
      </c>
      <c r="E1595" t="s">
        <v>40</v>
      </c>
      <c r="G1595" s="4">
        <v>43947.008020833333</v>
      </c>
      <c r="H1595" s="4">
        <v>43947.008819444444</v>
      </c>
      <c r="I1595" t="s">
        <v>1480</v>
      </c>
      <c r="J1595" s="5">
        <v>68.99999999999999999999999999999999999999</v>
      </c>
      <c r="K1595" t="s">
        <v>38</v>
      </c>
      <c r="M1595">
        <v>59784</v>
      </c>
      <c r="N1595" t="s">
        <v>705</v>
      </c>
      <c r="O1595" t="s">
        <v>706</v>
      </c>
      <c r="P1595" t="s">
        <v>38</v>
      </c>
      <c r="Q1595" t="s">
        <v>693</v>
      </c>
      <c r="R1595">
        <v>19.99999999999999999999999999999999999996</v>
      </c>
      <c r="S1595" t="s">
        <v>45</v>
      </c>
      <c r="T159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5">
        <v>59785</v>
      </c>
      <c r="V1595" t="s">
        <v>38</v>
      </c>
      <c r="W1595" t="s">
        <v>693</v>
      </c>
      <c r="X1595">
        <v>19.99999999999999999999999999999999999996</v>
      </c>
      <c r="Y1595">
        <v>0</v>
      </c>
      <c r="Z1595" t="s">
        <v>46</v>
      </c>
      <c r="AA1595">
        <v>59912</v>
      </c>
      <c r="AB1595" t="s">
        <v>1507</v>
      </c>
      <c r="AC1595" t="s">
        <v>103</v>
      </c>
      <c r="AD1595" t="s">
        <v>38</v>
      </c>
      <c r="AE1595" t="s">
        <v>49</v>
      </c>
      <c r="AF1595" t="s">
        <v>50</v>
      </c>
      <c r="AG1595">
        <v>0</v>
      </c>
      <c r="AH1595">
        <v>0</v>
      </c>
      <c r="AI1595" t="s">
        <v>51</v>
      </c>
      <c r="AJ1595" t="s">
        <v>51</v>
      </c>
      <c r="AK1595" t="s">
        <v>51</v>
      </c>
    </row>
    <row r="1596" spans="1:37" x14ac:dyDescent="0.2">
      <c r="A1596">
        <v>59783</v>
      </c>
      <c r="B1596" t="s">
        <v>37</v>
      </c>
      <c r="C1596" t="s">
        <v>38</v>
      </c>
      <c r="D1596" t="s">
        <v>674</v>
      </c>
      <c r="E1596" t="s">
        <v>40</v>
      </c>
      <c r="G1596" s="4">
        <v>43947.008020833333</v>
      </c>
      <c r="H1596" s="4">
        <v>43947.008819444444</v>
      </c>
      <c r="I1596" t="s">
        <v>1480</v>
      </c>
      <c r="J1596" s="5">
        <v>68.99999999999999999999999999999999999999</v>
      </c>
      <c r="K1596" t="s">
        <v>38</v>
      </c>
      <c r="M1596">
        <v>59784</v>
      </c>
      <c r="N1596" t="s">
        <v>705</v>
      </c>
      <c r="O1596" t="s">
        <v>706</v>
      </c>
      <c r="P1596" t="s">
        <v>38</v>
      </c>
      <c r="Q1596" t="s">
        <v>693</v>
      </c>
      <c r="R1596">
        <v>19.99999999999999999999999999999999999996</v>
      </c>
      <c r="S1596" t="s">
        <v>45</v>
      </c>
      <c r="T159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6">
        <v>59785</v>
      </c>
      <c r="V1596" t="s">
        <v>38</v>
      </c>
      <c r="W1596" t="s">
        <v>693</v>
      </c>
      <c r="X1596">
        <v>19.99999999999999999999999999999999999996</v>
      </c>
      <c r="Y1596">
        <v>0</v>
      </c>
      <c r="Z1596" t="s">
        <v>46</v>
      </c>
      <c r="AA1596">
        <v>59911</v>
      </c>
      <c r="AB1596" t="s">
        <v>1508</v>
      </c>
      <c r="AC1596" t="s">
        <v>103</v>
      </c>
      <c r="AD1596" t="s">
        <v>38</v>
      </c>
      <c r="AE1596" t="s">
        <v>49</v>
      </c>
      <c r="AF1596" t="s">
        <v>50</v>
      </c>
      <c r="AG1596">
        <v>0</v>
      </c>
      <c r="AH1596">
        <v>0</v>
      </c>
      <c r="AI1596" t="s">
        <v>51</v>
      </c>
      <c r="AJ1596" t="s">
        <v>51</v>
      </c>
      <c r="AK1596" t="s">
        <v>51</v>
      </c>
    </row>
    <row r="1597" spans="1:37" x14ac:dyDescent="0.2">
      <c r="A1597">
        <v>59783</v>
      </c>
      <c r="B1597" t="s">
        <v>37</v>
      </c>
      <c r="C1597" t="s">
        <v>38</v>
      </c>
      <c r="D1597" t="s">
        <v>674</v>
      </c>
      <c r="E1597" t="s">
        <v>40</v>
      </c>
      <c r="G1597" s="4">
        <v>43947.008020833333</v>
      </c>
      <c r="H1597" s="4">
        <v>43947.008819444444</v>
      </c>
      <c r="I1597" t="s">
        <v>1480</v>
      </c>
      <c r="J1597" s="5">
        <v>68.99999999999999999999999999999999999999</v>
      </c>
      <c r="K1597" t="s">
        <v>38</v>
      </c>
      <c r="M1597">
        <v>59784</v>
      </c>
      <c r="N1597" t="s">
        <v>705</v>
      </c>
      <c r="O1597" t="s">
        <v>706</v>
      </c>
      <c r="P1597" t="s">
        <v>38</v>
      </c>
      <c r="Q1597" t="s">
        <v>693</v>
      </c>
      <c r="R1597">
        <v>19.99999999999999999999999999999999999996</v>
      </c>
      <c r="S1597" t="s">
        <v>45</v>
      </c>
      <c r="T159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7">
        <v>59785</v>
      </c>
      <c r="V1597" t="s">
        <v>38</v>
      </c>
      <c r="W1597" t="s">
        <v>693</v>
      </c>
      <c r="X1597">
        <v>19.99999999999999999999999999999999999996</v>
      </c>
      <c r="Y1597">
        <v>0</v>
      </c>
      <c r="Z1597" t="s">
        <v>46</v>
      </c>
      <c r="AA1597">
        <v>59910</v>
      </c>
      <c r="AB1597" t="s">
        <v>1509</v>
      </c>
      <c r="AC1597" t="s">
        <v>103</v>
      </c>
      <c r="AD1597" t="s">
        <v>38</v>
      </c>
      <c r="AE1597" t="s">
        <v>49</v>
      </c>
      <c r="AF1597" t="s">
        <v>50</v>
      </c>
      <c r="AG1597">
        <v>0</v>
      </c>
      <c r="AH1597">
        <v>0</v>
      </c>
      <c r="AI1597" t="s">
        <v>51</v>
      </c>
      <c r="AJ1597" t="s">
        <v>51</v>
      </c>
      <c r="AK1597" t="s">
        <v>51</v>
      </c>
    </row>
    <row r="1598" spans="1:37" x14ac:dyDescent="0.2">
      <c r="A1598">
        <v>59783</v>
      </c>
      <c r="B1598" t="s">
        <v>37</v>
      </c>
      <c r="C1598" t="s">
        <v>38</v>
      </c>
      <c r="D1598" t="s">
        <v>674</v>
      </c>
      <c r="E1598" t="s">
        <v>40</v>
      </c>
      <c r="G1598" s="4">
        <v>43947.008020833333</v>
      </c>
      <c r="H1598" s="4">
        <v>43947.008819444444</v>
      </c>
      <c r="I1598" t="s">
        <v>1480</v>
      </c>
      <c r="J1598" s="5">
        <v>68.99999999999999999999999999999999999999</v>
      </c>
      <c r="K1598" t="s">
        <v>38</v>
      </c>
      <c r="M1598">
        <v>59784</v>
      </c>
      <c r="N1598" t="s">
        <v>705</v>
      </c>
      <c r="O1598" t="s">
        <v>706</v>
      </c>
      <c r="P1598" t="s">
        <v>38</v>
      </c>
      <c r="Q1598" t="s">
        <v>693</v>
      </c>
      <c r="R1598">
        <v>19.99999999999999999999999999999999999996</v>
      </c>
      <c r="S1598" t="s">
        <v>45</v>
      </c>
      <c r="T159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8">
        <v>59785</v>
      </c>
      <c r="V1598" t="s">
        <v>38</v>
      </c>
      <c r="W1598" t="s">
        <v>693</v>
      </c>
      <c r="X1598">
        <v>19.99999999999999999999999999999999999996</v>
      </c>
      <c r="Y1598">
        <v>0</v>
      </c>
      <c r="Z1598" t="s">
        <v>46</v>
      </c>
      <c r="AA1598">
        <v>59909</v>
      </c>
      <c r="AB1598" t="s">
        <v>1510</v>
      </c>
      <c r="AC1598" t="s">
        <v>103</v>
      </c>
      <c r="AD1598" t="s">
        <v>38</v>
      </c>
      <c r="AE1598" t="s">
        <v>49</v>
      </c>
      <c r="AF1598" t="s">
        <v>50</v>
      </c>
      <c r="AG1598">
        <v>0</v>
      </c>
      <c r="AH1598">
        <v>0</v>
      </c>
      <c r="AI1598" t="s">
        <v>51</v>
      </c>
      <c r="AJ1598" t="s">
        <v>51</v>
      </c>
      <c r="AK1598" t="s">
        <v>51</v>
      </c>
    </row>
    <row r="1599" spans="1:37" x14ac:dyDescent="0.2">
      <c r="A1599">
        <v>59783</v>
      </c>
      <c r="B1599" t="s">
        <v>37</v>
      </c>
      <c r="C1599" t="s">
        <v>38</v>
      </c>
      <c r="D1599" t="s">
        <v>674</v>
      </c>
      <c r="E1599" t="s">
        <v>40</v>
      </c>
      <c r="G1599" s="4">
        <v>43947.008020833333</v>
      </c>
      <c r="H1599" s="4">
        <v>43947.008819444444</v>
      </c>
      <c r="I1599" t="s">
        <v>1480</v>
      </c>
      <c r="J1599" s="5">
        <v>68.99999999999999999999999999999999999999</v>
      </c>
      <c r="K1599" t="s">
        <v>38</v>
      </c>
      <c r="M1599">
        <v>59784</v>
      </c>
      <c r="N1599" t="s">
        <v>705</v>
      </c>
      <c r="O1599" t="s">
        <v>706</v>
      </c>
      <c r="P1599" t="s">
        <v>38</v>
      </c>
      <c r="Q1599" t="s">
        <v>693</v>
      </c>
      <c r="R1599">
        <v>19.99999999999999999999999999999999999996</v>
      </c>
      <c r="S1599" t="s">
        <v>45</v>
      </c>
      <c r="T159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599">
        <v>59785</v>
      </c>
      <c r="V1599" t="s">
        <v>38</v>
      </c>
      <c r="W1599" t="s">
        <v>693</v>
      </c>
      <c r="X1599">
        <v>19.99999999999999999999999999999999999996</v>
      </c>
      <c r="Y1599">
        <v>0</v>
      </c>
      <c r="Z1599" t="s">
        <v>46</v>
      </c>
      <c r="AA1599">
        <v>59908</v>
      </c>
      <c r="AB1599" t="s">
        <v>1511</v>
      </c>
      <c r="AC1599" t="s">
        <v>103</v>
      </c>
      <c r="AD1599" t="s">
        <v>38</v>
      </c>
      <c r="AE1599" t="s">
        <v>49</v>
      </c>
      <c r="AF1599" t="s">
        <v>50</v>
      </c>
      <c r="AG1599">
        <v>0</v>
      </c>
      <c r="AH1599">
        <v>0</v>
      </c>
      <c r="AI1599" t="s">
        <v>51</v>
      </c>
      <c r="AJ1599" t="s">
        <v>51</v>
      </c>
      <c r="AK1599" t="s">
        <v>51</v>
      </c>
    </row>
    <row r="1600" spans="1:37" x14ac:dyDescent="0.2">
      <c r="A1600">
        <v>59783</v>
      </c>
      <c r="B1600" t="s">
        <v>37</v>
      </c>
      <c r="C1600" t="s">
        <v>38</v>
      </c>
      <c r="D1600" t="s">
        <v>674</v>
      </c>
      <c r="E1600" t="s">
        <v>40</v>
      </c>
      <c r="G1600" s="4">
        <v>43947.008020833333</v>
      </c>
      <c r="H1600" s="4">
        <v>43947.008819444444</v>
      </c>
      <c r="I1600" t="s">
        <v>1480</v>
      </c>
      <c r="J1600" s="5">
        <v>68.99999999999999999999999999999999999999</v>
      </c>
      <c r="K1600" t="s">
        <v>38</v>
      </c>
      <c r="M1600">
        <v>59784</v>
      </c>
      <c r="N1600" t="s">
        <v>705</v>
      </c>
      <c r="O1600" t="s">
        <v>706</v>
      </c>
      <c r="P1600" t="s">
        <v>38</v>
      </c>
      <c r="Q1600" t="s">
        <v>693</v>
      </c>
      <c r="R1600">
        <v>19.99999999999999999999999999999999999996</v>
      </c>
      <c r="S1600" t="s">
        <v>45</v>
      </c>
      <c r="T160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0">
        <v>59785</v>
      </c>
      <c r="V1600" t="s">
        <v>38</v>
      </c>
      <c r="W1600" t="s">
        <v>693</v>
      </c>
      <c r="X1600">
        <v>19.99999999999999999999999999999999999996</v>
      </c>
      <c r="Y1600">
        <v>0</v>
      </c>
      <c r="Z1600" t="s">
        <v>46</v>
      </c>
      <c r="AA1600">
        <v>59907</v>
      </c>
      <c r="AB1600" t="s">
        <v>1512</v>
      </c>
      <c r="AC1600" t="s">
        <v>103</v>
      </c>
      <c r="AD1600" t="s">
        <v>38</v>
      </c>
      <c r="AE1600" t="s">
        <v>49</v>
      </c>
      <c r="AF1600" t="s">
        <v>50</v>
      </c>
      <c r="AG1600">
        <v>0</v>
      </c>
      <c r="AH1600">
        <v>0</v>
      </c>
      <c r="AI1600" t="s">
        <v>51</v>
      </c>
      <c r="AJ1600" t="s">
        <v>51</v>
      </c>
      <c r="AK1600" t="s">
        <v>51</v>
      </c>
    </row>
    <row r="1601" spans="1:37" x14ac:dyDescent="0.2">
      <c r="A1601">
        <v>59783</v>
      </c>
      <c r="B1601" t="s">
        <v>37</v>
      </c>
      <c r="C1601" t="s">
        <v>38</v>
      </c>
      <c r="D1601" t="s">
        <v>674</v>
      </c>
      <c r="E1601" t="s">
        <v>40</v>
      </c>
      <c r="G1601" s="4">
        <v>43947.008020833333</v>
      </c>
      <c r="H1601" s="4">
        <v>43947.008819444444</v>
      </c>
      <c r="I1601" t="s">
        <v>1480</v>
      </c>
      <c r="J1601" s="5">
        <v>68.99999999999999999999999999999999999999</v>
      </c>
      <c r="K1601" t="s">
        <v>38</v>
      </c>
      <c r="M1601">
        <v>59784</v>
      </c>
      <c r="N1601" t="s">
        <v>705</v>
      </c>
      <c r="O1601" t="s">
        <v>706</v>
      </c>
      <c r="P1601" t="s">
        <v>38</v>
      </c>
      <c r="Q1601" t="s">
        <v>693</v>
      </c>
      <c r="R1601">
        <v>19.99999999999999999999999999999999999996</v>
      </c>
      <c r="S1601" t="s">
        <v>45</v>
      </c>
      <c r="T160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1">
        <v>59785</v>
      </c>
      <c r="V1601" t="s">
        <v>38</v>
      </c>
      <c r="W1601" t="s">
        <v>693</v>
      </c>
      <c r="X1601">
        <v>19.99999999999999999999999999999999999996</v>
      </c>
      <c r="Y1601">
        <v>0</v>
      </c>
      <c r="Z1601" t="s">
        <v>46</v>
      </c>
      <c r="AA1601">
        <v>59906</v>
      </c>
      <c r="AB1601" t="s">
        <v>1513</v>
      </c>
      <c r="AC1601" t="s">
        <v>103</v>
      </c>
      <c r="AD1601" t="s">
        <v>38</v>
      </c>
      <c r="AE1601" t="s">
        <v>49</v>
      </c>
      <c r="AF1601" t="s">
        <v>50</v>
      </c>
      <c r="AG1601">
        <v>0</v>
      </c>
      <c r="AH1601">
        <v>0</v>
      </c>
      <c r="AI1601" t="s">
        <v>51</v>
      </c>
      <c r="AJ1601" t="s">
        <v>51</v>
      </c>
      <c r="AK1601" t="s">
        <v>51</v>
      </c>
    </row>
    <row r="1602" spans="1:37" x14ac:dyDescent="0.2">
      <c r="A1602">
        <v>59783</v>
      </c>
      <c r="B1602" t="s">
        <v>37</v>
      </c>
      <c r="C1602" t="s">
        <v>38</v>
      </c>
      <c r="D1602" t="s">
        <v>674</v>
      </c>
      <c r="E1602" t="s">
        <v>40</v>
      </c>
      <c r="G1602" s="4">
        <v>43947.008020833333</v>
      </c>
      <c r="H1602" s="4">
        <v>43947.008819444444</v>
      </c>
      <c r="I1602" t="s">
        <v>1480</v>
      </c>
      <c r="J1602" s="5">
        <v>68.99999999999999999999999999999999999999</v>
      </c>
      <c r="K1602" t="s">
        <v>38</v>
      </c>
      <c r="M1602">
        <v>59784</v>
      </c>
      <c r="N1602" t="s">
        <v>705</v>
      </c>
      <c r="O1602" t="s">
        <v>706</v>
      </c>
      <c r="P1602" t="s">
        <v>38</v>
      </c>
      <c r="Q1602" t="s">
        <v>693</v>
      </c>
      <c r="R1602">
        <v>19.99999999999999999999999999999999999996</v>
      </c>
      <c r="S1602" t="s">
        <v>45</v>
      </c>
      <c r="T160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2">
        <v>59785</v>
      </c>
      <c r="V1602" t="s">
        <v>38</v>
      </c>
      <c r="W1602" t="s">
        <v>693</v>
      </c>
      <c r="X1602">
        <v>19.99999999999999999999999999999999999996</v>
      </c>
      <c r="Y1602">
        <v>0</v>
      </c>
      <c r="Z1602" t="s">
        <v>46</v>
      </c>
      <c r="AA1602">
        <v>59905</v>
      </c>
      <c r="AB1602" t="s">
        <v>1514</v>
      </c>
      <c r="AC1602" t="s">
        <v>103</v>
      </c>
      <c r="AD1602" t="s">
        <v>38</v>
      </c>
      <c r="AE1602" t="s">
        <v>49</v>
      </c>
      <c r="AF1602" t="s">
        <v>50</v>
      </c>
      <c r="AG1602">
        <v>0</v>
      </c>
      <c r="AH1602">
        <v>0</v>
      </c>
      <c r="AI1602" t="s">
        <v>51</v>
      </c>
      <c r="AJ1602" t="s">
        <v>51</v>
      </c>
      <c r="AK1602" t="s">
        <v>51</v>
      </c>
    </row>
    <row r="1603" spans="1:37" x14ac:dyDescent="0.2">
      <c r="A1603">
        <v>59783</v>
      </c>
      <c r="B1603" t="s">
        <v>37</v>
      </c>
      <c r="C1603" t="s">
        <v>38</v>
      </c>
      <c r="D1603" t="s">
        <v>674</v>
      </c>
      <c r="E1603" t="s">
        <v>40</v>
      </c>
      <c r="G1603" s="4">
        <v>43947.008020833333</v>
      </c>
      <c r="H1603" s="4">
        <v>43947.008819444444</v>
      </c>
      <c r="I1603" t="s">
        <v>1480</v>
      </c>
      <c r="J1603" s="5">
        <v>68.99999999999999999999999999999999999999</v>
      </c>
      <c r="K1603" t="s">
        <v>38</v>
      </c>
      <c r="M1603">
        <v>59784</v>
      </c>
      <c r="N1603" t="s">
        <v>705</v>
      </c>
      <c r="O1603" t="s">
        <v>706</v>
      </c>
      <c r="P1603" t="s">
        <v>38</v>
      </c>
      <c r="Q1603" t="s">
        <v>693</v>
      </c>
      <c r="R1603">
        <v>19.99999999999999999999999999999999999996</v>
      </c>
      <c r="S1603" t="s">
        <v>45</v>
      </c>
      <c r="T160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3">
        <v>59785</v>
      </c>
      <c r="V1603" t="s">
        <v>38</v>
      </c>
      <c r="W1603" t="s">
        <v>693</v>
      </c>
      <c r="X1603">
        <v>19.99999999999999999999999999999999999996</v>
      </c>
      <c r="Y1603">
        <v>0</v>
      </c>
      <c r="Z1603" t="s">
        <v>46</v>
      </c>
      <c r="AA1603">
        <v>59904</v>
      </c>
      <c r="AB1603" t="s">
        <v>1515</v>
      </c>
      <c r="AC1603" t="s">
        <v>103</v>
      </c>
      <c r="AD1603" t="s">
        <v>38</v>
      </c>
      <c r="AE1603" t="s">
        <v>49</v>
      </c>
      <c r="AF1603" t="s">
        <v>50</v>
      </c>
      <c r="AG1603">
        <v>0</v>
      </c>
      <c r="AH1603">
        <v>0</v>
      </c>
      <c r="AI1603" t="s">
        <v>51</v>
      </c>
      <c r="AJ1603" t="s">
        <v>51</v>
      </c>
      <c r="AK1603" t="s">
        <v>51</v>
      </c>
    </row>
    <row r="1604" spans="1:37" x14ac:dyDescent="0.2">
      <c r="A1604">
        <v>59783</v>
      </c>
      <c r="B1604" t="s">
        <v>37</v>
      </c>
      <c r="C1604" t="s">
        <v>38</v>
      </c>
      <c r="D1604" t="s">
        <v>674</v>
      </c>
      <c r="E1604" t="s">
        <v>40</v>
      </c>
      <c r="G1604" s="4">
        <v>43947.008020833333</v>
      </c>
      <c r="H1604" s="4">
        <v>43947.008819444444</v>
      </c>
      <c r="I1604" t="s">
        <v>1480</v>
      </c>
      <c r="J1604" s="5">
        <v>68.99999999999999999999999999999999999999</v>
      </c>
      <c r="K1604" t="s">
        <v>38</v>
      </c>
      <c r="M1604">
        <v>59784</v>
      </c>
      <c r="N1604" t="s">
        <v>705</v>
      </c>
      <c r="O1604" t="s">
        <v>706</v>
      </c>
      <c r="P1604" t="s">
        <v>38</v>
      </c>
      <c r="Q1604" t="s">
        <v>693</v>
      </c>
      <c r="R1604">
        <v>19.99999999999999999999999999999999999996</v>
      </c>
      <c r="S1604" t="s">
        <v>45</v>
      </c>
      <c r="T160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4">
        <v>59785</v>
      </c>
      <c r="V1604" t="s">
        <v>38</v>
      </c>
      <c r="W1604" t="s">
        <v>693</v>
      </c>
      <c r="X1604">
        <v>19.99999999999999999999999999999999999996</v>
      </c>
      <c r="Y1604">
        <v>0</v>
      </c>
      <c r="Z1604" t="s">
        <v>46</v>
      </c>
      <c r="AA1604">
        <v>59903</v>
      </c>
      <c r="AB1604" t="s">
        <v>1516</v>
      </c>
      <c r="AC1604" t="s">
        <v>103</v>
      </c>
      <c r="AD1604" t="s">
        <v>38</v>
      </c>
      <c r="AE1604" t="s">
        <v>49</v>
      </c>
      <c r="AF1604" t="s">
        <v>50</v>
      </c>
      <c r="AG1604">
        <v>0</v>
      </c>
      <c r="AH1604">
        <v>0</v>
      </c>
      <c r="AI1604" t="s">
        <v>51</v>
      </c>
      <c r="AJ1604" t="s">
        <v>51</v>
      </c>
      <c r="AK1604" t="s">
        <v>51</v>
      </c>
    </row>
    <row r="1605" spans="1:37" x14ac:dyDescent="0.2">
      <c r="A1605">
        <v>59783</v>
      </c>
      <c r="B1605" t="s">
        <v>37</v>
      </c>
      <c r="C1605" t="s">
        <v>38</v>
      </c>
      <c r="D1605" t="s">
        <v>674</v>
      </c>
      <c r="E1605" t="s">
        <v>40</v>
      </c>
      <c r="G1605" s="4">
        <v>43947.008020833333</v>
      </c>
      <c r="H1605" s="4">
        <v>43947.008819444444</v>
      </c>
      <c r="I1605" t="s">
        <v>1480</v>
      </c>
      <c r="J1605" s="5">
        <v>68.99999999999999999999999999999999999999</v>
      </c>
      <c r="K1605" t="s">
        <v>38</v>
      </c>
      <c r="M1605">
        <v>59784</v>
      </c>
      <c r="N1605" t="s">
        <v>705</v>
      </c>
      <c r="O1605" t="s">
        <v>706</v>
      </c>
      <c r="P1605" t="s">
        <v>38</v>
      </c>
      <c r="Q1605" t="s">
        <v>693</v>
      </c>
      <c r="R1605">
        <v>19.99999999999999999999999999999999999996</v>
      </c>
      <c r="S1605" t="s">
        <v>45</v>
      </c>
      <c r="T160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5">
        <v>59785</v>
      </c>
      <c r="V1605" t="s">
        <v>38</v>
      </c>
      <c r="W1605" t="s">
        <v>693</v>
      </c>
      <c r="X1605">
        <v>19.99999999999999999999999999999999999996</v>
      </c>
      <c r="Y1605">
        <v>0</v>
      </c>
      <c r="Z1605" t="s">
        <v>46</v>
      </c>
      <c r="AA1605">
        <v>59902</v>
      </c>
      <c r="AB1605" t="s">
        <v>1517</v>
      </c>
      <c r="AC1605" t="s">
        <v>103</v>
      </c>
      <c r="AD1605" t="s">
        <v>38</v>
      </c>
      <c r="AE1605" t="s">
        <v>49</v>
      </c>
      <c r="AF1605" t="s">
        <v>50</v>
      </c>
      <c r="AG1605">
        <v>0</v>
      </c>
      <c r="AH1605">
        <v>0</v>
      </c>
      <c r="AI1605" t="s">
        <v>51</v>
      </c>
      <c r="AJ1605" t="s">
        <v>51</v>
      </c>
      <c r="AK1605" t="s">
        <v>51</v>
      </c>
    </row>
    <row r="1606" spans="1:37" x14ac:dyDescent="0.2">
      <c r="A1606">
        <v>59783</v>
      </c>
      <c r="B1606" t="s">
        <v>37</v>
      </c>
      <c r="C1606" t="s">
        <v>38</v>
      </c>
      <c r="D1606" t="s">
        <v>674</v>
      </c>
      <c r="E1606" t="s">
        <v>40</v>
      </c>
      <c r="G1606" s="4">
        <v>43947.008020833333</v>
      </c>
      <c r="H1606" s="4">
        <v>43947.008819444444</v>
      </c>
      <c r="I1606" t="s">
        <v>1480</v>
      </c>
      <c r="J1606" s="5">
        <v>68.99999999999999999999999999999999999999</v>
      </c>
      <c r="K1606" t="s">
        <v>38</v>
      </c>
      <c r="M1606">
        <v>59784</v>
      </c>
      <c r="N1606" t="s">
        <v>705</v>
      </c>
      <c r="O1606" t="s">
        <v>706</v>
      </c>
      <c r="P1606" t="s">
        <v>38</v>
      </c>
      <c r="Q1606" t="s">
        <v>693</v>
      </c>
      <c r="R1606">
        <v>19.99999999999999999999999999999999999996</v>
      </c>
      <c r="S1606" t="s">
        <v>45</v>
      </c>
      <c r="T160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6">
        <v>59785</v>
      </c>
      <c r="V1606" t="s">
        <v>38</v>
      </c>
      <c r="W1606" t="s">
        <v>693</v>
      </c>
      <c r="X1606">
        <v>19.99999999999999999999999999999999999996</v>
      </c>
      <c r="Y1606">
        <v>0</v>
      </c>
      <c r="Z1606" t="s">
        <v>46</v>
      </c>
      <c r="AA1606">
        <v>59901</v>
      </c>
      <c r="AB1606" t="s">
        <v>1518</v>
      </c>
      <c r="AC1606" t="s">
        <v>103</v>
      </c>
      <c r="AD1606" t="s">
        <v>38</v>
      </c>
      <c r="AE1606" t="s">
        <v>49</v>
      </c>
      <c r="AF1606" t="s">
        <v>50</v>
      </c>
      <c r="AG1606">
        <v>0</v>
      </c>
      <c r="AH1606">
        <v>0</v>
      </c>
      <c r="AI1606" t="s">
        <v>51</v>
      </c>
      <c r="AJ1606" t="s">
        <v>51</v>
      </c>
      <c r="AK1606" t="s">
        <v>51</v>
      </c>
    </row>
    <row r="1607" spans="1:37" x14ac:dyDescent="0.2">
      <c r="A1607">
        <v>59783</v>
      </c>
      <c r="B1607" t="s">
        <v>37</v>
      </c>
      <c r="C1607" t="s">
        <v>38</v>
      </c>
      <c r="D1607" t="s">
        <v>674</v>
      </c>
      <c r="E1607" t="s">
        <v>40</v>
      </c>
      <c r="G1607" s="4">
        <v>43947.008020833333</v>
      </c>
      <c r="H1607" s="4">
        <v>43947.008819444444</v>
      </c>
      <c r="I1607" t="s">
        <v>1480</v>
      </c>
      <c r="J1607" s="5">
        <v>68.99999999999999999999999999999999999999</v>
      </c>
      <c r="K1607" t="s">
        <v>38</v>
      </c>
      <c r="M1607">
        <v>59784</v>
      </c>
      <c r="N1607" t="s">
        <v>705</v>
      </c>
      <c r="O1607" t="s">
        <v>706</v>
      </c>
      <c r="P1607" t="s">
        <v>38</v>
      </c>
      <c r="Q1607" t="s">
        <v>693</v>
      </c>
      <c r="R1607">
        <v>19.99999999999999999999999999999999999996</v>
      </c>
      <c r="S1607" t="s">
        <v>45</v>
      </c>
      <c r="T160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7">
        <v>59785</v>
      </c>
      <c r="V1607" t="s">
        <v>38</v>
      </c>
      <c r="W1607" t="s">
        <v>693</v>
      </c>
      <c r="X1607">
        <v>19.99999999999999999999999999999999999996</v>
      </c>
      <c r="Y1607">
        <v>0</v>
      </c>
      <c r="Z1607" t="s">
        <v>46</v>
      </c>
      <c r="AA1607">
        <v>59900</v>
      </c>
      <c r="AB1607" t="s">
        <v>1519</v>
      </c>
      <c r="AC1607" t="s">
        <v>103</v>
      </c>
      <c r="AD1607" t="s">
        <v>38</v>
      </c>
      <c r="AE1607" t="s">
        <v>49</v>
      </c>
      <c r="AF1607" t="s">
        <v>50</v>
      </c>
      <c r="AG1607">
        <v>0</v>
      </c>
      <c r="AH1607">
        <v>0</v>
      </c>
      <c r="AI1607" t="s">
        <v>51</v>
      </c>
      <c r="AJ1607" t="s">
        <v>51</v>
      </c>
      <c r="AK1607" t="s">
        <v>51</v>
      </c>
    </row>
    <row r="1608" spans="1:37" x14ac:dyDescent="0.2">
      <c r="A1608">
        <v>59783</v>
      </c>
      <c r="B1608" t="s">
        <v>37</v>
      </c>
      <c r="C1608" t="s">
        <v>38</v>
      </c>
      <c r="D1608" t="s">
        <v>674</v>
      </c>
      <c r="E1608" t="s">
        <v>40</v>
      </c>
      <c r="G1608" s="4">
        <v>43947.008020833333</v>
      </c>
      <c r="H1608" s="4">
        <v>43947.008819444444</v>
      </c>
      <c r="I1608" t="s">
        <v>1480</v>
      </c>
      <c r="J1608" s="5">
        <v>68.99999999999999999999999999999999999999</v>
      </c>
      <c r="K1608" t="s">
        <v>38</v>
      </c>
      <c r="M1608">
        <v>59784</v>
      </c>
      <c r="N1608" t="s">
        <v>705</v>
      </c>
      <c r="O1608" t="s">
        <v>706</v>
      </c>
      <c r="P1608" t="s">
        <v>38</v>
      </c>
      <c r="Q1608" t="s">
        <v>693</v>
      </c>
      <c r="R1608">
        <v>19.99999999999999999999999999999999999996</v>
      </c>
      <c r="S1608" t="s">
        <v>45</v>
      </c>
      <c r="T160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8">
        <v>59785</v>
      </c>
      <c r="V1608" t="s">
        <v>38</v>
      </c>
      <c r="W1608" t="s">
        <v>693</v>
      </c>
      <c r="X1608">
        <v>19.99999999999999999999999999999999999996</v>
      </c>
      <c r="Y1608">
        <v>0</v>
      </c>
      <c r="Z1608" t="s">
        <v>46</v>
      </c>
      <c r="AA1608">
        <v>59899</v>
      </c>
      <c r="AB1608" t="s">
        <v>1520</v>
      </c>
      <c r="AC1608" t="s">
        <v>103</v>
      </c>
      <c r="AD1608" t="s">
        <v>38</v>
      </c>
      <c r="AE1608" t="s">
        <v>49</v>
      </c>
      <c r="AF1608" t="s">
        <v>50</v>
      </c>
      <c r="AG1608">
        <v>0</v>
      </c>
      <c r="AH1608">
        <v>0</v>
      </c>
      <c r="AI1608" t="s">
        <v>51</v>
      </c>
      <c r="AJ1608" t="s">
        <v>51</v>
      </c>
      <c r="AK1608" t="s">
        <v>51</v>
      </c>
    </row>
    <row r="1609" spans="1:37" x14ac:dyDescent="0.2">
      <c r="A1609">
        <v>59783</v>
      </c>
      <c r="B1609" t="s">
        <v>37</v>
      </c>
      <c r="C1609" t="s">
        <v>38</v>
      </c>
      <c r="D1609" t="s">
        <v>674</v>
      </c>
      <c r="E1609" t="s">
        <v>40</v>
      </c>
      <c r="G1609" s="4">
        <v>43947.008020833333</v>
      </c>
      <c r="H1609" s="4">
        <v>43947.008819444444</v>
      </c>
      <c r="I1609" t="s">
        <v>1480</v>
      </c>
      <c r="J1609" s="5">
        <v>68.99999999999999999999999999999999999999</v>
      </c>
      <c r="K1609" t="s">
        <v>38</v>
      </c>
      <c r="M1609">
        <v>59784</v>
      </c>
      <c r="N1609" t="s">
        <v>705</v>
      </c>
      <c r="O1609" t="s">
        <v>706</v>
      </c>
      <c r="P1609" t="s">
        <v>38</v>
      </c>
      <c r="Q1609" t="s">
        <v>693</v>
      </c>
      <c r="R1609">
        <v>19.99999999999999999999999999999999999996</v>
      </c>
      <c r="S1609" t="s">
        <v>45</v>
      </c>
      <c r="T160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09">
        <v>59785</v>
      </c>
      <c r="V1609" t="s">
        <v>38</v>
      </c>
      <c r="W1609" t="s">
        <v>693</v>
      </c>
      <c r="X1609">
        <v>19.99999999999999999999999999999999999996</v>
      </c>
      <c r="Y1609">
        <v>0</v>
      </c>
      <c r="Z1609" t="s">
        <v>46</v>
      </c>
      <c r="AA1609">
        <v>59898</v>
      </c>
      <c r="AB1609" t="s">
        <v>1521</v>
      </c>
      <c r="AC1609" t="s">
        <v>103</v>
      </c>
      <c r="AD1609" t="s">
        <v>38</v>
      </c>
      <c r="AE1609" t="s">
        <v>49</v>
      </c>
      <c r="AF1609" t="s">
        <v>50</v>
      </c>
      <c r="AG1609">
        <v>0</v>
      </c>
      <c r="AH1609">
        <v>0</v>
      </c>
      <c r="AI1609" t="s">
        <v>51</v>
      </c>
      <c r="AJ1609" t="s">
        <v>51</v>
      </c>
      <c r="AK1609" t="s">
        <v>51</v>
      </c>
    </row>
    <row r="1610" spans="1:37" x14ac:dyDescent="0.2">
      <c r="A1610">
        <v>59783</v>
      </c>
      <c r="B1610" t="s">
        <v>37</v>
      </c>
      <c r="C1610" t="s">
        <v>38</v>
      </c>
      <c r="D1610" t="s">
        <v>674</v>
      </c>
      <c r="E1610" t="s">
        <v>40</v>
      </c>
      <c r="G1610" s="4">
        <v>43947.008020833333</v>
      </c>
      <c r="H1610" s="4">
        <v>43947.008819444444</v>
      </c>
      <c r="I1610" t="s">
        <v>1480</v>
      </c>
      <c r="J1610" s="5">
        <v>68.99999999999999999999999999999999999999</v>
      </c>
      <c r="K1610" t="s">
        <v>38</v>
      </c>
      <c r="M1610">
        <v>59784</v>
      </c>
      <c r="N1610" t="s">
        <v>705</v>
      </c>
      <c r="O1610" t="s">
        <v>706</v>
      </c>
      <c r="P1610" t="s">
        <v>38</v>
      </c>
      <c r="Q1610" t="s">
        <v>693</v>
      </c>
      <c r="R1610">
        <v>19.99999999999999999999999999999999999996</v>
      </c>
      <c r="S1610" t="s">
        <v>45</v>
      </c>
      <c r="T161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0">
        <v>59785</v>
      </c>
      <c r="V1610" t="s">
        <v>38</v>
      </c>
      <c r="W1610" t="s">
        <v>693</v>
      </c>
      <c r="X1610">
        <v>19.99999999999999999999999999999999999996</v>
      </c>
      <c r="Y1610">
        <v>0</v>
      </c>
      <c r="Z1610" t="s">
        <v>46</v>
      </c>
      <c r="AA1610">
        <v>59897</v>
      </c>
      <c r="AB1610" t="s">
        <v>1522</v>
      </c>
      <c r="AC1610" t="s">
        <v>103</v>
      </c>
      <c r="AD1610" t="s">
        <v>38</v>
      </c>
      <c r="AE1610" t="s">
        <v>49</v>
      </c>
      <c r="AF1610" t="s">
        <v>50</v>
      </c>
      <c r="AG1610">
        <v>0</v>
      </c>
      <c r="AH1610">
        <v>0</v>
      </c>
      <c r="AI1610" t="s">
        <v>51</v>
      </c>
      <c r="AJ1610" t="s">
        <v>51</v>
      </c>
      <c r="AK1610" t="s">
        <v>51</v>
      </c>
    </row>
    <row r="1611" spans="1:37" x14ac:dyDescent="0.2">
      <c r="A1611">
        <v>59783</v>
      </c>
      <c r="B1611" t="s">
        <v>37</v>
      </c>
      <c r="C1611" t="s">
        <v>38</v>
      </c>
      <c r="D1611" t="s">
        <v>674</v>
      </c>
      <c r="E1611" t="s">
        <v>40</v>
      </c>
      <c r="G1611" s="4">
        <v>43947.008020833333</v>
      </c>
      <c r="H1611" s="4">
        <v>43947.008819444444</v>
      </c>
      <c r="I1611" t="s">
        <v>1480</v>
      </c>
      <c r="J1611" s="5">
        <v>68.99999999999999999999999999999999999999</v>
      </c>
      <c r="K1611" t="s">
        <v>38</v>
      </c>
      <c r="M1611">
        <v>59784</v>
      </c>
      <c r="N1611" t="s">
        <v>705</v>
      </c>
      <c r="O1611" t="s">
        <v>706</v>
      </c>
      <c r="P1611" t="s">
        <v>38</v>
      </c>
      <c r="Q1611" t="s">
        <v>693</v>
      </c>
      <c r="R1611">
        <v>19.99999999999999999999999999999999999996</v>
      </c>
      <c r="S1611" t="s">
        <v>45</v>
      </c>
      <c r="T161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1">
        <v>59785</v>
      </c>
      <c r="V1611" t="s">
        <v>38</v>
      </c>
      <c r="W1611" t="s">
        <v>693</v>
      </c>
      <c r="X1611">
        <v>19.99999999999999999999999999999999999996</v>
      </c>
      <c r="Y1611">
        <v>0</v>
      </c>
      <c r="Z1611" t="s">
        <v>46</v>
      </c>
      <c r="AA1611">
        <v>59896</v>
      </c>
      <c r="AB1611" t="s">
        <v>1523</v>
      </c>
      <c r="AC1611" t="s">
        <v>103</v>
      </c>
      <c r="AD1611" t="s">
        <v>38</v>
      </c>
      <c r="AE1611" t="s">
        <v>49</v>
      </c>
      <c r="AF1611" t="s">
        <v>50</v>
      </c>
      <c r="AG1611">
        <v>0</v>
      </c>
      <c r="AH1611">
        <v>0</v>
      </c>
      <c r="AI1611" t="s">
        <v>51</v>
      </c>
      <c r="AJ1611" t="s">
        <v>51</v>
      </c>
      <c r="AK1611" t="s">
        <v>51</v>
      </c>
    </row>
    <row r="1612" spans="1:37" x14ac:dyDescent="0.2">
      <c r="A1612">
        <v>59783</v>
      </c>
      <c r="B1612" t="s">
        <v>37</v>
      </c>
      <c r="C1612" t="s">
        <v>38</v>
      </c>
      <c r="D1612" t="s">
        <v>674</v>
      </c>
      <c r="E1612" t="s">
        <v>40</v>
      </c>
      <c r="G1612" s="4">
        <v>43947.008020833333</v>
      </c>
      <c r="H1612" s="4">
        <v>43947.008819444444</v>
      </c>
      <c r="I1612" t="s">
        <v>1480</v>
      </c>
      <c r="J1612" s="5">
        <v>68.99999999999999999999999999999999999999</v>
      </c>
      <c r="K1612" t="s">
        <v>38</v>
      </c>
      <c r="M1612">
        <v>59784</v>
      </c>
      <c r="N1612" t="s">
        <v>705</v>
      </c>
      <c r="O1612" t="s">
        <v>706</v>
      </c>
      <c r="P1612" t="s">
        <v>38</v>
      </c>
      <c r="Q1612" t="s">
        <v>693</v>
      </c>
      <c r="R1612">
        <v>19.99999999999999999999999999999999999996</v>
      </c>
      <c r="S1612" t="s">
        <v>45</v>
      </c>
      <c r="T161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2">
        <v>59785</v>
      </c>
      <c r="V1612" t="s">
        <v>38</v>
      </c>
      <c r="W1612" t="s">
        <v>693</v>
      </c>
      <c r="X1612">
        <v>19.99999999999999999999999999999999999996</v>
      </c>
      <c r="Y1612">
        <v>0</v>
      </c>
      <c r="Z1612" t="s">
        <v>46</v>
      </c>
      <c r="AA1612">
        <v>59895</v>
      </c>
      <c r="AB1612" t="s">
        <v>1524</v>
      </c>
      <c r="AC1612" t="s">
        <v>103</v>
      </c>
      <c r="AD1612" t="s">
        <v>38</v>
      </c>
      <c r="AE1612" t="s">
        <v>49</v>
      </c>
      <c r="AF1612" t="s">
        <v>50</v>
      </c>
      <c r="AG1612">
        <v>0</v>
      </c>
      <c r="AH1612">
        <v>0</v>
      </c>
      <c r="AI1612" t="s">
        <v>51</v>
      </c>
      <c r="AJ1612" t="s">
        <v>51</v>
      </c>
      <c r="AK1612" t="s">
        <v>51</v>
      </c>
    </row>
    <row r="1613" spans="1:37" x14ac:dyDescent="0.2">
      <c r="A1613">
        <v>59783</v>
      </c>
      <c r="B1613" t="s">
        <v>37</v>
      </c>
      <c r="C1613" t="s">
        <v>38</v>
      </c>
      <c r="D1613" t="s">
        <v>674</v>
      </c>
      <c r="E1613" t="s">
        <v>40</v>
      </c>
      <c r="G1613" s="4">
        <v>43947.008020833333</v>
      </c>
      <c r="H1613" s="4">
        <v>43947.008819444444</v>
      </c>
      <c r="I1613" t="s">
        <v>1480</v>
      </c>
      <c r="J1613" s="5">
        <v>68.99999999999999999999999999999999999999</v>
      </c>
      <c r="K1613" t="s">
        <v>38</v>
      </c>
      <c r="M1613">
        <v>59784</v>
      </c>
      <c r="N1613" t="s">
        <v>705</v>
      </c>
      <c r="O1613" t="s">
        <v>706</v>
      </c>
      <c r="P1613" t="s">
        <v>38</v>
      </c>
      <c r="Q1613" t="s">
        <v>693</v>
      </c>
      <c r="R1613">
        <v>19.99999999999999999999999999999999999996</v>
      </c>
      <c r="S1613" t="s">
        <v>45</v>
      </c>
      <c r="T161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3">
        <v>59785</v>
      </c>
      <c r="V1613" t="s">
        <v>38</v>
      </c>
      <c r="W1613" t="s">
        <v>693</v>
      </c>
      <c r="X1613">
        <v>19.99999999999999999999999999999999999996</v>
      </c>
      <c r="Y1613">
        <v>0</v>
      </c>
      <c r="Z1613" t="s">
        <v>46</v>
      </c>
      <c r="AA1613">
        <v>59894</v>
      </c>
      <c r="AB1613" t="s">
        <v>1525</v>
      </c>
      <c r="AC1613" t="s">
        <v>103</v>
      </c>
      <c r="AD1613" t="s">
        <v>38</v>
      </c>
      <c r="AE1613" t="s">
        <v>49</v>
      </c>
      <c r="AF1613" t="s">
        <v>50</v>
      </c>
      <c r="AG1613">
        <v>0</v>
      </c>
      <c r="AH1613">
        <v>0</v>
      </c>
      <c r="AI1613" t="s">
        <v>51</v>
      </c>
      <c r="AJ1613" t="s">
        <v>51</v>
      </c>
      <c r="AK1613" t="s">
        <v>51</v>
      </c>
    </row>
    <row r="1614" spans="1:37" x14ac:dyDescent="0.2">
      <c r="A1614">
        <v>59783</v>
      </c>
      <c r="B1614" t="s">
        <v>37</v>
      </c>
      <c r="C1614" t="s">
        <v>38</v>
      </c>
      <c r="D1614" t="s">
        <v>674</v>
      </c>
      <c r="E1614" t="s">
        <v>40</v>
      </c>
      <c r="G1614" s="4">
        <v>43947.008020833333</v>
      </c>
      <c r="H1614" s="4">
        <v>43947.008819444444</v>
      </c>
      <c r="I1614" t="s">
        <v>1480</v>
      </c>
      <c r="J1614" s="5">
        <v>68.99999999999999999999999999999999999999</v>
      </c>
      <c r="K1614" t="s">
        <v>38</v>
      </c>
      <c r="M1614">
        <v>59784</v>
      </c>
      <c r="N1614" t="s">
        <v>705</v>
      </c>
      <c r="O1614" t="s">
        <v>706</v>
      </c>
      <c r="P1614" t="s">
        <v>38</v>
      </c>
      <c r="Q1614" t="s">
        <v>693</v>
      </c>
      <c r="R1614">
        <v>19.99999999999999999999999999999999999996</v>
      </c>
      <c r="S1614" t="s">
        <v>45</v>
      </c>
      <c r="T161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4">
        <v>59785</v>
      </c>
      <c r="V1614" t="s">
        <v>38</v>
      </c>
      <c r="W1614" t="s">
        <v>693</v>
      </c>
      <c r="X1614">
        <v>19.99999999999999999999999999999999999996</v>
      </c>
      <c r="Y1614">
        <v>0</v>
      </c>
      <c r="Z1614" t="s">
        <v>46</v>
      </c>
      <c r="AA1614">
        <v>59893</v>
      </c>
      <c r="AB1614" t="s">
        <v>1526</v>
      </c>
      <c r="AC1614" t="s">
        <v>103</v>
      </c>
      <c r="AD1614" t="s">
        <v>38</v>
      </c>
      <c r="AE1614" t="s">
        <v>49</v>
      </c>
      <c r="AF1614" t="s">
        <v>50</v>
      </c>
      <c r="AG1614">
        <v>0</v>
      </c>
      <c r="AH1614">
        <v>0</v>
      </c>
      <c r="AI1614" t="s">
        <v>51</v>
      </c>
      <c r="AJ1614" t="s">
        <v>51</v>
      </c>
      <c r="AK1614" t="s">
        <v>51</v>
      </c>
    </row>
    <row r="1615" spans="1:37" x14ac:dyDescent="0.2">
      <c r="A1615">
        <v>59783</v>
      </c>
      <c r="B1615" t="s">
        <v>37</v>
      </c>
      <c r="C1615" t="s">
        <v>38</v>
      </c>
      <c r="D1615" t="s">
        <v>674</v>
      </c>
      <c r="E1615" t="s">
        <v>40</v>
      </c>
      <c r="G1615" s="4">
        <v>43947.008020833333</v>
      </c>
      <c r="H1615" s="4">
        <v>43947.008819444444</v>
      </c>
      <c r="I1615" t="s">
        <v>1480</v>
      </c>
      <c r="J1615" s="5">
        <v>68.99999999999999999999999999999999999999</v>
      </c>
      <c r="K1615" t="s">
        <v>38</v>
      </c>
      <c r="M1615">
        <v>59784</v>
      </c>
      <c r="N1615" t="s">
        <v>705</v>
      </c>
      <c r="O1615" t="s">
        <v>706</v>
      </c>
      <c r="P1615" t="s">
        <v>38</v>
      </c>
      <c r="Q1615" t="s">
        <v>693</v>
      </c>
      <c r="R1615">
        <v>19.99999999999999999999999999999999999996</v>
      </c>
      <c r="S1615" t="s">
        <v>45</v>
      </c>
      <c r="T161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5">
        <v>59785</v>
      </c>
      <c r="V1615" t="s">
        <v>38</v>
      </c>
      <c r="W1615" t="s">
        <v>693</v>
      </c>
      <c r="X1615">
        <v>19.99999999999999999999999999999999999996</v>
      </c>
      <c r="Y1615">
        <v>0</v>
      </c>
      <c r="Z1615" t="s">
        <v>46</v>
      </c>
      <c r="AA1615">
        <v>59892</v>
      </c>
      <c r="AB1615" t="s">
        <v>1527</v>
      </c>
      <c r="AC1615" t="s">
        <v>103</v>
      </c>
      <c r="AD1615" t="s">
        <v>38</v>
      </c>
      <c r="AE1615" t="s">
        <v>49</v>
      </c>
      <c r="AF1615" t="s">
        <v>50</v>
      </c>
      <c r="AG1615">
        <v>0</v>
      </c>
      <c r="AH1615">
        <v>0</v>
      </c>
      <c r="AI1615" t="s">
        <v>51</v>
      </c>
      <c r="AJ1615" t="s">
        <v>51</v>
      </c>
      <c r="AK1615" t="s">
        <v>51</v>
      </c>
    </row>
    <row r="1616" spans="1:37" x14ac:dyDescent="0.2">
      <c r="A1616">
        <v>59783</v>
      </c>
      <c r="B1616" t="s">
        <v>37</v>
      </c>
      <c r="C1616" t="s">
        <v>38</v>
      </c>
      <c r="D1616" t="s">
        <v>674</v>
      </c>
      <c r="E1616" t="s">
        <v>40</v>
      </c>
      <c r="G1616" s="4">
        <v>43947.008020833333</v>
      </c>
      <c r="H1616" s="4">
        <v>43947.008819444444</v>
      </c>
      <c r="I1616" t="s">
        <v>1480</v>
      </c>
      <c r="J1616" s="5">
        <v>68.99999999999999999999999999999999999999</v>
      </c>
      <c r="K1616" t="s">
        <v>38</v>
      </c>
      <c r="M1616">
        <v>59784</v>
      </c>
      <c r="N1616" t="s">
        <v>705</v>
      </c>
      <c r="O1616" t="s">
        <v>706</v>
      </c>
      <c r="P1616" t="s">
        <v>38</v>
      </c>
      <c r="Q1616" t="s">
        <v>693</v>
      </c>
      <c r="R1616">
        <v>19.99999999999999999999999999999999999996</v>
      </c>
      <c r="S1616" t="s">
        <v>45</v>
      </c>
      <c r="T161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6">
        <v>59785</v>
      </c>
      <c r="V1616" t="s">
        <v>38</v>
      </c>
      <c r="W1616" t="s">
        <v>693</v>
      </c>
      <c r="X1616">
        <v>19.99999999999999999999999999999999999996</v>
      </c>
      <c r="Y1616">
        <v>0</v>
      </c>
      <c r="Z1616" t="s">
        <v>46</v>
      </c>
      <c r="AA1616">
        <v>59891</v>
      </c>
      <c r="AB1616" t="s">
        <v>1528</v>
      </c>
      <c r="AC1616" t="s">
        <v>103</v>
      </c>
      <c r="AD1616" t="s">
        <v>38</v>
      </c>
      <c r="AE1616" t="s">
        <v>49</v>
      </c>
      <c r="AF1616" t="s">
        <v>50</v>
      </c>
      <c r="AG1616">
        <v>0</v>
      </c>
      <c r="AH1616">
        <v>0</v>
      </c>
      <c r="AI1616" t="s">
        <v>51</v>
      </c>
      <c r="AJ1616" t="s">
        <v>51</v>
      </c>
      <c r="AK1616" t="s">
        <v>51</v>
      </c>
    </row>
    <row r="1617" spans="1:37" x14ac:dyDescent="0.2">
      <c r="A1617">
        <v>59783</v>
      </c>
      <c r="B1617" t="s">
        <v>37</v>
      </c>
      <c r="C1617" t="s">
        <v>38</v>
      </c>
      <c r="D1617" t="s">
        <v>674</v>
      </c>
      <c r="E1617" t="s">
        <v>40</v>
      </c>
      <c r="G1617" s="4">
        <v>43947.008020833333</v>
      </c>
      <c r="H1617" s="4">
        <v>43947.008819444444</v>
      </c>
      <c r="I1617" t="s">
        <v>1480</v>
      </c>
      <c r="J1617" s="5">
        <v>68.99999999999999999999999999999999999999</v>
      </c>
      <c r="K1617" t="s">
        <v>38</v>
      </c>
      <c r="M1617">
        <v>59784</v>
      </c>
      <c r="N1617" t="s">
        <v>705</v>
      </c>
      <c r="O1617" t="s">
        <v>706</v>
      </c>
      <c r="P1617" t="s">
        <v>38</v>
      </c>
      <c r="Q1617" t="s">
        <v>693</v>
      </c>
      <c r="R1617">
        <v>19.99999999999999999999999999999999999996</v>
      </c>
      <c r="S1617" t="s">
        <v>45</v>
      </c>
      <c r="T161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7">
        <v>59785</v>
      </c>
      <c r="V1617" t="s">
        <v>38</v>
      </c>
      <c r="W1617" t="s">
        <v>693</v>
      </c>
      <c r="X1617">
        <v>19.99999999999999999999999999999999999996</v>
      </c>
      <c r="Y1617">
        <v>0</v>
      </c>
      <c r="Z1617" t="s">
        <v>46</v>
      </c>
      <c r="AA1617">
        <v>59890</v>
      </c>
      <c r="AB1617" t="s">
        <v>1529</v>
      </c>
      <c r="AC1617" t="s">
        <v>103</v>
      </c>
      <c r="AD1617" t="s">
        <v>38</v>
      </c>
      <c r="AE1617" t="s">
        <v>49</v>
      </c>
      <c r="AF1617" t="s">
        <v>50</v>
      </c>
      <c r="AG1617">
        <v>0</v>
      </c>
      <c r="AH1617">
        <v>0</v>
      </c>
      <c r="AI1617" t="s">
        <v>51</v>
      </c>
      <c r="AJ1617" t="s">
        <v>51</v>
      </c>
      <c r="AK1617" t="s">
        <v>51</v>
      </c>
    </row>
    <row r="1618" spans="1:37" x14ac:dyDescent="0.2">
      <c r="A1618">
        <v>59783</v>
      </c>
      <c r="B1618" t="s">
        <v>37</v>
      </c>
      <c r="C1618" t="s">
        <v>38</v>
      </c>
      <c r="D1618" t="s">
        <v>674</v>
      </c>
      <c r="E1618" t="s">
        <v>40</v>
      </c>
      <c r="G1618" s="4">
        <v>43947.008020833333</v>
      </c>
      <c r="H1618" s="4">
        <v>43947.008819444444</v>
      </c>
      <c r="I1618" t="s">
        <v>1480</v>
      </c>
      <c r="J1618" s="5">
        <v>68.99999999999999999999999999999999999999</v>
      </c>
      <c r="K1618" t="s">
        <v>38</v>
      </c>
      <c r="M1618">
        <v>59784</v>
      </c>
      <c r="N1618" t="s">
        <v>705</v>
      </c>
      <c r="O1618" t="s">
        <v>706</v>
      </c>
      <c r="P1618" t="s">
        <v>38</v>
      </c>
      <c r="Q1618" t="s">
        <v>693</v>
      </c>
      <c r="R1618">
        <v>19.99999999999999999999999999999999999996</v>
      </c>
      <c r="S1618" t="s">
        <v>45</v>
      </c>
      <c r="T161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8">
        <v>59785</v>
      </c>
      <c r="V1618" t="s">
        <v>38</v>
      </c>
      <c r="W1618" t="s">
        <v>693</v>
      </c>
      <c r="X1618">
        <v>19.99999999999999999999999999999999999996</v>
      </c>
      <c r="Y1618">
        <v>0</v>
      </c>
      <c r="Z1618" t="s">
        <v>46</v>
      </c>
      <c r="AA1618">
        <v>59889</v>
      </c>
      <c r="AB1618" t="s">
        <v>1530</v>
      </c>
      <c r="AC1618" t="s">
        <v>103</v>
      </c>
      <c r="AD1618" t="s">
        <v>38</v>
      </c>
      <c r="AE1618" t="s">
        <v>49</v>
      </c>
      <c r="AF1618" t="s">
        <v>50</v>
      </c>
      <c r="AG1618">
        <v>0</v>
      </c>
      <c r="AH1618">
        <v>0</v>
      </c>
      <c r="AI1618" t="s">
        <v>51</v>
      </c>
      <c r="AJ1618" t="s">
        <v>51</v>
      </c>
      <c r="AK1618" t="s">
        <v>51</v>
      </c>
    </row>
    <row r="1619" spans="1:37" x14ac:dyDescent="0.2">
      <c r="A1619">
        <v>59783</v>
      </c>
      <c r="B1619" t="s">
        <v>37</v>
      </c>
      <c r="C1619" t="s">
        <v>38</v>
      </c>
      <c r="D1619" t="s">
        <v>674</v>
      </c>
      <c r="E1619" t="s">
        <v>40</v>
      </c>
      <c r="G1619" s="4">
        <v>43947.008020833333</v>
      </c>
      <c r="H1619" s="4">
        <v>43947.008819444444</v>
      </c>
      <c r="I1619" t="s">
        <v>1480</v>
      </c>
      <c r="J1619" s="5">
        <v>68.99999999999999999999999999999999999999</v>
      </c>
      <c r="K1619" t="s">
        <v>38</v>
      </c>
      <c r="M1619">
        <v>59784</v>
      </c>
      <c r="N1619" t="s">
        <v>705</v>
      </c>
      <c r="O1619" t="s">
        <v>706</v>
      </c>
      <c r="P1619" t="s">
        <v>38</v>
      </c>
      <c r="Q1619" t="s">
        <v>693</v>
      </c>
      <c r="R1619">
        <v>19.99999999999999999999999999999999999996</v>
      </c>
      <c r="S1619" t="s">
        <v>45</v>
      </c>
      <c r="T161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19">
        <v>59785</v>
      </c>
      <c r="V1619" t="s">
        <v>38</v>
      </c>
      <c r="W1619" t="s">
        <v>693</v>
      </c>
      <c r="X1619">
        <v>19.99999999999999999999999999999999999996</v>
      </c>
      <c r="Y1619">
        <v>0</v>
      </c>
      <c r="Z1619" t="s">
        <v>46</v>
      </c>
      <c r="AA1619">
        <v>59888</v>
      </c>
      <c r="AB1619" t="s">
        <v>1531</v>
      </c>
      <c r="AC1619" t="s">
        <v>103</v>
      </c>
      <c r="AD1619" t="s">
        <v>38</v>
      </c>
      <c r="AE1619" t="s">
        <v>49</v>
      </c>
      <c r="AF1619" t="s">
        <v>50</v>
      </c>
      <c r="AG1619">
        <v>0</v>
      </c>
      <c r="AH1619">
        <v>0</v>
      </c>
      <c r="AI1619" t="s">
        <v>51</v>
      </c>
      <c r="AJ1619" t="s">
        <v>51</v>
      </c>
      <c r="AK1619" t="s">
        <v>51</v>
      </c>
    </row>
    <row r="1620" spans="1:37" x14ac:dyDescent="0.2">
      <c r="A1620">
        <v>59783</v>
      </c>
      <c r="B1620" t="s">
        <v>37</v>
      </c>
      <c r="C1620" t="s">
        <v>38</v>
      </c>
      <c r="D1620" t="s">
        <v>674</v>
      </c>
      <c r="E1620" t="s">
        <v>40</v>
      </c>
      <c r="G1620" s="4">
        <v>43947.008020833333</v>
      </c>
      <c r="H1620" s="4">
        <v>43947.008819444444</v>
      </c>
      <c r="I1620" t="s">
        <v>1480</v>
      </c>
      <c r="J1620" s="5">
        <v>68.99999999999999999999999999999999999999</v>
      </c>
      <c r="K1620" t="s">
        <v>38</v>
      </c>
      <c r="M1620">
        <v>59784</v>
      </c>
      <c r="N1620" t="s">
        <v>705</v>
      </c>
      <c r="O1620" t="s">
        <v>706</v>
      </c>
      <c r="P1620" t="s">
        <v>38</v>
      </c>
      <c r="Q1620" t="s">
        <v>693</v>
      </c>
      <c r="R1620">
        <v>19.99999999999999999999999999999999999996</v>
      </c>
      <c r="S1620" t="s">
        <v>45</v>
      </c>
      <c r="T162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0">
        <v>59785</v>
      </c>
      <c r="V1620" t="s">
        <v>38</v>
      </c>
      <c r="W1620" t="s">
        <v>693</v>
      </c>
      <c r="X1620">
        <v>19.99999999999999999999999999999999999996</v>
      </c>
      <c r="Y1620">
        <v>0</v>
      </c>
      <c r="Z1620" t="s">
        <v>46</v>
      </c>
      <c r="AA1620">
        <v>59887</v>
      </c>
      <c r="AB1620" t="s">
        <v>1532</v>
      </c>
      <c r="AC1620" t="s">
        <v>103</v>
      </c>
      <c r="AD1620" t="s">
        <v>38</v>
      </c>
      <c r="AE1620" t="s">
        <v>49</v>
      </c>
      <c r="AF1620" t="s">
        <v>50</v>
      </c>
      <c r="AG1620">
        <v>0</v>
      </c>
      <c r="AH1620">
        <v>0</v>
      </c>
      <c r="AI1620" t="s">
        <v>51</v>
      </c>
      <c r="AJ1620" t="s">
        <v>51</v>
      </c>
      <c r="AK1620" t="s">
        <v>51</v>
      </c>
    </row>
    <row r="1621" spans="1:37" x14ac:dyDescent="0.2">
      <c r="A1621">
        <v>59783</v>
      </c>
      <c r="B1621" t="s">
        <v>37</v>
      </c>
      <c r="C1621" t="s">
        <v>38</v>
      </c>
      <c r="D1621" t="s">
        <v>674</v>
      </c>
      <c r="E1621" t="s">
        <v>40</v>
      </c>
      <c r="G1621" s="4">
        <v>43947.008020833333</v>
      </c>
      <c r="H1621" s="4">
        <v>43947.008819444444</v>
      </c>
      <c r="I1621" t="s">
        <v>1480</v>
      </c>
      <c r="J1621" s="5">
        <v>68.99999999999999999999999999999999999999</v>
      </c>
      <c r="K1621" t="s">
        <v>38</v>
      </c>
      <c r="M1621">
        <v>59784</v>
      </c>
      <c r="N1621" t="s">
        <v>705</v>
      </c>
      <c r="O1621" t="s">
        <v>706</v>
      </c>
      <c r="P1621" t="s">
        <v>38</v>
      </c>
      <c r="Q1621" t="s">
        <v>693</v>
      </c>
      <c r="R1621">
        <v>19.99999999999999999999999999999999999996</v>
      </c>
      <c r="S1621" t="s">
        <v>45</v>
      </c>
      <c r="T162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1">
        <v>59785</v>
      </c>
      <c r="V1621" t="s">
        <v>38</v>
      </c>
      <c r="W1621" t="s">
        <v>693</v>
      </c>
      <c r="X1621">
        <v>19.99999999999999999999999999999999999996</v>
      </c>
      <c r="Y1621">
        <v>0</v>
      </c>
      <c r="Z1621" t="s">
        <v>46</v>
      </c>
      <c r="AA1621">
        <v>59886</v>
      </c>
      <c r="AB1621" t="s">
        <v>1533</v>
      </c>
      <c r="AC1621" t="s">
        <v>103</v>
      </c>
      <c r="AD1621" t="s">
        <v>38</v>
      </c>
      <c r="AE1621" t="s">
        <v>49</v>
      </c>
      <c r="AF1621" t="s">
        <v>50</v>
      </c>
      <c r="AG1621">
        <v>0</v>
      </c>
      <c r="AH1621">
        <v>0</v>
      </c>
      <c r="AI1621" t="s">
        <v>51</v>
      </c>
      <c r="AJ1621" t="s">
        <v>51</v>
      </c>
      <c r="AK1621" t="s">
        <v>51</v>
      </c>
    </row>
    <row r="1622" spans="1:37" x14ac:dyDescent="0.2">
      <c r="A1622">
        <v>59783</v>
      </c>
      <c r="B1622" t="s">
        <v>37</v>
      </c>
      <c r="C1622" t="s">
        <v>38</v>
      </c>
      <c r="D1622" t="s">
        <v>674</v>
      </c>
      <c r="E1622" t="s">
        <v>40</v>
      </c>
      <c r="G1622" s="4">
        <v>43947.008020833333</v>
      </c>
      <c r="H1622" s="4">
        <v>43947.008819444444</v>
      </c>
      <c r="I1622" t="s">
        <v>1480</v>
      </c>
      <c r="J1622" s="5">
        <v>68.99999999999999999999999999999999999999</v>
      </c>
      <c r="K1622" t="s">
        <v>38</v>
      </c>
      <c r="M1622">
        <v>59784</v>
      </c>
      <c r="N1622" t="s">
        <v>705</v>
      </c>
      <c r="O1622" t="s">
        <v>706</v>
      </c>
      <c r="P1622" t="s">
        <v>38</v>
      </c>
      <c r="Q1622" t="s">
        <v>693</v>
      </c>
      <c r="R1622">
        <v>19.99999999999999999999999999999999999996</v>
      </c>
      <c r="S1622" t="s">
        <v>45</v>
      </c>
      <c r="T162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2">
        <v>59785</v>
      </c>
      <c r="V1622" t="s">
        <v>38</v>
      </c>
      <c r="W1622" t="s">
        <v>693</v>
      </c>
      <c r="X1622">
        <v>19.99999999999999999999999999999999999996</v>
      </c>
      <c r="Y1622">
        <v>0</v>
      </c>
      <c r="Z1622" t="s">
        <v>46</v>
      </c>
      <c r="AA1622">
        <v>59885</v>
      </c>
      <c r="AB1622" t="s">
        <v>1534</v>
      </c>
      <c r="AC1622" t="s">
        <v>103</v>
      </c>
      <c r="AD1622" t="s">
        <v>38</v>
      </c>
      <c r="AE1622" t="s">
        <v>49</v>
      </c>
      <c r="AF1622" t="s">
        <v>50</v>
      </c>
      <c r="AG1622">
        <v>0</v>
      </c>
      <c r="AH1622">
        <v>0</v>
      </c>
      <c r="AI1622" t="s">
        <v>51</v>
      </c>
      <c r="AJ1622" t="s">
        <v>51</v>
      </c>
      <c r="AK1622" t="s">
        <v>51</v>
      </c>
    </row>
    <row r="1623" spans="1:37" x14ac:dyDescent="0.2">
      <c r="A1623">
        <v>59783</v>
      </c>
      <c r="B1623" t="s">
        <v>37</v>
      </c>
      <c r="C1623" t="s">
        <v>38</v>
      </c>
      <c r="D1623" t="s">
        <v>674</v>
      </c>
      <c r="E1623" t="s">
        <v>40</v>
      </c>
      <c r="G1623" s="4">
        <v>43947.008020833333</v>
      </c>
      <c r="H1623" s="4">
        <v>43947.008819444444</v>
      </c>
      <c r="I1623" t="s">
        <v>1480</v>
      </c>
      <c r="J1623" s="5">
        <v>68.99999999999999999999999999999999999999</v>
      </c>
      <c r="K1623" t="s">
        <v>38</v>
      </c>
      <c r="M1623">
        <v>59784</v>
      </c>
      <c r="N1623" t="s">
        <v>705</v>
      </c>
      <c r="O1623" t="s">
        <v>706</v>
      </c>
      <c r="P1623" t="s">
        <v>38</v>
      </c>
      <c r="Q1623" t="s">
        <v>693</v>
      </c>
      <c r="R1623">
        <v>19.99999999999999999999999999999999999996</v>
      </c>
      <c r="S1623" t="s">
        <v>45</v>
      </c>
      <c r="T162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3">
        <v>59785</v>
      </c>
      <c r="V1623" t="s">
        <v>38</v>
      </c>
      <c r="W1623" t="s">
        <v>693</v>
      </c>
      <c r="X1623">
        <v>19.99999999999999999999999999999999999996</v>
      </c>
      <c r="Y1623">
        <v>0</v>
      </c>
      <c r="Z1623" t="s">
        <v>46</v>
      </c>
      <c r="AA1623">
        <v>59884</v>
      </c>
      <c r="AB1623" t="s">
        <v>1535</v>
      </c>
      <c r="AC1623" t="s">
        <v>103</v>
      </c>
      <c r="AD1623" t="s">
        <v>38</v>
      </c>
      <c r="AE1623" t="s">
        <v>49</v>
      </c>
      <c r="AF1623" t="s">
        <v>50</v>
      </c>
      <c r="AG1623">
        <v>0</v>
      </c>
      <c r="AH1623">
        <v>0</v>
      </c>
      <c r="AI1623" t="s">
        <v>51</v>
      </c>
      <c r="AJ1623" t="s">
        <v>51</v>
      </c>
      <c r="AK1623" t="s">
        <v>51</v>
      </c>
    </row>
    <row r="1624" spans="1:37" x14ac:dyDescent="0.2">
      <c r="A1624">
        <v>59783</v>
      </c>
      <c r="B1624" t="s">
        <v>37</v>
      </c>
      <c r="C1624" t="s">
        <v>38</v>
      </c>
      <c r="D1624" t="s">
        <v>674</v>
      </c>
      <c r="E1624" t="s">
        <v>40</v>
      </c>
      <c r="G1624" s="4">
        <v>43947.008020833333</v>
      </c>
      <c r="H1624" s="4">
        <v>43947.008819444444</v>
      </c>
      <c r="I1624" t="s">
        <v>1480</v>
      </c>
      <c r="J1624" s="5">
        <v>68.99999999999999999999999999999999999999</v>
      </c>
      <c r="K1624" t="s">
        <v>38</v>
      </c>
      <c r="M1624">
        <v>59784</v>
      </c>
      <c r="N1624" t="s">
        <v>705</v>
      </c>
      <c r="O1624" t="s">
        <v>706</v>
      </c>
      <c r="P1624" t="s">
        <v>38</v>
      </c>
      <c r="Q1624" t="s">
        <v>693</v>
      </c>
      <c r="R1624">
        <v>19.99999999999999999999999999999999999996</v>
      </c>
      <c r="S1624" t="s">
        <v>45</v>
      </c>
      <c r="T162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4">
        <v>59785</v>
      </c>
      <c r="V1624" t="s">
        <v>38</v>
      </c>
      <c r="W1624" t="s">
        <v>693</v>
      </c>
      <c r="X1624">
        <v>19.99999999999999999999999999999999999996</v>
      </c>
      <c r="Y1624">
        <v>0</v>
      </c>
      <c r="Z1624" t="s">
        <v>46</v>
      </c>
      <c r="AA1624">
        <v>59883</v>
      </c>
      <c r="AB1624" t="s">
        <v>1536</v>
      </c>
      <c r="AC1624" t="s">
        <v>103</v>
      </c>
      <c r="AD1624" t="s">
        <v>38</v>
      </c>
      <c r="AE1624" t="s">
        <v>49</v>
      </c>
      <c r="AF1624" t="s">
        <v>50</v>
      </c>
      <c r="AG1624">
        <v>0</v>
      </c>
      <c r="AH1624">
        <v>0</v>
      </c>
      <c r="AI1624" t="s">
        <v>51</v>
      </c>
      <c r="AJ1624" t="s">
        <v>51</v>
      </c>
      <c r="AK1624" t="s">
        <v>51</v>
      </c>
    </row>
    <row r="1625" spans="1:37" x14ac:dyDescent="0.2">
      <c r="A1625">
        <v>59783</v>
      </c>
      <c r="B1625" t="s">
        <v>37</v>
      </c>
      <c r="C1625" t="s">
        <v>38</v>
      </c>
      <c r="D1625" t="s">
        <v>674</v>
      </c>
      <c r="E1625" t="s">
        <v>40</v>
      </c>
      <c r="G1625" s="4">
        <v>43947.008020833333</v>
      </c>
      <c r="H1625" s="4">
        <v>43947.008819444444</v>
      </c>
      <c r="I1625" t="s">
        <v>1480</v>
      </c>
      <c r="J1625" s="5">
        <v>68.99999999999999999999999999999999999999</v>
      </c>
      <c r="K1625" t="s">
        <v>38</v>
      </c>
      <c r="M1625">
        <v>59784</v>
      </c>
      <c r="N1625" t="s">
        <v>705</v>
      </c>
      <c r="O1625" t="s">
        <v>706</v>
      </c>
      <c r="P1625" t="s">
        <v>38</v>
      </c>
      <c r="Q1625" t="s">
        <v>693</v>
      </c>
      <c r="R1625">
        <v>19.99999999999999999999999999999999999996</v>
      </c>
      <c r="S1625" t="s">
        <v>45</v>
      </c>
      <c r="T162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5">
        <v>59785</v>
      </c>
      <c r="V1625" t="s">
        <v>38</v>
      </c>
      <c r="W1625" t="s">
        <v>693</v>
      </c>
      <c r="X1625">
        <v>19.99999999999999999999999999999999999996</v>
      </c>
      <c r="Y1625">
        <v>0</v>
      </c>
      <c r="Z1625" t="s">
        <v>46</v>
      </c>
      <c r="AA1625">
        <v>59882</v>
      </c>
      <c r="AB1625" t="s">
        <v>1537</v>
      </c>
      <c r="AC1625" t="s">
        <v>103</v>
      </c>
      <c r="AD1625" t="s">
        <v>38</v>
      </c>
      <c r="AE1625" t="s">
        <v>49</v>
      </c>
      <c r="AF1625" t="s">
        <v>50</v>
      </c>
      <c r="AG1625">
        <v>0</v>
      </c>
      <c r="AH1625">
        <v>0</v>
      </c>
      <c r="AI1625" t="s">
        <v>51</v>
      </c>
      <c r="AJ1625" t="s">
        <v>51</v>
      </c>
      <c r="AK1625" t="s">
        <v>51</v>
      </c>
    </row>
    <row r="1626" spans="1:37" x14ac:dyDescent="0.2">
      <c r="A1626">
        <v>59783</v>
      </c>
      <c r="B1626" t="s">
        <v>37</v>
      </c>
      <c r="C1626" t="s">
        <v>38</v>
      </c>
      <c r="D1626" t="s">
        <v>674</v>
      </c>
      <c r="E1626" t="s">
        <v>40</v>
      </c>
      <c r="G1626" s="4">
        <v>43947.008020833333</v>
      </c>
      <c r="H1626" s="4">
        <v>43947.008819444444</v>
      </c>
      <c r="I1626" t="s">
        <v>1480</v>
      </c>
      <c r="J1626" s="5">
        <v>68.99999999999999999999999999999999999999</v>
      </c>
      <c r="K1626" t="s">
        <v>38</v>
      </c>
      <c r="M1626">
        <v>59784</v>
      </c>
      <c r="N1626" t="s">
        <v>705</v>
      </c>
      <c r="O1626" t="s">
        <v>706</v>
      </c>
      <c r="P1626" t="s">
        <v>38</v>
      </c>
      <c r="Q1626" t="s">
        <v>693</v>
      </c>
      <c r="R1626">
        <v>19.99999999999999999999999999999999999996</v>
      </c>
      <c r="S1626" t="s">
        <v>45</v>
      </c>
      <c r="T162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6">
        <v>59785</v>
      </c>
      <c r="V1626" t="s">
        <v>38</v>
      </c>
      <c r="W1626" t="s">
        <v>693</v>
      </c>
      <c r="X1626">
        <v>19.99999999999999999999999999999999999996</v>
      </c>
      <c r="Y1626">
        <v>0</v>
      </c>
      <c r="Z1626" t="s">
        <v>46</v>
      </c>
      <c r="AA1626">
        <v>59881</v>
      </c>
      <c r="AB1626" t="s">
        <v>1538</v>
      </c>
      <c r="AC1626" t="s">
        <v>103</v>
      </c>
      <c r="AD1626" t="s">
        <v>38</v>
      </c>
      <c r="AE1626" t="s">
        <v>49</v>
      </c>
      <c r="AF1626" t="s">
        <v>50</v>
      </c>
      <c r="AG1626">
        <v>0</v>
      </c>
      <c r="AH1626">
        <v>0</v>
      </c>
      <c r="AI1626" t="s">
        <v>51</v>
      </c>
      <c r="AJ1626" t="s">
        <v>51</v>
      </c>
      <c r="AK1626" t="s">
        <v>51</v>
      </c>
    </row>
    <row r="1627" spans="1:37" x14ac:dyDescent="0.2">
      <c r="A1627">
        <v>59783</v>
      </c>
      <c r="B1627" t="s">
        <v>37</v>
      </c>
      <c r="C1627" t="s">
        <v>38</v>
      </c>
      <c r="D1627" t="s">
        <v>674</v>
      </c>
      <c r="E1627" t="s">
        <v>40</v>
      </c>
      <c r="G1627" s="4">
        <v>43947.008020833333</v>
      </c>
      <c r="H1627" s="4">
        <v>43947.008819444444</v>
      </c>
      <c r="I1627" t="s">
        <v>1480</v>
      </c>
      <c r="J1627" s="5">
        <v>68.99999999999999999999999999999999999999</v>
      </c>
      <c r="K1627" t="s">
        <v>38</v>
      </c>
      <c r="M1627">
        <v>59784</v>
      </c>
      <c r="N1627" t="s">
        <v>705</v>
      </c>
      <c r="O1627" t="s">
        <v>706</v>
      </c>
      <c r="P1627" t="s">
        <v>38</v>
      </c>
      <c r="Q1627" t="s">
        <v>693</v>
      </c>
      <c r="R1627">
        <v>19.99999999999999999999999999999999999996</v>
      </c>
      <c r="S1627" t="s">
        <v>45</v>
      </c>
      <c r="T162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7">
        <v>59785</v>
      </c>
      <c r="V1627" t="s">
        <v>38</v>
      </c>
      <c r="W1627" t="s">
        <v>693</v>
      </c>
      <c r="X1627">
        <v>19.99999999999999999999999999999999999996</v>
      </c>
      <c r="Y1627">
        <v>0</v>
      </c>
      <c r="Z1627" t="s">
        <v>46</v>
      </c>
      <c r="AA1627">
        <v>59880</v>
      </c>
      <c r="AB1627" t="s">
        <v>1539</v>
      </c>
      <c r="AC1627" t="s">
        <v>103</v>
      </c>
      <c r="AD1627" t="s">
        <v>38</v>
      </c>
      <c r="AE1627" t="s">
        <v>49</v>
      </c>
      <c r="AF1627" t="s">
        <v>50</v>
      </c>
      <c r="AG1627">
        <v>0</v>
      </c>
      <c r="AH1627">
        <v>0</v>
      </c>
      <c r="AI1627" t="s">
        <v>51</v>
      </c>
      <c r="AJ1627" t="s">
        <v>51</v>
      </c>
      <c r="AK1627" t="s">
        <v>51</v>
      </c>
    </row>
    <row r="1628" spans="1:37" x14ac:dyDescent="0.2">
      <c r="A1628">
        <v>59783</v>
      </c>
      <c r="B1628" t="s">
        <v>37</v>
      </c>
      <c r="C1628" t="s">
        <v>38</v>
      </c>
      <c r="D1628" t="s">
        <v>674</v>
      </c>
      <c r="E1628" t="s">
        <v>40</v>
      </c>
      <c r="G1628" s="4">
        <v>43947.008020833333</v>
      </c>
      <c r="H1628" s="4">
        <v>43947.008819444444</v>
      </c>
      <c r="I1628" t="s">
        <v>1480</v>
      </c>
      <c r="J1628" s="5">
        <v>68.99999999999999999999999999999999999999</v>
      </c>
      <c r="K1628" t="s">
        <v>38</v>
      </c>
      <c r="M1628">
        <v>59784</v>
      </c>
      <c r="N1628" t="s">
        <v>705</v>
      </c>
      <c r="O1628" t="s">
        <v>706</v>
      </c>
      <c r="P1628" t="s">
        <v>38</v>
      </c>
      <c r="Q1628" t="s">
        <v>693</v>
      </c>
      <c r="R1628">
        <v>19.99999999999999999999999999999999999996</v>
      </c>
      <c r="S1628" t="s">
        <v>45</v>
      </c>
      <c r="T162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8">
        <v>59785</v>
      </c>
      <c r="V1628" t="s">
        <v>38</v>
      </c>
      <c r="W1628" t="s">
        <v>693</v>
      </c>
      <c r="X1628">
        <v>19.99999999999999999999999999999999999996</v>
      </c>
      <c r="Y1628">
        <v>0</v>
      </c>
      <c r="Z1628" t="s">
        <v>46</v>
      </c>
      <c r="AA1628">
        <v>59879</v>
      </c>
      <c r="AB1628" t="s">
        <v>1540</v>
      </c>
      <c r="AC1628" t="s">
        <v>103</v>
      </c>
      <c r="AD1628" t="s">
        <v>38</v>
      </c>
      <c r="AE1628" t="s">
        <v>49</v>
      </c>
      <c r="AF1628" t="s">
        <v>50</v>
      </c>
      <c r="AG1628">
        <v>0</v>
      </c>
      <c r="AH1628">
        <v>0</v>
      </c>
      <c r="AI1628" t="s">
        <v>51</v>
      </c>
      <c r="AJ1628" t="s">
        <v>51</v>
      </c>
      <c r="AK1628" t="s">
        <v>51</v>
      </c>
    </row>
    <row r="1629" spans="1:37" x14ac:dyDescent="0.2">
      <c r="A1629">
        <v>59783</v>
      </c>
      <c r="B1629" t="s">
        <v>37</v>
      </c>
      <c r="C1629" t="s">
        <v>38</v>
      </c>
      <c r="D1629" t="s">
        <v>674</v>
      </c>
      <c r="E1629" t="s">
        <v>40</v>
      </c>
      <c r="G1629" s="4">
        <v>43947.008020833333</v>
      </c>
      <c r="H1629" s="4">
        <v>43947.008819444444</v>
      </c>
      <c r="I1629" t="s">
        <v>1480</v>
      </c>
      <c r="J1629" s="5">
        <v>68.99999999999999999999999999999999999999</v>
      </c>
      <c r="K1629" t="s">
        <v>38</v>
      </c>
      <c r="M1629">
        <v>59784</v>
      </c>
      <c r="N1629" t="s">
        <v>705</v>
      </c>
      <c r="O1629" t="s">
        <v>706</v>
      </c>
      <c r="P1629" t="s">
        <v>38</v>
      </c>
      <c r="Q1629" t="s">
        <v>693</v>
      </c>
      <c r="R1629">
        <v>19.99999999999999999999999999999999999996</v>
      </c>
      <c r="S1629" t="s">
        <v>45</v>
      </c>
      <c r="T162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29">
        <v>59785</v>
      </c>
      <c r="V1629" t="s">
        <v>38</v>
      </c>
      <c r="W1629" t="s">
        <v>693</v>
      </c>
      <c r="X1629">
        <v>19.99999999999999999999999999999999999996</v>
      </c>
      <c r="Y1629">
        <v>0</v>
      </c>
      <c r="Z1629" t="s">
        <v>46</v>
      </c>
      <c r="AA1629">
        <v>59878</v>
      </c>
      <c r="AB1629" t="s">
        <v>1541</v>
      </c>
      <c r="AC1629" t="s">
        <v>103</v>
      </c>
      <c r="AD1629" t="s">
        <v>38</v>
      </c>
      <c r="AE1629" t="s">
        <v>49</v>
      </c>
      <c r="AF1629" t="s">
        <v>50</v>
      </c>
      <c r="AG1629">
        <v>0</v>
      </c>
      <c r="AH1629">
        <v>0</v>
      </c>
      <c r="AI1629" t="s">
        <v>51</v>
      </c>
      <c r="AJ1629" t="s">
        <v>51</v>
      </c>
      <c r="AK1629" t="s">
        <v>51</v>
      </c>
    </row>
    <row r="1630" spans="1:37" x14ac:dyDescent="0.2">
      <c r="A1630">
        <v>59783</v>
      </c>
      <c r="B1630" t="s">
        <v>37</v>
      </c>
      <c r="C1630" t="s">
        <v>38</v>
      </c>
      <c r="D1630" t="s">
        <v>674</v>
      </c>
      <c r="E1630" t="s">
        <v>40</v>
      </c>
      <c r="G1630" s="4">
        <v>43947.008020833333</v>
      </c>
      <c r="H1630" s="4">
        <v>43947.008819444444</v>
      </c>
      <c r="I1630" t="s">
        <v>1480</v>
      </c>
      <c r="J1630" s="5">
        <v>68.99999999999999999999999999999999999999</v>
      </c>
      <c r="K1630" t="s">
        <v>38</v>
      </c>
      <c r="M1630">
        <v>59784</v>
      </c>
      <c r="N1630" t="s">
        <v>705</v>
      </c>
      <c r="O1630" t="s">
        <v>706</v>
      </c>
      <c r="P1630" t="s">
        <v>38</v>
      </c>
      <c r="Q1630" t="s">
        <v>693</v>
      </c>
      <c r="R1630">
        <v>19.99999999999999999999999999999999999996</v>
      </c>
      <c r="S1630" t="s">
        <v>45</v>
      </c>
      <c r="T163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0">
        <v>59785</v>
      </c>
      <c r="V1630" t="s">
        <v>38</v>
      </c>
      <c r="W1630" t="s">
        <v>693</v>
      </c>
      <c r="X1630">
        <v>19.99999999999999999999999999999999999996</v>
      </c>
      <c r="Y1630">
        <v>0</v>
      </c>
      <c r="Z1630" t="s">
        <v>46</v>
      </c>
      <c r="AA1630">
        <v>59877</v>
      </c>
      <c r="AB1630" t="s">
        <v>1542</v>
      </c>
      <c r="AC1630" t="s">
        <v>103</v>
      </c>
      <c r="AD1630" t="s">
        <v>38</v>
      </c>
      <c r="AE1630" t="s">
        <v>49</v>
      </c>
      <c r="AF1630" t="s">
        <v>50</v>
      </c>
      <c r="AG1630">
        <v>0</v>
      </c>
      <c r="AH1630">
        <v>0</v>
      </c>
      <c r="AI1630" t="s">
        <v>51</v>
      </c>
      <c r="AJ1630" t="s">
        <v>51</v>
      </c>
      <c r="AK1630" t="s">
        <v>51</v>
      </c>
    </row>
    <row r="1631" spans="1:37" x14ac:dyDescent="0.2">
      <c r="A1631">
        <v>59783</v>
      </c>
      <c r="B1631" t="s">
        <v>37</v>
      </c>
      <c r="C1631" t="s">
        <v>38</v>
      </c>
      <c r="D1631" t="s">
        <v>674</v>
      </c>
      <c r="E1631" t="s">
        <v>40</v>
      </c>
      <c r="G1631" s="4">
        <v>43947.008020833333</v>
      </c>
      <c r="H1631" s="4">
        <v>43947.008819444444</v>
      </c>
      <c r="I1631" t="s">
        <v>1480</v>
      </c>
      <c r="J1631" s="5">
        <v>68.99999999999999999999999999999999999999</v>
      </c>
      <c r="K1631" t="s">
        <v>38</v>
      </c>
      <c r="M1631">
        <v>59784</v>
      </c>
      <c r="N1631" t="s">
        <v>705</v>
      </c>
      <c r="O1631" t="s">
        <v>706</v>
      </c>
      <c r="P1631" t="s">
        <v>38</v>
      </c>
      <c r="Q1631" t="s">
        <v>693</v>
      </c>
      <c r="R1631">
        <v>19.99999999999999999999999999999999999996</v>
      </c>
      <c r="S1631" t="s">
        <v>45</v>
      </c>
      <c r="T163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1">
        <v>59785</v>
      </c>
      <c r="V1631" t="s">
        <v>38</v>
      </c>
      <c r="W1631" t="s">
        <v>693</v>
      </c>
      <c r="X1631">
        <v>19.99999999999999999999999999999999999996</v>
      </c>
      <c r="Y1631">
        <v>0</v>
      </c>
      <c r="Z1631" t="s">
        <v>46</v>
      </c>
      <c r="AA1631">
        <v>59876</v>
      </c>
      <c r="AB1631" t="s">
        <v>1543</v>
      </c>
      <c r="AC1631" t="s">
        <v>103</v>
      </c>
      <c r="AD1631" t="s">
        <v>38</v>
      </c>
      <c r="AE1631" t="s">
        <v>49</v>
      </c>
      <c r="AF1631" t="s">
        <v>50</v>
      </c>
      <c r="AG1631">
        <v>0</v>
      </c>
      <c r="AH1631">
        <v>0</v>
      </c>
      <c r="AI1631" t="s">
        <v>51</v>
      </c>
      <c r="AJ1631" t="s">
        <v>51</v>
      </c>
      <c r="AK1631" t="s">
        <v>51</v>
      </c>
    </row>
    <row r="1632" spans="1:37" x14ac:dyDescent="0.2">
      <c r="A1632">
        <v>59783</v>
      </c>
      <c r="B1632" t="s">
        <v>37</v>
      </c>
      <c r="C1632" t="s">
        <v>38</v>
      </c>
      <c r="D1632" t="s">
        <v>674</v>
      </c>
      <c r="E1632" t="s">
        <v>40</v>
      </c>
      <c r="G1632" s="4">
        <v>43947.008020833333</v>
      </c>
      <c r="H1632" s="4">
        <v>43947.008819444444</v>
      </c>
      <c r="I1632" t="s">
        <v>1480</v>
      </c>
      <c r="J1632" s="5">
        <v>68.99999999999999999999999999999999999999</v>
      </c>
      <c r="K1632" t="s">
        <v>38</v>
      </c>
      <c r="M1632">
        <v>59784</v>
      </c>
      <c r="N1632" t="s">
        <v>705</v>
      </c>
      <c r="O1632" t="s">
        <v>706</v>
      </c>
      <c r="P1632" t="s">
        <v>38</v>
      </c>
      <c r="Q1632" t="s">
        <v>693</v>
      </c>
      <c r="R1632">
        <v>19.99999999999999999999999999999999999996</v>
      </c>
      <c r="S1632" t="s">
        <v>45</v>
      </c>
      <c r="T163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2">
        <v>59785</v>
      </c>
      <c r="V1632" t="s">
        <v>38</v>
      </c>
      <c r="W1632" t="s">
        <v>693</v>
      </c>
      <c r="X1632">
        <v>19.99999999999999999999999999999999999996</v>
      </c>
      <c r="Y1632">
        <v>0</v>
      </c>
      <c r="Z1632" t="s">
        <v>46</v>
      </c>
      <c r="AA1632">
        <v>59875</v>
      </c>
      <c r="AB1632" t="s">
        <v>1544</v>
      </c>
      <c r="AC1632" t="s">
        <v>103</v>
      </c>
      <c r="AD1632" t="s">
        <v>38</v>
      </c>
      <c r="AE1632" t="s">
        <v>49</v>
      </c>
      <c r="AF1632" t="s">
        <v>50</v>
      </c>
      <c r="AG1632">
        <v>0</v>
      </c>
      <c r="AH1632">
        <v>0</v>
      </c>
      <c r="AI1632" t="s">
        <v>51</v>
      </c>
      <c r="AJ1632" t="s">
        <v>51</v>
      </c>
      <c r="AK1632" t="s">
        <v>51</v>
      </c>
    </row>
    <row r="1633" spans="1:37" x14ac:dyDescent="0.2">
      <c r="A1633">
        <v>59783</v>
      </c>
      <c r="B1633" t="s">
        <v>37</v>
      </c>
      <c r="C1633" t="s">
        <v>38</v>
      </c>
      <c r="D1633" t="s">
        <v>674</v>
      </c>
      <c r="E1633" t="s">
        <v>40</v>
      </c>
      <c r="G1633" s="4">
        <v>43947.008020833333</v>
      </c>
      <c r="H1633" s="4">
        <v>43947.008819444444</v>
      </c>
      <c r="I1633" t="s">
        <v>1480</v>
      </c>
      <c r="J1633" s="5">
        <v>68.99999999999999999999999999999999999999</v>
      </c>
      <c r="K1633" t="s">
        <v>38</v>
      </c>
      <c r="M1633">
        <v>59784</v>
      </c>
      <c r="N1633" t="s">
        <v>705</v>
      </c>
      <c r="O1633" t="s">
        <v>706</v>
      </c>
      <c r="P1633" t="s">
        <v>38</v>
      </c>
      <c r="Q1633" t="s">
        <v>693</v>
      </c>
      <c r="R1633">
        <v>19.99999999999999999999999999999999999996</v>
      </c>
      <c r="S1633" t="s">
        <v>45</v>
      </c>
      <c r="T163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3">
        <v>59785</v>
      </c>
      <c r="V1633" t="s">
        <v>38</v>
      </c>
      <c r="W1633" t="s">
        <v>693</v>
      </c>
      <c r="X1633">
        <v>19.99999999999999999999999999999999999996</v>
      </c>
      <c r="Y1633">
        <v>0</v>
      </c>
      <c r="Z1633" t="s">
        <v>46</v>
      </c>
      <c r="AA1633">
        <v>59874</v>
      </c>
      <c r="AB1633" t="s">
        <v>1545</v>
      </c>
      <c r="AC1633" t="s">
        <v>103</v>
      </c>
      <c r="AD1633" t="s">
        <v>38</v>
      </c>
      <c r="AE1633" t="s">
        <v>49</v>
      </c>
      <c r="AF1633" t="s">
        <v>50</v>
      </c>
      <c r="AG1633">
        <v>0</v>
      </c>
      <c r="AH1633">
        <v>0</v>
      </c>
      <c r="AI1633" t="s">
        <v>51</v>
      </c>
      <c r="AJ1633" t="s">
        <v>51</v>
      </c>
      <c r="AK1633" t="s">
        <v>51</v>
      </c>
    </row>
    <row r="1634" spans="1:37" x14ac:dyDescent="0.2">
      <c r="A1634">
        <v>59783</v>
      </c>
      <c r="B1634" t="s">
        <v>37</v>
      </c>
      <c r="C1634" t="s">
        <v>38</v>
      </c>
      <c r="D1634" t="s">
        <v>674</v>
      </c>
      <c r="E1634" t="s">
        <v>40</v>
      </c>
      <c r="G1634" s="4">
        <v>43947.008020833333</v>
      </c>
      <c r="H1634" s="4">
        <v>43947.008819444444</v>
      </c>
      <c r="I1634" t="s">
        <v>1480</v>
      </c>
      <c r="J1634" s="5">
        <v>68.99999999999999999999999999999999999999</v>
      </c>
      <c r="K1634" t="s">
        <v>38</v>
      </c>
      <c r="M1634">
        <v>59784</v>
      </c>
      <c r="N1634" t="s">
        <v>705</v>
      </c>
      <c r="O1634" t="s">
        <v>706</v>
      </c>
      <c r="P1634" t="s">
        <v>38</v>
      </c>
      <c r="Q1634" t="s">
        <v>693</v>
      </c>
      <c r="R1634">
        <v>19.99999999999999999999999999999999999996</v>
      </c>
      <c r="S1634" t="s">
        <v>45</v>
      </c>
      <c r="T163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4">
        <v>59785</v>
      </c>
      <c r="V1634" t="s">
        <v>38</v>
      </c>
      <c r="W1634" t="s">
        <v>693</v>
      </c>
      <c r="X1634">
        <v>19.99999999999999999999999999999999999996</v>
      </c>
      <c r="Y1634">
        <v>0</v>
      </c>
      <c r="Z1634" t="s">
        <v>46</v>
      </c>
      <c r="AA1634">
        <v>59873</v>
      </c>
      <c r="AB1634" t="s">
        <v>1546</v>
      </c>
      <c r="AC1634" t="s">
        <v>103</v>
      </c>
      <c r="AD1634" t="s">
        <v>38</v>
      </c>
      <c r="AE1634" t="s">
        <v>49</v>
      </c>
      <c r="AF1634" t="s">
        <v>50</v>
      </c>
      <c r="AG1634">
        <v>0</v>
      </c>
      <c r="AH1634">
        <v>0</v>
      </c>
      <c r="AI1634" t="s">
        <v>51</v>
      </c>
      <c r="AJ1634" t="s">
        <v>51</v>
      </c>
      <c r="AK1634" t="s">
        <v>51</v>
      </c>
    </row>
    <row r="1635" spans="1:37" x14ac:dyDescent="0.2">
      <c r="A1635">
        <v>59783</v>
      </c>
      <c r="B1635" t="s">
        <v>37</v>
      </c>
      <c r="C1635" t="s">
        <v>38</v>
      </c>
      <c r="D1635" t="s">
        <v>674</v>
      </c>
      <c r="E1635" t="s">
        <v>40</v>
      </c>
      <c r="G1635" s="4">
        <v>43947.008020833333</v>
      </c>
      <c r="H1635" s="4">
        <v>43947.008819444444</v>
      </c>
      <c r="I1635" t="s">
        <v>1480</v>
      </c>
      <c r="J1635" s="5">
        <v>68.99999999999999999999999999999999999999</v>
      </c>
      <c r="K1635" t="s">
        <v>38</v>
      </c>
      <c r="M1635">
        <v>59784</v>
      </c>
      <c r="N1635" t="s">
        <v>705</v>
      </c>
      <c r="O1635" t="s">
        <v>706</v>
      </c>
      <c r="P1635" t="s">
        <v>38</v>
      </c>
      <c r="Q1635" t="s">
        <v>693</v>
      </c>
      <c r="R1635">
        <v>19.99999999999999999999999999999999999996</v>
      </c>
      <c r="S1635" t="s">
        <v>45</v>
      </c>
      <c r="T163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5">
        <v>59785</v>
      </c>
      <c r="V1635" t="s">
        <v>38</v>
      </c>
      <c r="W1635" t="s">
        <v>693</v>
      </c>
      <c r="X1635">
        <v>19.99999999999999999999999999999999999996</v>
      </c>
      <c r="Y1635">
        <v>0</v>
      </c>
      <c r="Z1635" t="s">
        <v>46</v>
      </c>
      <c r="AA1635">
        <v>59872</v>
      </c>
      <c r="AB1635" t="s">
        <v>1547</v>
      </c>
      <c r="AC1635" t="s">
        <v>103</v>
      </c>
      <c r="AD1635" t="s">
        <v>38</v>
      </c>
      <c r="AE1635" t="s">
        <v>49</v>
      </c>
      <c r="AF1635" t="s">
        <v>50</v>
      </c>
      <c r="AG1635">
        <v>0</v>
      </c>
      <c r="AH1635">
        <v>0</v>
      </c>
      <c r="AI1635" t="s">
        <v>51</v>
      </c>
      <c r="AJ1635" t="s">
        <v>51</v>
      </c>
      <c r="AK1635" t="s">
        <v>51</v>
      </c>
    </row>
    <row r="1636" spans="1:37" x14ac:dyDescent="0.2">
      <c r="A1636">
        <v>59783</v>
      </c>
      <c r="B1636" t="s">
        <v>37</v>
      </c>
      <c r="C1636" t="s">
        <v>38</v>
      </c>
      <c r="D1636" t="s">
        <v>674</v>
      </c>
      <c r="E1636" t="s">
        <v>40</v>
      </c>
      <c r="G1636" s="4">
        <v>43947.008020833333</v>
      </c>
      <c r="H1636" s="4">
        <v>43947.008819444444</v>
      </c>
      <c r="I1636" t="s">
        <v>1480</v>
      </c>
      <c r="J1636" s="5">
        <v>68.99999999999999999999999999999999999999</v>
      </c>
      <c r="K1636" t="s">
        <v>38</v>
      </c>
      <c r="M1636">
        <v>59784</v>
      </c>
      <c r="N1636" t="s">
        <v>705</v>
      </c>
      <c r="O1636" t="s">
        <v>706</v>
      </c>
      <c r="P1636" t="s">
        <v>38</v>
      </c>
      <c r="Q1636" t="s">
        <v>693</v>
      </c>
      <c r="R1636">
        <v>19.99999999999999999999999999999999999996</v>
      </c>
      <c r="S1636" t="s">
        <v>45</v>
      </c>
      <c r="T163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6">
        <v>59785</v>
      </c>
      <c r="V1636" t="s">
        <v>38</v>
      </c>
      <c r="W1636" t="s">
        <v>693</v>
      </c>
      <c r="X1636">
        <v>19.99999999999999999999999999999999999996</v>
      </c>
      <c r="Y1636">
        <v>0</v>
      </c>
      <c r="Z1636" t="s">
        <v>46</v>
      </c>
      <c r="AA1636">
        <v>59871</v>
      </c>
      <c r="AB1636" t="s">
        <v>1548</v>
      </c>
      <c r="AC1636" t="s">
        <v>103</v>
      </c>
      <c r="AD1636" t="s">
        <v>38</v>
      </c>
      <c r="AE1636" t="s">
        <v>49</v>
      </c>
      <c r="AF1636" t="s">
        <v>50</v>
      </c>
      <c r="AG1636">
        <v>0</v>
      </c>
      <c r="AH1636">
        <v>0</v>
      </c>
      <c r="AI1636" t="s">
        <v>51</v>
      </c>
      <c r="AJ1636" t="s">
        <v>51</v>
      </c>
      <c r="AK1636" t="s">
        <v>51</v>
      </c>
    </row>
    <row r="1637" spans="1:37" x14ac:dyDescent="0.2">
      <c r="A1637">
        <v>59783</v>
      </c>
      <c r="B1637" t="s">
        <v>37</v>
      </c>
      <c r="C1637" t="s">
        <v>38</v>
      </c>
      <c r="D1637" t="s">
        <v>674</v>
      </c>
      <c r="E1637" t="s">
        <v>40</v>
      </c>
      <c r="G1637" s="4">
        <v>43947.008020833333</v>
      </c>
      <c r="H1637" s="4">
        <v>43947.008819444444</v>
      </c>
      <c r="I1637" t="s">
        <v>1480</v>
      </c>
      <c r="J1637" s="5">
        <v>68.99999999999999999999999999999999999999</v>
      </c>
      <c r="K1637" t="s">
        <v>38</v>
      </c>
      <c r="M1637">
        <v>59784</v>
      </c>
      <c r="N1637" t="s">
        <v>705</v>
      </c>
      <c r="O1637" t="s">
        <v>706</v>
      </c>
      <c r="P1637" t="s">
        <v>38</v>
      </c>
      <c r="Q1637" t="s">
        <v>693</v>
      </c>
      <c r="R1637">
        <v>19.99999999999999999999999999999999999996</v>
      </c>
      <c r="S1637" t="s">
        <v>45</v>
      </c>
      <c r="T163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7">
        <v>59785</v>
      </c>
      <c r="V1637" t="s">
        <v>38</v>
      </c>
      <c r="W1637" t="s">
        <v>693</v>
      </c>
      <c r="X1637">
        <v>19.99999999999999999999999999999999999996</v>
      </c>
      <c r="Y1637">
        <v>0</v>
      </c>
      <c r="Z1637" t="s">
        <v>46</v>
      </c>
      <c r="AA1637">
        <v>59870</v>
      </c>
      <c r="AB1637" t="s">
        <v>1549</v>
      </c>
      <c r="AC1637" t="s">
        <v>103</v>
      </c>
      <c r="AD1637" t="s">
        <v>38</v>
      </c>
      <c r="AE1637" t="s">
        <v>49</v>
      </c>
      <c r="AF1637" t="s">
        <v>50</v>
      </c>
      <c r="AG1637">
        <v>.9999999999999999999999999999999999999996</v>
      </c>
      <c r="AH1637">
        <v>0</v>
      </c>
      <c r="AI1637" t="s">
        <v>51</v>
      </c>
      <c r="AJ1637" t="s">
        <v>51</v>
      </c>
      <c r="AK1637" t="s">
        <v>51</v>
      </c>
    </row>
    <row r="1638" spans="1:37" x14ac:dyDescent="0.2">
      <c r="A1638">
        <v>59783</v>
      </c>
      <c r="B1638" t="s">
        <v>37</v>
      </c>
      <c r="C1638" t="s">
        <v>38</v>
      </c>
      <c r="D1638" t="s">
        <v>674</v>
      </c>
      <c r="E1638" t="s">
        <v>40</v>
      </c>
      <c r="G1638" s="4">
        <v>43947.008020833333</v>
      </c>
      <c r="H1638" s="4">
        <v>43947.008819444444</v>
      </c>
      <c r="I1638" t="s">
        <v>1480</v>
      </c>
      <c r="J1638" s="5">
        <v>68.99999999999999999999999999999999999999</v>
      </c>
      <c r="K1638" t="s">
        <v>38</v>
      </c>
      <c r="M1638">
        <v>59784</v>
      </c>
      <c r="N1638" t="s">
        <v>705</v>
      </c>
      <c r="O1638" t="s">
        <v>706</v>
      </c>
      <c r="P1638" t="s">
        <v>38</v>
      </c>
      <c r="Q1638" t="s">
        <v>693</v>
      </c>
      <c r="R1638">
        <v>19.99999999999999999999999999999999999996</v>
      </c>
      <c r="S1638" t="s">
        <v>45</v>
      </c>
      <c r="T163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8">
        <v>59785</v>
      </c>
      <c r="V1638" t="s">
        <v>38</v>
      </c>
      <c r="W1638" t="s">
        <v>693</v>
      </c>
      <c r="X1638">
        <v>19.99999999999999999999999999999999999996</v>
      </c>
      <c r="Y1638">
        <v>0</v>
      </c>
      <c r="Z1638" t="s">
        <v>46</v>
      </c>
      <c r="AA1638">
        <v>59869</v>
      </c>
      <c r="AB1638" t="s">
        <v>1550</v>
      </c>
      <c r="AC1638" t="s">
        <v>103</v>
      </c>
      <c r="AD1638" t="s">
        <v>38</v>
      </c>
      <c r="AE1638" t="s">
        <v>49</v>
      </c>
      <c r="AF1638" t="s">
        <v>50</v>
      </c>
      <c r="AG1638">
        <v>0</v>
      </c>
      <c r="AH1638">
        <v>0</v>
      </c>
      <c r="AI1638" t="s">
        <v>51</v>
      </c>
      <c r="AJ1638" t="s">
        <v>51</v>
      </c>
      <c r="AK1638" t="s">
        <v>51</v>
      </c>
    </row>
    <row r="1639" spans="1:37" x14ac:dyDescent="0.2">
      <c r="A1639">
        <v>59783</v>
      </c>
      <c r="B1639" t="s">
        <v>37</v>
      </c>
      <c r="C1639" t="s">
        <v>38</v>
      </c>
      <c r="D1639" t="s">
        <v>674</v>
      </c>
      <c r="E1639" t="s">
        <v>40</v>
      </c>
      <c r="G1639" s="4">
        <v>43947.008020833333</v>
      </c>
      <c r="H1639" s="4">
        <v>43947.008819444444</v>
      </c>
      <c r="I1639" t="s">
        <v>1480</v>
      </c>
      <c r="J1639" s="5">
        <v>68.99999999999999999999999999999999999999</v>
      </c>
      <c r="K1639" t="s">
        <v>38</v>
      </c>
      <c r="M1639">
        <v>59784</v>
      </c>
      <c r="N1639" t="s">
        <v>705</v>
      </c>
      <c r="O1639" t="s">
        <v>706</v>
      </c>
      <c r="P1639" t="s">
        <v>38</v>
      </c>
      <c r="Q1639" t="s">
        <v>693</v>
      </c>
      <c r="R1639">
        <v>19.99999999999999999999999999999999999996</v>
      </c>
      <c r="S1639" t="s">
        <v>45</v>
      </c>
      <c r="T163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39">
        <v>59785</v>
      </c>
      <c r="V1639" t="s">
        <v>38</v>
      </c>
      <c r="W1639" t="s">
        <v>693</v>
      </c>
      <c r="X1639">
        <v>19.99999999999999999999999999999999999996</v>
      </c>
      <c r="Y1639">
        <v>0</v>
      </c>
      <c r="Z1639" t="s">
        <v>46</v>
      </c>
      <c r="AA1639">
        <v>59868</v>
      </c>
      <c r="AB1639" t="s">
        <v>1551</v>
      </c>
      <c r="AC1639" t="s">
        <v>103</v>
      </c>
      <c r="AD1639" t="s">
        <v>38</v>
      </c>
      <c r="AE1639" t="s">
        <v>49</v>
      </c>
      <c r="AF1639" t="s">
        <v>50</v>
      </c>
      <c r="AG1639">
        <v>0</v>
      </c>
      <c r="AH1639">
        <v>0</v>
      </c>
      <c r="AI1639" t="s">
        <v>51</v>
      </c>
      <c r="AJ1639" t="s">
        <v>51</v>
      </c>
      <c r="AK1639" t="s">
        <v>51</v>
      </c>
    </row>
    <row r="1640" spans="1:37" x14ac:dyDescent="0.2">
      <c r="A1640">
        <v>59783</v>
      </c>
      <c r="B1640" t="s">
        <v>37</v>
      </c>
      <c r="C1640" t="s">
        <v>38</v>
      </c>
      <c r="D1640" t="s">
        <v>674</v>
      </c>
      <c r="E1640" t="s">
        <v>40</v>
      </c>
      <c r="G1640" s="4">
        <v>43947.008020833333</v>
      </c>
      <c r="H1640" s="4">
        <v>43947.008819444444</v>
      </c>
      <c r="I1640" t="s">
        <v>1480</v>
      </c>
      <c r="J1640" s="5">
        <v>68.99999999999999999999999999999999999999</v>
      </c>
      <c r="K1640" t="s">
        <v>38</v>
      </c>
      <c r="M1640">
        <v>59784</v>
      </c>
      <c r="N1640" t="s">
        <v>705</v>
      </c>
      <c r="O1640" t="s">
        <v>706</v>
      </c>
      <c r="P1640" t="s">
        <v>38</v>
      </c>
      <c r="Q1640" t="s">
        <v>693</v>
      </c>
      <c r="R1640">
        <v>19.99999999999999999999999999999999999996</v>
      </c>
      <c r="S1640" t="s">
        <v>45</v>
      </c>
      <c r="T164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0">
        <v>59785</v>
      </c>
      <c r="V1640" t="s">
        <v>38</v>
      </c>
      <c r="W1640" t="s">
        <v>693</v>
      </c>
      <c r="X1640">
        <v>19.99999999999999999999999999999999999996</v>
      </c>
      <c r="Y1640">
        <v>0</v>
      </c>
      <c r="Z1640" t="s">
        <v>46</v>
      </c>
      <c r="AA1640">
        <v>59867</v>
      </c>
      <c r="AB1640" t="s">
        <v>1552</v>
      </c>
      <c r="AC1640" t="s">
        <v>103</v>
      </c>
      <c r="AD1640" t="s">
        <v>38</v>
      </c>
      <c r="AE1640" t="s">
        <v>49</v>
      </c>
      <c r="AF1640" t="s">
        <v>50</v>
      </c>
      <c r="AG1640">
        <v>0</v>
      </c>
      <c r="AH1640">
        <v>0</v>
      </c>
      <c r="AI1640" t="s">
        <v>51</v>
      </c>
      <c r="AJ1640" t="s">
        <v>51</v>
      </c>
      <c r="AK1640" t="s">
        <v>51</v>
      </c>
    </row>
    <row r="1641" spans="1:37" x14ac:dyDescent="0.2">
      <c r="A1641">
        <v>59783</v>
      </c>
      <c r="B1641" t="s">
        <v>37</v>
      </c>
      <c r="C1641" t="s">
        <v>38</v>
      </c>
      <c r="D1641" t="s">
        <v>674</v>
      </c>
      <c r="E1641" t="s">
        <v>40</v>
      </c>
      <c r="G1641" s="4">
        <v>43947.008020833333</v>
      </c>
      <c r="H1641" s="4">
        <v>43947.008819444444</v>
      </c>
      <c r="I1641" t="s">
        <v>1480</v>
      </c>
      <c r="J1641" s="5">
        <v>68.99999999999999999999999999999999999999</v>
      </c>
      <c r="K1641" t="s">
        <v>38</v>
      </c>
      <c r="M1641">
        <v>59784</v>
      </c>
      <c r="N1641" t="s">
        <v>705</v>
      </c>
      <c r="O1641" t="s">
        <v>706</v>
      </c>
      <c r="P1641" t="s">
        <v>38</v>
      </c>
      <c r="Q1641" t="s">
        <v>693</v>
      </c>
      <c r="R1641">
        <v>19.99999999999999999999999999999999999996</v>
      </c>
      <c r="S1641" t="s">
        <v>45</v>
      </c>
      <c r="T164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1">
        <v>59785</v>
      </c>
      <c r="V1641" t="s">
        <v>38</v>
      </c>
      <c r="W1641" t="s">
        <v>693</v>
      </c>
      <c r="X1641">
        <v>19.99999999999999999999999999999999999996</v>
      </c>
      <c r="Y1641">
        <v>0</v>
      </c>
      <c r="Z1641" t="s">
        <v>46</v>
      </c>
      <c r="AA1641">
        <v>59866</v>
      </c>
      <c r="AB1641" t="s">
        <v>1553</v>
      </c>
      <c r="AC1641" t="s">
        <v>103</v>
      </c>
      <c r="AD1641" t="s">
        <v>38</v>
      </c>
      <c r="AE1641" t="s">
        <v>49</v>
      </c>
      <c r="AF1641" t="s">
        <v>50</v>
      </c>
      <c r="AG1641">
        <v>0</v>
      </c>
      <c r="AH1641">
        <v>0</v>
      </c>
      <c r="AI1641" t="s">
        <v>51</v>
      </c>
      <c r="AJ1641" t="s">
        <v>51</v>
      </c>
      <c r="AK1641" t="s">
        <v>51</v>
      </c>
    </row>
    <row r="1642" spans="1:37" x14ac:dyDescent="0.2">
      <c r="A1642">
        <v>59783</v>
      </c>
      <c r="B1642" t="s">
        <v>37</v>
      </c>
      <c r="C1642" t="s">
        <v>38</v>
      </c>
      <c r="D1642" t="s">
        <v>674</v>
      </c>
      <c r="E1642" t="s">
        <v>40</v>
      </c>
      <c r="G1642" s="4">
        <v>43947.008020833333</v>
      </c>
      <c r="H1642" s="4">
        <v>43947.008819444444</v>
      </c>
      <c r="I1642" t="s">
        <v>1480</v>
      </c>
      <c r="J1642" s="5">
        <v>68.99999999999999999999999999999999999999</v>
      </c>
      <c r="K1642" t="s">
        <v>38</v>
      </c>
      <c r="M1642">
        <v>59784</v>
      </c>
      <c r="N1642" t="s">
        <v>705</v>
      </c>
      <c r="O1642" t="s">
        <v>706</v>
      </c>
      <c r="P1642" t="s">
        <v>38</v>
      </c>
      <c r="Q1642" t="s">
        <v>693</v>
      </c>
      <c r="R1642">
        <v>19.99999999999999999999999999999999999996</v>
      </c>
      <c r="S1642" t="s">
        <v>45</v>
      </c>
      <c r="T164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2">
        <v>59785</v>
      </c>
      <c r="V1642" t="s">
        <v>38</v>
      </c>
      <c r="W1642" t="s">
        <v>693</v>
      </c>
      <c r="X1642">
        <v>19.99999999999999999999999999999999999996</v>
      </c>
      <c r="Y1642">
        <v>0</v>
      </c>
      <c r="Z1642" t="s">
        <v>46</v>
      </c>
      <c r="AA1642">
        <v>59865</v>
      </c>
      <c r="AB1642" t="s">
        <v>1554</v>
      </c>
      <c r="AC1642" t="s">
        <v>103</v>
      </c>
      <c r="AD1642" t="s">
        <v>38</v>
      </c>
      <c r="AE1642" t="s">
        <v>49</v>
      </c>
      <c r="AF1642" t="s">
        <v>50</v>
      </c>
      <c r="AG1642">
        <v>0</v>
      </c>
      <c r="AH1642">
        <v>0</v>
      </c>
      <c r="AI1642" t="s">
        <v>51</v>
      </c>
      <c r="AJ1642" t="s">
        <v>51</v>
      </c>
      <c r="AK1642" t="s">
        <v>51</v>
      </c>
    </row>
    <row r="1643" spans="1:37" x14ac:dyDescent="0.2">
      <c r="A1643">
        <v>59783</v>
      </c>
      <c r="B1643" t="s">
        <v>37</v>
      </c>
      <c r="C1643" t="s">
        <v>38</v>
      </c>
      <c r="D1643" t="s">
        <v>674</v>
      </c>
      <c r="E1643" t="s">
        <v>40</v>
      </c>
      <c r="G1643" s="4">
        <v>43947.008020833333</v>
      </c>
      <c r="H1643" s="4">
        <v>43947.008819444444</v>
      </c>
      <c r="I1643" t="s">
        <v>1480</v>
      </c>
      <c r="J1643" s="5">
        <v>68.99999999999999999999999999999999999999</v>
      </c>
      <c r="K1643" t="s">
        <v>38</v>
      </c>
      <c r="M1643">
        <v>59784</v>
      </c>
      <c r="N1643" t="s">
        <v>705</v>
      </c>
      <c r="O1643" t="s">
        <v>706</v>
      </c>
      <c r="P1643" t="s">
        <v>38</v>
      </c>
      <c r="Q1643" t="s">
        <v>693</v>
      </c>
      <c r="R1643">
        <v>19.99999999999999999999999999999999999996</v>
      </c>
      <c r="S1643" t="s">
        <v>45</v>
      </c>
      <c r="T164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3">
        <v>59785</v>
      </c>
      <c r="V1643" t="s">
        <v>38</v>
      </c>
      <c r="W1643" t="s">
        <v>693</v>
      </c>
      <c r="X1643">
        <v>19.99999999999999999999999999999999999996</v>
      </c>
      <c r="Y1643">
        <v>0</v>
      </c>
      <c r="Z1643" t="s">
        <v>46</v>
      </c>
      <c r="AA1643">
        <v>59864</v>
      </c>
      <c r="AB1643" t="s">
        <v>1555</v>
      </c>
      <c r="AC1643" t="s">
        <v>103</v>
      </c>
      <c r="AD1643" t="s">
        <v>38</v>
      </c>
      <c r="AE1643" t="s">
        <v>49</v>
      </c>
      <c r="AF1643" t="s">
        <v>50</v>
      </c>
      <c r="AG1643">
        <v>0</v>
      </c>
      <c r="AH1643">
        <v>0</v>
      </c>
      <c r="AI1643" t="s">
        <v>51</v>
      </c>
      <c r="AJ1643" t="s">
        <v>51</v>
      </c>
      <c r="AK1643" t="s">
        <v>51</v>
      </c>
    </row>
    <row r="1644" spans="1:37" x14ac:dyDescent="0.2">
      <c r="A1644">
        <v>59783</v>
      </c>
      <c r="B1644" t="s">
        <v>37</v>
      </c>
      <c r="C1644" t="s">
        <v>38</v>
      </c>
      <c r="D1644" t="s">
        <v>674</v>
      </c>
      <c r="E1644" t="s">
        <v>40</v>
      </c>
      <c r="G1644" s="4">
        <v>43947.008020833333</v>
      </c>
      <c r="H1644" s="4">
        <v>43947.008819444444</v>
      </c>
      <c r="I1644" t="s">
        <v>1480</v>
      </c>
      <c r="J1644" s="5">
        <v>68.99999999999999999999999999999999999999</v>
      </c>
      <c r="K1644" t="s">
        <v>38</v>
      </c>
      <c r="M1644">
        <v>59784</v>
      </c>
      <c r="N1644" t="s">
        <v>705</v>
      </c>
      <c r="O1644" t="s">
        <v>706</v>
      </c>
      <c r="P1644" t="s">
        <v>38</v>
      </c>
      <c r="Q1644" t="s">
        <v>693</v>
      </c>
      <c r="R1644">
        <v>19.99999999999999999999999999999999999996</v>
      </c>
      <c r="S1644" t="s">
        <v>45</v>
      </c>
      <c r="T164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4">
        <v>59785</v>
      </c>
      <c r="V1644" t="s">
        <v>38</v>
      </c>
      <c r="W1644" t="s">
        <v>693</v>
      </c>
      <c r="X1644">
        <v>19.99999999999999999999999999999999999996</v>
      </c>
      <c r="Y1644">
        <v>0</v>
      </c>
      <c r="Z1644" t="s">
        <v>46</v>
      </c>
      <c r="AA1644">
        <v>59863</v>
      </c>
      <c r="AB1644" t="s">
        <v>1556</v>
      </c>
      <c r="AC1644" t="s">
        <v>103</v>
      </c>
      <c r="AD1644" t="s">
        <v>38</v>
      </c>
      <c r="AE1644" t="s">
        <v>49</v>
      </c>
      <c r="AF1644" t="s">
        <v>50</v>
      </c>
      <c r="AG1644">
        <v>0</v>
      </c>
      <c r="AH1644">
        <v>0</v>
      </c>
      <c r="AI1644" t="s">
        <v>51</v>
      </c>
      <c r="AJ1644" t="s">
        <v>51</v>
      </c>
      <c r="AK1644" t="s">
        <v>51</v>
      </c>
    </row>
    <row r="1645" spans="1:37" x14ac:dyDescent="0.2">
      <c r="A1645">
        <v>59783</v>
      </c>
      <c r="B1645" t="s">
        <v>37</v>
      </c>
      <c r="C1645" t="s">
        <v>38</v>
      </c>
      <c r="D1645" t="s">
        <v>674</v>
      </c>
      <c r="E1645" t="s">
        <v>40</v>
      </c>
      <c r="G1645" s="4">
        <v>43947.008020833333</v>
      </c>
      <c r="H1645" s="4">
        <v>43947.008819444444</v>
      </c>
      <c r="I1645" t="s">
        <v>1480</v>
      </c>
      <c r="J1645" s="5">
        <v>68.99999999999999999999999999999999999999</v>
      </c>
      <c r="K1645" t="s">
        <v>38</v>
      </c>
      <c r="M1645">
        <v>59784</v>
      </c>
      <c r="N1645" t="s">
        <v>705</v>
      </c>
      <c r="O1645" t="s">
        <v>706</v>
      </c>
      <c r="P1645" t="s">
        <v>38</v>
      </c>
      <c r="Q1645" t="s">
        <v>693</v>
      </c>
      <c r="R1645">
        <v>19.99999999999999999999999999999999999996</v>
      </c>
      <c r="S1645" t="s">
        <v>45</v>
      </c>
      <c r="T164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5">
        <v>59785</v>
      </c>
      <c r="V1645" t="s">
        <v>38</v>
      </c>
      <c r="W1645" t="s">
        <v>693</v>
      </c>
      <c r="X1645">
        <v>19.99999999999999999999999999999999999996</v>
      </c>
      <c r="Y1645">
        <v>0</v>
      </c>
      <c r="Z1645" t="s">
        <v>46</v>
      </c>
      <c r="AA1645">
        <v>59862</v>
      </c>
      <c r="AB1645" t="s">
        <v>1557</v>
      </c>
      <c r="AC1645" t="s">
        <v>103</v>
      </c>
      <c r="AD1645" t="s">
        <v>38</v>
      </c>
      <c r="AE1645" t="s">
        <v>49</v>
      </c>
      <c r="AF1645" t="s">
        <v>50</v>
      </c>
      <c r="AG1645">
        <v>0</v>
      </c>
      <c r="AH1645">
        <v>0</v>
      </c>
      <c r="AI1645" t="s">
        <v>51</v>
      </c>
      <c r="AJ1645" t="s">
        <v>51</v>
      </c>
      <c r="AK1645" t="s">
        <v>51</v>
      </c>
    </row>
    <row r="1646" spans="1:37" x14ac:dyDescent="0.2">
      <c r="A1646">
        <v>59783</v>
      </c>
      <c r="B1646" t="s">
        <v>37</v>
      </c>
      <c r="C1646" t="s">
        <v>38</v>
      </c>
      <c r="D1646" t="s">
        <v>674</v>
      </c>
      <c r="E1646" t="s">
        <v>40</v>
      </c>
      <c r="G1646" s="4">
        <v>43947.008020833333</v>
      </c>
      <c r="H1646" s="4">
        <v>43947.008819444444</v>
      </c>
      <c r="I1646" t="s">
        <v>1480</v>
      </c>
      <c r="J1646" s="5">
        <v>68.99999999999999999999999999999999999999</v>
      </c>
      <c r="K1646" t="s">
        <v>38</v>
      </c>
      <c r="M1646">
        <v>59784</v>
      </c>
      <c r="N1646" t="s">
        <v>705</v>
      </c>
      <c r="O1646" t="s">
        <v>706</v>
      </c>
      <c r="P1646" t="s">
        <v>38</v>
      </c>
      <c r="Q1646" t="s">
        <v>693</v>
      </c>
      <c r="R1646">
        <v>19.99999999999999999999999999999999999996</v>
      </c>
      <c r="S1646" t="s">
        <v>45</v>
      </c>
      <c r="T164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6">
        <v>59785</v>
      </c>
      <c r="V1646" t="s">
        <v>38</v>
      </c>
      <c r="W1646" t="s">
        <v>693</v>
      </c>
      <c r="X1646">
        <v>19.99999999999999999999999999999999999996</v>
      </c>
      <c r="Y1646">
        <v>0</v>
      </c>
      <c r="Z1646" t="s">
        <v>46</v>
      </c>
      <c r="AA1646">
        <v>59861</v>
      </c>
      <c r="AB1646" t="s">
        <v>1558</v>
      </c>
      <c r="AC1646" t="s">
        <v>103</v>
      </c>
      <c r="AD1646" t="s">
        <v>38</v>
      </c>
      <c r="AE1646" t="s">
        <v>49</v>
      </c>
      <c r="AF1646" t="s">
        <v>50</v>
      </c>
      <c r="AG1646">
        <v>0</v>
      </c>
      <c r="AH1646">
        <v>0</v>
      </c>
      <c r="AI1646" t="s">
        <v>51</v>
      </c>
      <c r="AJ1646" t="s">
        <v>51</v>
      </c>
      <c r="AK1646" t="s">
        <v>51</v>
      </c>
    </row>
    <row r="1647" spans="1:37" x14ac:dyDescent="0.2">
      <c r="A1647">
        <v>59783</v>
      </c>
      <c r="B1647" t="s">
        <v>37</v>
      </c>
      <c r="C1647" t="s">
        <v>38</v>
      </c>
      <c r="D1647" t="s">
        <v>674</v>
      </c>
      <c r="E1647" t="s">
        <v>40</v>
      </c>
      <c r="G1647" s="4">
        <v>43947.008020833333</v>
      </c>
      <c r="H1647" s="4">
        <v>43947.008819444444</v>
      </c>
      <c r="I1647" t="s">
        <v>1480</v>
      </c>
      <c r="J1647" s="5">
        <v>68.99999999999999999999999999999999999999</v>
      </c>
      <c r="K1647" t="s">
        <v>38</v>
      </c>
      <c r="M1647">
        <v>59784</v>
      </c>
      <c r="N1647" t="s">
        <v>705</v>
      </c>
      <c r="O1647" t="s">
        <v>706</v>
      </c>
      <c r="P1647" t="s">
        <v>38</v>
      </c>
      <c r="Q1647" t="s">
        <v>693</v>
      </c>
      <c r="R1647">
        <v>19.99999999999999999999999999999999999996</v>
      </c>
      <c r="S1647" t="s">
        <v>45</v>
      </c>
      <c r="T164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7">
        <v>59785</v>
      </c>
      <c r="V1647" t="s">
        <v>38</v>
      </c>
      <c r="W1647" t="s">
        <v>693</v>
      </c>
      <c r="X1647">
        <v>19.99999999999999999999999999999999999996</v>
      </c>
      <c r="Y1647">
        <v>0</v>
      </c>
      <c r="Z1647" t="s">
        <v>46</v>
      </c>
      <c r="AA1647">
        <v>59860</v>
      </c>
      <c r="AB1647" t="s">
        <v>1559</v>
      </c>
      <c r="AC1647" t="s">
        <v>103</v>
      </c>
      <c r="AD1647" t="s">
        <v>38</v>
      </c>
      <c r="AE1647" t="s">
        <v>49</v>
      </c>
      <c r="AF1647" t="s">
        <v>50</v>
      </c>
      <c r="AG1647">
        <v>0</v>
      </c>
      <c r="AH1647">
        <v>0</v>
      </c>
      <c r="AI1647" t="s">
        <v>51</v>
      </c>
      <c r="AJ1647" t="s">
        <v>51</v>
      </c>
      <c r="AK1647" t="s">
        <v>51</v>
      </c>
    </row>
    <row r="1648" spans="1:37" x14ac:dyDescent="0.2">
      <c r="A1648">
        <v>59783</v>
      </c>
      <c r="B1648" t="s">
        <v>37</v>
      </c>
      <c r="C1648" t="s">
        <v>38</v>
      </c>
      <c r="D1648" t="s">
        <v>674</v>
      </c>
      <c r="E1648" t="s">
        <v>40</v>
      </c>
      <c r="G1648" s="4">
        <v>43947.008020833333</v>
      </c>
      <c r="H1648" s="4">
        <v>43947.008819444444</v>
      </c>
      <c r="I1648" t="s">
        <v>1480</v>
      </c>
      <c r="J1648" s="5">
        <v>68.99999999999999999999999999999999999999</v>
      </c>
      <c r="K1648" t="s">
        <v>38</v>
      </c>
      <c r="M1648">
        <v>59784</v>
      </c>
      <c r="N1648" t="s">
        <v>705</v>
      </c>
      <c r="O1648" t="s">
        <v>706</v>
      </c>
      <c r="P1648" t="s">
        <v>38</v>
      </c>
      <c r="Q1648" t="s">
        <v>693</v>
      </c>
      <c r="R1648">
        <v>19.99999999999999999999999999999999999996</v>
      </c>
      <c r="S1648" t="s">
        <v>45</v>
      </c>
      <c r="T164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8">
        <v>59785</v>
      </c>
      <c r="V1648" t="s">
        <v>38</v>
      </c>
      <c r="W1648" t="s">
        <v>693</v>
      </c>
      <c r="X1648">
        <v>19.99999999999999999999999999999999999996</v>
      </c>
      <c r="Y1648">
        <v>0</v>
      </c>
      <c r="Z1648" t="s">
        <v>46</v>
      </c>
      <c r="AA1648">
        <v>59859</v>
      </c>
      <c r="AB1648" t="s">
        <v>1560</v>
      </c>
      <c r="AC1648" t="s">
        <v>103</v>
      </c>
      <c r="AD1648" t="s">
        <v>38</v>
      </c>
      <c r="AE1648" t="s">
        <v>49</v>
      </c>
      <c r="AF1648" t="s">
        <v>50</v>
      </c>
      <c r="AG1648">
        <v>0</v>
      </c>
      <c r="AH1648">
        <v>0</v>
      </c>
      <c r="AI1648" t="s">
        <v>51</v>
      </c>
      <c r="AJ1648" t="s">
        <v>51</v>
      </c>
      <c r="AK1648" t="s">
        <v>51</v>
      </c>
    </row>
    <row r="1649" spans="1:37" x14ac:dyDescent="0.2">
      <c r="A1649">
        <v>59783</v>
      </c>
      <c r="B1649" t="s">
        <v>37</v>
      </c>
      <c r="C1649" t="s">
        <v>38</v>
      </c>
      <c r="D1649" t="s">
        <v>674</v>
      </c>
      <c r="E1649" t="s">
        <v>40</v>
      </c>
      <c r="G1649" s="4">
        <v>43947.008020833333</v>
      </c>
      <c r="H1649" s="4">
        <v>43947.008819444444</v>
      </c>
      <c r="I1649" t="s">
        <v>1480</v>
      </c>
      <c r="J1649" s="5">
        <v>68.99999999999999999999999999999999999999</v>
      </c>
      <c r="K1649" t="s">
        <v>38</v>
      </c>
      <c r="M1649">
        <v>59784</v>
      </c>
      <c r="N1649" t="s">
        <v>705</v>
      </c>
      <c r="O1649" t="s">
        <v>706</v>
      </c>
      <c r="P1649" t="s">
        <v>38</v>
      </c>
      <c r="Q1649" t="s">
        <v>693</v>
      </c>
      <c r="R1649">
        <v>19.99999999999999999999999999999999999996</v>
      </c>
      <c r="S1649" t="s">
        <v>45</v>
      </c>
      <c r="T164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49">
        <v>59785</v>
      </c>
      <c r="V1649" t="s">
        <v>38</v>
      </c>
      <c r="W1649" t="s">
        <v>693</v>
      </c>
      <c r="X1649">
        <v>19.99999999999999999999999999999999999996</v>
      </c>
      <c r="Y1649">
        <v>0</v>
      </c>
      <c r="Z1649" t="s">
        <v>46</v>
      </c>
      <c r="AA1649">
        <v>59858</v>
      </c>
      <c r="AB1649" t="s">
        <v>1561</v>
      </c>
      <c r="AC1649" t="s">
        <v>103</v>
      </c>
      <c r="AD1649" t="s">
        <v>38</v>
      </c>
      <c r="AE1649" t="s">
        <v>49</v>
      </c>
      <c r="AF1649" t="s">
        <v>50</v>
      </c>
      <c r="AG1649">
        <v>0</v>
      </c>
      <c r="AH1649">
        <v>0</v>
      </c>
      <c r="AI1649" t="s">
        <v>51</v>
      </c>
      <c r="AJ1649" t="s">
        <v>51</v>
      </c>
      <c r="AK1649" t="s">
        <v>51</v>
      </c>
    </row>
    <row r="1650" spans="1:37" x14ac:dyDescent="0.2">
      <c r="A1650">
        <v>59783</v>
      </c>
      <c r="B1650" t="s">
        <v>37</v>
      </c>
      <c r="C1650" t="s">
        <v>38</v>
      </c>
      <c r="D1650" t="s">
        <v>674</v>
      </c>
      <c r="E1650" t="s">
        <v>40</v>
      </c>
      <c r="G1650" s="4">
        <v>43947.008020833333</v>
      </c>
      <c r="H1650" s="4">
        <v>43947.008819444444</v>
      </c>
      <c r="I1650" t="s">
        <v>1480</v>
      </c>
      <c r="J1650" s="5">
        <v>68.99999999999999999999999999999999999999</v>
      </c>
      <c r="K1650" t="s">
        <v>38</v>
      </c>
      <c r="M1650">
        <v>59784</v>
      </c>
      <c r="N1650" t="s">
        <v>705</v>
      </c>
      <c r="O1650" t="s">
        <v>706</v>
      </c>
      <c r="P1650" t="s">
        <v>38</v>
      </c>
      <c r="Q1650" t="s">
        <v>693</v>
      </c>
      <c r="R1650">
        <v>19.99999999999999999999999999999999999996</v>
      </c>
      <c r="S1650" t="s">
        <v>45</v>
      </c>
      <c r="T165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0">
        <v>59785</v>
      </c>
      <c r="V1650" t="s">
        <v>38</v>
      </c>
      <c r="W1650" t="s">
        <v>693</v>
      </c>
      <c r="X1650">
        <v>19.99999999999999999999999999999999999996</v>
      </c>
      <c r="Y1650">
        <v>0</v>
      </c>
      <c r="Z1650" t="s">
        <v>46</v>
      </c>
      <c r="AA1650">
        <v>59857</v>
      </c>
      <c r="AB1650" t="s">
        <v>1562</v>
      </c>
      <c r="AC1650" t="s">
        <v>103</v>
      </c>
      <c r="AD1650" t="s">
        <v>38</v>
      </c>
      <c r="AE1650" t="s">
        <v>49</v>
      </c>
      <c r="AF1650" t="s">
        <v>50</v>
      </c>
      <c r="AG1650">
        <v>0</v>
      </c>
      <c r="AH1650">
        <v>0</v>
      </c>
      <c r="AI1650" t="s">
        <v>51</v>
      </c>
      <c r="AJ1650" t="s">
        <v>51</v>
      </c>
      <c r="AK1650" t="s">
        <v>51</v>
      </c>
    </row>
    <row r="1651" spans="1:37" x14ac:dyDescent="0.2">
      <c r="A1651">
        <v>59783</v>
      </c>
      <c r="B1651" t="s">
        <v>37</v>
      </c>
      <c r="C1651" t="s">
        <v>38</v>
      </c>
      <c r="D1651" t="s">
        <v>674</v>
      </c>
      <c r="E1651" t="s">
        <v>40</v>
      </c>
      <c r="G1651" s="4">
        <v>43947.008020833333</v>
      </c>
      <c r="H1651" s="4">
        <v>43947.008819444444</v>
      </c>
      <c r="I1651" t="s">
        <v>1480</v>
      </c>
      <c r="J1651" s="5">
        <v>68.99999999999999999999999999999999999999</v>
      </c>
      <c r="K1651" t="s">
        <v>38</v>
      </c>
      <c r="M1651">
        <v>59784</v>
      </c>
      <c r="N1651" t="s">
        <v>705</v>
      </c>
      <c r="O1651" t="s">
        <v>706</v>
      </c>
      <c r="P1651" t="s">
        <v>38</v>
      </c>
      <c r="Q1651" t="s">
        <v>693</v>
      </c>
      <c r="R1651">
        <v>19.99999999999999999999999999999999999996</v>
      </c>
      <c r="S1651" t="s">
        <v>45</v>
      </c>
      <c r="T165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1">
        <v>59785</v>
      </c>
      <c r="V1651" t="s">
        <v>38</v>
      </c>
      <c r="W1651" t="s">
        <v>693</v>
      </c>
      <c r="X1651">
        <v>19.99999999999999999999999999999999999996</v>
      </c>
      <c r="Y1651">
        <v>0</v>
      </c>
      <c r="Z1651" t="s">
        <v>46</v>
      </c>
      <c r="AA1651">
        <v>59856</v>
      </c>
      <c r="AB1651" t="s">
        <v>1563</v>
      </c>
      <c r="AC1651" t="s">
        <v>103</v>
      </c>
      <c r="AD1651" t="s">
        <v>38</v>
      </c>
      <c r="AE1651" t="s">
        <v>49</v>
      </c>
      <c r="AF1651" t="s">
        <v>50</v>
      </c>
      <c r="AG1651">
        <v>0</v>
      </c>
      <c r="AH1651">
        <v>0</v>
      </c>
      <c r="AI1651" t="s">
        <v>51</v>
      </c>
      <c r="AJ1651" t="s">
        <v>51</v>
      </c>
      <c r="AK1651" t="s">
        <v>51</v>
      </c>
    </row>
    <row r="1652" spans="1:37" x14ac:dyDescent="0.2">
      <c r="A1652">
        <v>59783</v>
      </c>
      <c r="B1652" t="s">
        <v>37</v>
      </c>
      <c r="C1652" t="s">
        <v>38</v>
      </c>
      <c r="D1652" t="s">
        <v>674</v>
      </c>
      <c r="E1652" t="s">
        <v>40</v>
      </c>
      <c r="G1652" s="4">
        <v>43947.008020833333</v>
      </c>
      <c r="H1652" s="4">
        <v>43947.008819444444</v>
      </c>
      <c r="I1652" t="s">
        <v>1480</v>
      </c>
      <c r="J1652" s="5">
        <v>68.99999999999999999999999999999999999999</v>
      </c>
      <c r="K1652" t="s">
        <v>38</v>
      </c>
      <c r="M1652">
        <v>59784</v>
      </c>
      <c r="N1652" t="s">
        <v>705</v>
      </c>
      <c r="O1652" t="s">
        <v>706</v>
      </c>
      <c r="P1652" t="s">
        <v>38</v>
      </c>
      <c r="Q1652" t="s">
        <v>693</v>
      </c>
      <c r="R1652">
        <v>19.99999999999999999999999999999999999996</v>
      </c>
      <c r="S1652" t="s">
        <v>45</v>
      </c>
      <c r="T165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2">
        <v>59785</v>
      </c>
      <c r="V1652" t="s">
        <v>38</v>
      </c>
      <c r="W1652" t="s">
        <v>693</v>
      </c>
      <c r="X1652">
        <v>19.99999999999999999999999999999999999996</v>
      </c>
      <c r="Y1652">
        <v>0</v>
      </c>
      <c r="Z1652" t="s">
        <v>46</v>
      </c>
      <c r="AA1652">
        <v>59855</v>
      </c>
      <c r="AB1652" t="s">
        <v>1564</v>
      </c>
      <c r="AC1652" t="s">
        <v>103</v>
      </c>
      <c r="AD1652" t="s">
        <v>38</v>
      </c>
      <c r="AE1652" t="s">
        <v>49</v>
      </c>
      <c r="AF1652" t="s">
        <v>50</v>
      </c>
      <c r="AG1652">
        <v>0</v>
      </c>
      <c r="AH1652">
        <v>0</v>
      </c>
      <c r="AI1652" t="s">
        <v>51</v>
      </c>
      <c r="AJ1652" t="s">
        <v>51</v>
      </c>
      <c r="AK1652" t="s">
        <v>51</v>
      </c>
    </row>
    <row r="1653" spans="1:37" x14ac:dyDescent="0.2">
      <c r="A1653">
        <v>59783</v>
      </c>
      <c r="B1653" t="s">
        <v>37</v>
      </c>
      <c r="C1653" t="s">
        <v>38</v>
      </c>
      <c r="D1653" t="s">
        <v>674</v>
      </c>
      <c r="E1653" t="s">
        <v>40</v>
      </c>
      <c r="G1653" s="4">
        <v>43947.008020833333</v>
      </c>
      <c r="H1653" s="4">
        <v>43947.008819444444</v>
      </c>
      <c r="I1653" t="s">
        <v>1480</v>
      </c>
      <c r="J1653" s="5">
        <v>68.99999999999999999999999999999999999999</v>
      </c>
      <c r="K1653" t="s">
        <v>38</v>
      </c>
      <c r="M1653">
        <v>59784</v>
      </c>
      <c r="N1653" t="s">
        <v>705</v>
      </c>
      <c r="O1653" t="s">
        <v>706</v>
      </c>
      <c r="P1653" t="s">
        <v>38</v>
      </c>
      <c r="Q1653" t="s">
        <v>693</v>
      </c>
      <c r="R1653">
        <v>19.99999999999999999999999999999999999996</v>
      </c>
      <c r="S1653" t="s">
        <v>45</v>
      </c>
      <c r="T165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3">
        <v>59785</v>
      </c>
      <c r="V1653" t="s">
        <v>38</v>
      </c>
      <c r="W1653" t="s">
        <v>693</v>
      </c>
      <c r="X1653">
        <v>19.99999999999999999999999999999999999996</v>
      </c>
      <c r="Y1653">
        <v>0</v>
      </c>
      <c r="Z1653" t="s">
        <v>46</v>
      </c>
      <c r="AA1653">
        <v>59854</v>
      </c>
      <c r="AB1653" t="s">
        <v>1565</v>
      </c>
      <c r="AC1653" t="s">
        <v>103</v>
      </c>
      <c r="AD1653" t="s">
        <v>38</v>
      </c>
      <c r="AE1653" t="s">
        <v>49</v>
      </c>
      <c r="AF1653" t="s">
        <v>50</v>
      </c>
      <c r="AG1653">
        <v>0</v>
      </c>
      <c r="AH1653">
        <v>0</v>
      </c>
      <c r="AI1653" t="s">
        <v>51</v>
      </c>
      <c r="AJ1653" t="s">
        <v>51</v>
      </c>
      <c r="AK1653" t="s">
        <v>51</v>
      </c>
    </row>
    <row r="1654" spans="1:37" x14ac:dyDescent="0.2">
      <c r="A1654">
        <v>59783</v>
      </c>
      <c r="B1654" t="s">
        <v>37</v>
      </c>
      <c r="C1654" t="s">
        <v>38</v>
      </c>
      <c r="D1654" t="s">
        <v>674</v>
      </c>
      <c r="E1654" t="s">
        <v>40</v>
      </c>
      <c r="G1654" s="4">
        <v>43947.008020833333</v>
      </c>
      <c r="H1654" s="4">
        <v>43947.008819444444</v>
      </c>
      <c r="I1654" t="s">
        <v>1480</v>
      </c>
      <c r="J1654" s="5">
        <v>68.99999999999999999999999999999999999999</v>
      </c>
      <c r="K1654" t="s">
        <v>38</v>
      </c>
      <c r="M1654">
        <v>59784</v>
      </c>
      <c r="N1654" t="s">
        <v>705</v>
      </c>
      <c r="O1654" t="s">
        <v>706</v>
      </c>
      <c r="P1654" t="s">
        <v>38</v>
      </c>
      <c r="Q1654" t="s">
        <v>693</v>
      </c>
      <c r="R1654">
        <v>19.99999999999999999999999999999999999996</v>
      </c>
      <c r="S1654" t="s">
        <v>45</v>
      </c>
      <c r="T165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4">
        <v>59785</v>
      </c>
      <c r="V1654" t="s">
        <v>38</v>
      </c>
      <c r="W1654" t="s">
        <v>693</v>
      </c>
      <c r="X1654">
        <v>19.99999999999999999999999999999999999996</v>
      </c>
      <c r="Y1654">
        <v>0</v>
      </c>
      <c r="Z1654" t="s">
        <v>46</v>
      </c>
      <c r="AA1654">
        <v>59853</v>
      </c>
      <c r="AB1654" t="s">
        <v>1566</v>
      </c>
      <c r="AC1654" t="s">
        <v>103</v>
      </c>
      <c r="AD1654" t="s">
        <v>38</v>
      </c>
      <c r="AE1654" t="s">
        <v>49</v>
      </c>
      <c r="AF1654" t="s">
        <v>50</v>
      </c>
      <c r="AG1654">
        <v>0</v>
      </c>
      <c r="AH1654">
        <v>0</v>
      </c>
      <c r="AI1654" t="s">
        <v>51</v>
      </c>
      <c r="AJ1654" t="s">
        <v>51</v>
      </c>
      <c r="AK1654" t="s">
        <v>51</v>
      </c>
    </row>
    <row r="1655" spans="1:37" x14ac:dyDescent="0.2">
      <c r="A1655">
        <v>59783</v>
      </c>
      <c r="B1655" t="s">
        <v>37</v>
      </c>
      <c r="C1655" t="s">
        <v>38</v>
      </c>
      <c r="D1655" t="s">
        <v>674</v>
      </c>
      <c r="E1655" t="s">
        <v>40</v>
      </c>
      <c r="G1655" s="4">
        <v>43947.008020833333</v>
      </c>
      <c r="H1655" s="4">
        <v>43947.008819444444</v>
      </c>
      <c r="I1655" t="s">
        <v>1480</v>
      </c>
      <c r="J1655" s="5">
        <v>68.99999999999999999999999999999999999999</v>
      </c>
      <c r="K1655" t="s">
        <v>38</v>
      </c>
      <c r="M1655">
        <v>59784</v>
      </c>
      <c r="N1655" t="s">
        <v>705</v>
      </c>
      <c r="O1655" t="s">
        <v>706</v>
      </c>
      <c r="P1655" t="s">
        <v>38</v>
      </c>
      <c r="Q1655" t="s">
        <v>693</v>
      </c>
      <c r="R1655">
        <v>19.99999999999999999999999999999999999996</v>
      </c>
      <c r="S1655" t="s">
        <v>45</v>
      </c>
      <c r="T165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5">
        <v>59785</v>
      </c>
      <c r="V1655" t="s">
        <v>38</v>
      </c>
      <c r="W1655" t="s">
        <v>693</v>
      </c>
      <c r="X1655">
        <v>19.99999999999999999999999999999999999996</v>
      </c>
      <c r="Y1655">
        <v>0</v>
      </c>
      <c r="Z1655" t="s">
        <v>46</v>
      </c>
      <c r="AA1655">
        <v>59852</v>
      </c>
      <c r="AB1655" t="s">
        <v>1567</v>
      </c>
      <c r="AC1655" t="s">
        <v>103</v>
      </c>
      <c r="AD1655" t="s">
        <v>38</v>
      </c>
      <c r="AE1655" t="s">
        <v>49</v>
      </c>
      <c r="AF1655" t="s">
        <v>50</v>
      </c>
      <c r="AG1655">
        <v>0</v>
      </c>
      <c r="AH1655">
        <v>0</v>
      </c>
      <c r="AI1655" t="s">
        <v>51</v>
      </c>
      <c r="AJ1655" t="s">
        <v>51</v>
      </c>
      <c r="AK1655" t="s">
        <v>51</v>
      </c>
    </row>
    <row r="1656" spans="1:37" x14ac:dyDescent="0.2">
      <c r="A1656">
        <v>59783</v>
      </c>
      <c r="B1656" t="s">
        <v>37</v>
      </c>
      <c r="C1656" t="s">
        <v>38</v>
      </c>
      <c r="D1656" t="s">
        <v>674</v>
      </c>
      <c r="E1656" t="s">
        <v>40</v>
      </c>
      <c r="G1656" s="4">
        <v>43947.008020833333</v>
      </c>
      <c r="H1656" s="4">
        <v>43947.008819444444</v>
      </c>
      <c r="I1656" t="s">
        <v>1480</v>
      </c>
      <c r="J1656" s="5">
        <v>68.99999999999999999999999999999999999999</v>
      </c>
      <c r="K1656" t="s">
        <v>38</v>
      </c>
      <c r="M1656">
        <v>59784</v>
      </c>
      <c r="N1656" t="s">
        <v>705</v>
      </c>
      <c r="O1656" t="s">
        <v>706</v>
      </c>
      <c r="P1656" t="s">
        <v>38</v>
      </c>
      <c r="Q1656" t="s">
        <v>693</v>
      </c>
      <c r="R1656">
        <v>19.99999999999999999999999999999999999996</v>
      </c>
      <c r="S1656" t="s">
        <v>45</v>
      </c>
      <c r="T165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6">
        <v>59785</v>
      </c>
      <c r="V1656" t="s">
        <v>38</v>
      </c>
      <c r="W1656" t="s">
        <v>693</v>
      </c>
      <c r="X1656">
        <v>19.99999999999999999999999999999999999996</v>
      </c>
      <c r="Y1656">
        <v>0</v>
      </c>
      <c r="Z1656" t="s">
        <v>46</v>
      </c>
      <c r="AA1656">
        <v>59851</v>
      </c>
      <c r="AB1656" t="s">
        <v>1568</v>
      </c>
      <c r="AC1656" t="s">
        <v>103</v>
      </c>
      <c r="AD1656" t="s">
        <v>38</v>
      </c>
      <c r="AE1656" t="s">
        <v>49</v>
      </c>
      <c r="AF1656" t="s">
        <v>50</v>
      </c>
      <c r="AG1656">
        <v>0</v>
      </c>
      <c r="AH1656">
        <v>0</v>
      </c>
      <c r="AI1656" t="s">
        <v>51</v>
      </c>
      <c r="AJ1656" t="s">
        <v>51</v>
      </c>
      <c r="AK1656" t="s">
        <v>51</v>
      </c>
    </row>
    <row r="1657" spans="1:37" x14ac:dyDescent="0.2">
      <c r="A1657">
        <v>59783</v>
      </c>
      <c r="B1657" t="s">
        <v>37</v>
      </c>
      <c r="C1657" t="s">
        <v>38</v>
      </c>
      <c r="D1657" t="s">
        <v>674</v>
      </c>
      <c r="E1657" t="s">
        <v>40</v>
      </c>
      <c r="G1657" s="4">
        <v>43947.008020833333</v>
      </c>
      <c r="H1657" s="4">
        <v>43947.008819444444</v>
      </c>
      <c r="I1657" t="s">
        <v>1480</v>
      </c>
      <c r="J1657" s="5">
        <v>68.99999999999999999999999999999999999999</v>
      </c>
      <c r="K1657" t="s">
        <v>38</v>
      </c>
      <c r="M1657">
        <v>59784</v>
      </c>
      <c r="N1657" t="s">
        <v>705</v>
      </c>
      <c r="O1657" t="s">
        <v>706</v>
      </c>
      <c r="P1657" t="s">
        <v>38</v>
      </c>
      <c r="Q1657" t="s">
        <v>693</v>
      </c>
      <c r="R1657">
        <v>19.99999999999999999999999999999999999996</v>
      </c>
      <c r="S1657" t="s">
        <v>45</v>
      </c>
      <c r="T165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7">
        <v>59785</v>
      </c>
      <c r="V1657" t="s">
        <v>38</v>
      </c>
      <c r="W1657" t="s">
        <v>693</v>
      </c>
      <c r="X1657">
        <v>19.99999999999999999999999999999999999996</v>
      </c>
      <c r="Y1657">
        <v>0</v>
      </c>
      <c r="Z1657" t="s">
        <v>46</v>
      </c>
      <c r="AA1657">
        <v>59850</v>
      </c>
      <c r="AB1657" t="s">
        <v>1569</v>
      </c>
      <c r="AC1657" t="s">
        <v>103</v>
      </c>
      <c r="AD1657" t="s">
        <v>38</v>
      </c>
      <c r="AE1657" t="s">
        <v>49</v>
      </c>
      <c r="AF1657" t="s">
        <v>50</v>
      </c>
      <c r="AG1657">
        <v>0</v>
      </c>
      <c r="AH1657">
        <v>0</v>
      </c>
      <c r="AI1657" t="s">
        <v>51</v>
      </c>
      <c r="AJ1657" t="s">
        <v>51</v>
      </c>
      <c r="AK1657" t="s">
        <v>51</v>
      </c>
    </row>
    <row r="1658" spans="1:37" x14ac:dyDescent="0.2">
      <c r="A1658">
        <v>59783</v>
      </c>
      <c r="B1658" t="s">
        <v>37</v>
      </c>
      <c r="C1658" t="s">
        <v>38</v>
      </c>
      <c r="D1658" t="s">
        <v>674</v>
      </c>
      <c r="E1658" t="s">
        <v>40</v>
      </c>
      <c r="G1658" s="4">
        <v>43947.008020833333</v>
      </c>
      <c r="H1658" s="4">
        <v>43947.008819444444</v>
      </c>
      <c r="I1658" t="s">
        <v>1480</v>
      </c>
      <c r="J1658" s="5">
        <v>68.99999999999999999999999999999999999999</v>
      </c>
      <c r="K1658" t="s">
        <v>38</v>
      </c>
      <c r="M1658">
        <v>59784</v>
      </c>
      <c r="N1658" t="s">
        <v>705</v>
      </c>
      <c r="O1658" t="s">
        <v>706</v>
      </c>
      <c r="P1658" t="s">
        <v>38</v>
      </c>
      <c r="Q1658" t="s">
        <v>693</v>
      </c>
      <c r="R1658">
        <v>19.99999999999999999999999999999999999996</v>
      </c>
      <c r="S1658" t="s">
        <v>45</v>
      </c>
      <c r="T165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8">
        <v>59785</v>
      </c>
      <c r="V1658" t="s">
        <v>38</v>
      </c>
      <c r="W1658" t="s">
        <v>693</v>
      </c>
      <c r="X1658">
        <v>19.99999999999999999999999999999999999996</v>
      </c>
      <c r="Y1658">
        <v>0</v>
      </c>
      <c r="Z1658" t="s">
        <v>46</v>
      </c>
      <c r="AA1658">
        <v>59849</v>
      </c>
      <c r="AB1658" t="s">
        <v>1570</v>
      </c>
      <c r="AC1658" t="s">
        <v>103</v>
      </c>
      <c r="AD1658" t="s">
        <v>38</v>
      </c>
      <c r="AE1658" t="s">
        <v>49</v>
      </c>
      <c r="AF1658" t="s">
        <v>50</v>
      </c>
      <c r="AG1658">
        <v>0</v>
      </c>
      <c r="AH1658">
        <v>0</v>
      </c>
      <c r="AI1658" t="s">
        <v>51</v>
      </c>
      <c r="AJ1658" t="s">
        <v>51</v>
      </c>
      <c r="AK1658" t="s">
        <v>51</v>
      </c>
    </row>
    <row r="1659" spans="1:37" x14ac:dyDescent="0.2">
      <c r="A1659">
        <v>59783</v>
      </c>
      <c r="B1659" t="s">
        <v>37</v>
      </c>
      <c r="C1659" t="s">
        <v>38</v>
      </c>
      <c r="D1659" t="s">
        <v>674</v>
      </c>
      <c r="E1659" t="s">
        <v>40</v>
      </c>
      <c r="G1659" s="4">
        <v>43947.008020833333</v>
      </c>
      <c r="H1659" s="4">
        <v>43947.008819444444</v>
      </c>
      <c r="I1659" t="s">
        <v>1480</v>
      </c>
      <c r="J1659" s="5">
        <v>68.99999999999999999999999999999999999999</v>
      </c>
      <c r="K1659" t="s">
        <v>38</v>
      </c>
      <c r="M1659">
        <v>59784</v>
      </c>
      <c r="N1659" t="s">
        <v>705</v>
      </c>
      <c r="O1659" t="s">
        <v>706</v>
      </c>
      <c r="P1659" t="s">
        <v>38</v>
      </c>
      <c r="Q1659" t="s">
        <v>693</v>
      </c>
      <c r="R1659">
        <v>19.99999999999999999999999999999999999996</v>
      </c>
      <c r="S1659" t="s">
        <v>45</v>
      </c>
      <c r="T165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59">
        <v>59785</v>
      </c>
      <c r="V1659" t="s">
        <v>38</v>
      </c>
      <c r="W1659" t="s">
        <v>693</v>
      </c>
      <c r="X1659">
        <v>19.99999999999999999999999999999999999996</v>
      </c>
      <c r="Y1659">
        <v>0</v>
      </c>
      <c r="Z1659" t="s">
        <v>46</v>
      </c>
      <c r="AA1659">
        <v>59848</v>
      </c>
      <c r="AB1659" t="s">
        <v>1571</v>
      </c>
      <c r="AC1659" t="s">
        <v>103</v>
      </c>
      <c r="AD1659" t="s">
        <v>38</v>
      </c>
      <c r="AE1659" t="s">
        <v>49</v>
      </c>
      <c r="AF1659" t="s">
        <v>50</v>
      </c>
      <c r="AG1659">
        <v>0</v>
      </c>
      <c r="AH1659">
        <v>0</v>
      </c>
      <c r="AI1659" t="s">
        <v>51</v>
      </c>
      <c r="AJ1659" t="s">
        <v>51</v>
      </c>
      <c r="AK1659" t="s">
        <v>51</v>
      </c>
    </row>
    <row r="1660" spans="1:37" x14ac:dyDescent="0.2">
      <c r="A1660">
        <v>59783</v>
      </c>
      <c r="B1660" t="s">
        <v>37</v>
      </c>
      <c r="C1660" t="s">
        <v>38</v>
      </c>
      <c r="D1660" t="s">
        <v>674</v>
      </c>
      <c r="E1660" t="s">
        <v>40</v>
      </c>
      <c r="G1660" s="4">
        <v>43947.008020833333</v>
      </c>
      <c r="H1660" s="4">
        <v>43947.008819444444</v>
      </c>
      <c r="I1660" t="s">
        <v>1480</v>
      </c>
      <c r="J1660" s="5">
        <v>68.99999999999999999999999999999999999999</v>
      </c>
      <c r="K1660" t="s">
        <v>38</v>
      </c>
      <c r="M1660">
        <v>59784</v>
      </c>
      <c r="N1660" t="s">
        <v>705</v>
      </c>
      <c r="O1660" t="s">
        <v>706</v>
      </c>
      <c r="P1660" t="s">
        <v>38</v>
      </c>
      <c r="Q1660" t="s">
        <v>693</v>
      </c>
      <c r="R1660">
        <v>19.99999999999999999999999999999999999996</v>
      </c>
      <c r="S1660" t="s">
        <v>45</v>
      </c>
      <c r="T166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0">
        <v>59785</v>
      </c>
      <c r="V1660" t="s">
        <v>38</v>
      </c>
      <c r="W1660" t="s">
        <v>693</v>
      </c>
      <c r="X1660">
        <v>19.99999999999999999999999999999999999996</v>
      </c>
      <c r="Y1660">
        <v>0</v>
      </c>
      <c r="Z1660" t="s">
        <v>46</v>
      </c>
      <c r="AA1660">
        <v>59847</v>
      </c>
      <c r="AB1660" t="s">
        <v>1572</v>
      </c>
      <c r="AC1660" t="s">
        <v>103</v>
      </c>
      <c r="AD1660" t="s">
        <v>38</v>
      </c>
      <c r="AE1660" t="s">
        <v>49</v>
      </c>
      <c r="AF1660" t="s">
        <v>50</v>
      </c>
      <c r="AG1660">
        <v>0</v>
      </c>
      <c r="AH1660">
        <v>0</v>
      </c>
      <c r="AI1660" t="s">
        <v>51</v>
      </c>
      <c r="AJ1660" t="s">
        <v>51</v>
      </c>
      <c r="AK1660" t="s">
        <v>51</v>
      </c>
    </row>
    <row r="1661" spans="1:37" x14ac:dyDescent="0.2">
      <c r="A1661">
        <v>59783</v>
      </c>
      <c r="B1661" t="s">
        <v>37</v>
      </c>
      <c r="C1661" t="s">
        <v>38</v>
      </c>
      <c r="D1661" t="s">
        <v>674</v>
      </c>
      <c r="E1661" t="s">
        <v>40</v>
      </c>
      <c r="G1661" s="4">
        <v>43947.008020833333</v>
      </c>
      <c r="H1661" s="4">
        <v>43947.008819444444</v>
      </c>
      <c r="I1661" t="s">
        <v>1480</v>
      </c>
      <c r="J1661" s="5">
        <v>68.99999999999999999999999999999999999999</v>
      </c>
      <c r="K1661" t="s">
        <v>38</v>
      </c>
      <c r="M1661">
        <v>59784</v>
      </c>
      <c r="N1661" t="s">
        <v>705</v>
      </c>
      <c r="O1661" t="s">
        <v>706</v>
      </c>
      <c r="P1661" t="s">
        <v>38</v>
      </c>
      <c r="Q1661" t="s">
        <v>693</v>
      </c>
      <c r="R1661">
        <v>19.99999999999999999999999999999999999996</v>
      </c>
      <c r="S1661" t="s">
        <v>45</v>
      </c>
      <c r="T166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1">
        <v>59785</v>
      </c>
      <c r="V1661" t="s">
        <v>38</v>
      </c>
      <c r="W1661" t="s">
        <v>693</v>
      </c>
      <c r="X1661">
        <v>19.99999999999999999999999999999999999996</v>
      </c>
      <c r="Y1661">
        <v>0</v>
      </c>
      <c r="Z1661" t="s">
        <v>46</v>
      </c>
      <c r="AA1661">
        <v>59846</v>
      </c>
      <c r="AB1661" t="s">
        <v>1573</v>
      </c>
      <c r="AC1661" t="s">
        <v>103</v>
      </c>
      <c r="AD1661" t="s">
        <v>38</v>
      </c>
      <c r="AE1661" t="s">
        <v>49</v>
      </c>
      <c r="AF1661" t="s">
        <v>50</v>
      </c>
      <c r="AG1661">
        <v>0</v>
      </c>
      <c r="AH1661">
        <v>0</v>
      </c>
      <c r="AI1661" t="s">
        <v>51</v>
      </c>
      <c r="AJ1661" t="s">
        <v>51</v>
      </c>
      <c r="AK1661" t="s">
        <v>51</v>
      </c>
    </row>
    <row r="1662" spans="1:37" x14ac:dyDescent="0.2">
      <c r="A1662">
        <v>59783</v>
      </c>
      <c r="B1662" t="s">
        <v>37</v>
      </c>
      <c r="C1662" t="s">
        <v>38</v>
      </c>
      <c r="D1662" t="s">
        <v>674</v>
      </c>
      <c r="E1662" t="s">
        <v>40</v>
      </c>
      <c r="G1662" s="4">
        <v>43947.008020833333</v>
      </c>
      <c r="H1662" s="4">
        <v>43947.008819444444</v>
      </c>
      <c r="I1662" t="s">
        <v>1480</v>
      </c>
      <c r="J1662" s="5">
        <v>68.99999999999999999999999999999999999999</v>
      </c>
      <c r="K1662" t="s">
        <v>38</v>
      </c>
      <c r="M1662">
        <v>59784</v>
      </c>
      <c r="N1662" t="s">
        <v>705</v>
      </c>
      <c r="O1662" t="s">
        <v>706</v>
      </c>
      <c r="P1662" t="s">
        <v>38</v>
      </c>
      <c r="Q1662" t="s">
        <v>693</v>
      </c>
      <c r="R1662">
        <v>19.99999999999999999999999999999999999996</v>
      </c>
      <c r="S1662" t="s">
        <v>45</v>
      </c>
      <c r="T166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2">
        <v>59785</v>
      </c>
      <c r="V1662" t="s">
        <v>38</v>
      </c>
      <c r="W1662" t="s">
        <v>693</v>
      </c>
      <c r="X1662">
        <v>19.99999999999999999999999999999999999996</v>
      </c>
      <c r="Y1662">
        <v>0</v>
      </c>
      <c r="Z1662" t="s">
        <v>46</v>
      </c>
      <c r="AA1662">
        <v>59845</v>
      </c>
      <c r="AB1662" t="s">
        <v>1574</v>
      </c>
      <c r="AC1662" t="s">
        <v>103</v>
      </c>
      <c r="AD1662" t="s">
        <v>38</v>
      </c>
      <c r="AE1662" t="s">
        <v>49</v>
      </c>
      <c r="AF1662" t="s">
        <v>50</v>
      </c>
      <c r="AG1662">
        <v>0</v>
      </c>
      <c r="AH1662">
        <v>0</v>
      </c>
      <c r="AI1662" t="s">
        <v>51</v>
      </c>
      <c r="AJ1662" t="s">
        <v>51</v>
      </c>
      <c r="AK1662" t="s">
        <v>51</v>
      </c>
    </row>
    <row r="1663" spans="1:37" x14ac:dyDescent="0.2">
      <c r="A1663">
        <v>59783</v>
      </c>
      <c r="B1663" t="s">
        <v>37</v>
      </c>
      <c r="C1663" t="s">
        <v>38</v>
      </c>
      <c r="D1663" t="s">
        <v>674</v>
      </c>
      <c r="E1663" t="s">
        <v>40</v>
      </c>
      <c r="G1663" s="4">
        <v>43947.008020833333</v>
      </c>
      <c r="H1663" s="4">
        <v>43947.008819444444</v>
      </c>
      <c r="I1663" t="s">
        <v>1480</v>
      </c>
      <c r="J1663" s="5">
        <v>68.99999999999999999999999999999999999999</v>
      </c>
      <c r="K1663" t="s">
        <v>38</v>
      </c>
      <c r="M1663">
        <v>59784</v>
      </c>
      <c r="N1663" t="s">
        <v>705</v>
      </c>
      <c r="O1663" t="s">
        <v>706</v>
      </c>
      <c r="P1663" t="s">
        <v>38</v>
      </c>
      <c r="Q1663" t="s">
        <v>693</v>
      </c>
      <c r="R1663">
        <v>19.99999999999999999999999999999999999996</v>
      </c>
      <c r="S1663" t="s">
        <v>45</v>
      </c>
      <c r="T166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3">
        <v>59785</v>
      </c>
      <c r="V1663" t="s">
        <v>38</v>
      </c>
      <c r="W1663" t="s">
        <v>693</v>
      </c>
      <c r="X1663">
        <v>19.99999999999999999999999999999999999996</v>
      </c>
      <c r="Y1663">
        <v>0</v>
      </c>
      <c r="Z1663" t="s">
        <v>46</v>
      </c>
      <c r="AA1663">
        <v>59844</v>
      </c>
      <c r="AB1663" t="s">
        <v>1575</v>
      </c>
      <c r="AC1663" t="s">
        <v>103</v>
      </c>
      <c r="AD1663" t="s">
        <v>38</v>
      </c>
      <c r="AE1663" t="s">
        <v>49</v>
      </c>
      <c r="AF1663" t="s">
        <v>50</v>
      </c>
      <c r="AG1663">
        <v>0</v>
      </c>
      <c r="AH1663">
        <v>0</v>
      </c>
      <c r="AI1663" t="s">
        <v>51</v>
      </c>
      <c r="AJ1663" t="s">
        <v>51</v>
      </c>
      <c r="AK1663" t="s">
        <v>51</v>
      </c>
    </row>
    <row r="1664" spans="1:37" x14ac:dyDescent="0.2">
      <c r="A1664">
        <v>59783</v>
      </c>
      <c r="B1664" t="s">
        <v>37</v>
      </c>
      <c r="C1664" t="s">
        <v>38</v>
      </c>
      <c r="D1664" t="s">
        <v>674</v>
      </c>
      <c r="E1664" t="s">
        <v>40</v>
      </c>
      <c r="G1664" s="4">
        <v>43947.008020833333</v>
      </c>
      <c r="H1664" s="4">
        <v>43947.008819444444</v>
      </c>
      <c r="I1664" t="s">
        <v>1480</v>
      </c>
      <c r="J1664" s="5">
        <v>68.99999999999999999999999999999999999999</v>
      </c>
      <c r="K1664" t="s">
        <v>38</v>
      </c>
      <c r="M1664">
        <v>59784</v>
      </c>
      <c r="N1664" t="s">
        <v>705</v>
      </c>
      <c r="O1664" t="s">
        <v>706</v>
      </c>
      <c r="P1664" t="s">
        <v>38</v>
      </c>
      <c r="Q1664" t="s">
        <v>693</v>
      </c>
      <c r="R1664">
        <v>19.99999999999999999999999999999999999996</v>
      </c>
      <c r="S1664" t="s">
        <v>45</v>
      </c>
      <c r="T166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4">
        <v>59785</v>
      </c>
      <c r="V1664" t="s">
        <v>38</v>
      </c>
      <c r="W1664" t="s">
        <v>693</v>
      </c>
      <c r="X1664">
        <v>19.99999999999999999999999999999999999996</v>
      </c>
      <c r="Y1664">
        <v>0</v>
      </c>
      <c r="Z1664" t="s">
        <v>46</v>
      </c>
      <c r="AA1664">
        <v>59843</v>
      </c>
      <c r="AB1664" t="s">
        <v>1576</v>
      </c>
      <c r="AC1664" t="s">
        <v>103</v>
      </c>
      <c r="AD1664" t="s">
        <v>38</v>
      </c>
      <c r="AE1664" t="s">
        <v>49</v>
      </c>
      <c r="AF1664" t="s">
        <v>50</v>
      </c>
      <c r="AG1664">
        <v>0</v>
      </c>
      <c r="AH1664">
        <v>0</v>
      </c>
      <c r="AI1664" t="s">
        <v>51</v>
      </c>
      <c r="AJ1664" t="s">
        <v>51</v>
      </c>
      <c r="AK1664" t="s">
        <v>51</v>
      </c>
    </row>
    <row r="1665" spans="1:37" x14ac:dyDescent="0.2">
      <c r="A1665">
        <v>59783</v>
      </c>
      <c r="B1665" t="s">
        <v>37</v>
      </c>
      <c r="C1665" t="s">
        <v>38</v>
      </c>
      <c r="D1665" t="s">
        <v>674</v>
      </c>
      <c r="E1665" t="s">
        <v>40</v>
      </c>
      <c r="G1665" s="4">
        <v>43947.008020833333</v>
      </c>
      <c r="H1665" s="4">
        <v>43947.008819444444</v>
      </c>
      <c r="I1665" t="s">
        <v>1480</v>
      </c>
      <c r="J1665" s="5">
        <v>68.99999999999999999999999999999999999999</v>
      </c>
      <c r="K1665" t="s">
        <v>38</v>
      </c>
      <c r="M1665">
        <v>59784</v>
      </c>
      <c r="N1665" t="s">
        <v>705</v>
      </c>
      <c r="O1665" t="s">
        <v>706</v>
      </c>
      <c r="P1665" t="s">
        <v>38</v>
      </c>
      <c r="Q1665" t="s">
        <v>693</v>
      </c>
      <c r="R1665">
        <v>19.99999999999999999999999999999999999996</v>
      </c>
      <c r="S1665" t="s">
        <v>45</v>
      </c>
      <c r="T166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5">
        <v>59785</v>
      </c>
      <c r="V1665" t="s">
        <v>38</v>
      </c>
      <c r="W1665" t="s">
        <v>693</v>
      </c>
      <c r="X1665">
        <v>19.99999999999999999999999999999999999996</v>
      </c>
      <c r="Y1665">
        <v>0</v>
      </c>
      <c r="Z1665" t="s">
        <v>46</v>
      </c>
      <c r="AA1665">
        <v>59842</v>
      </c>
      <c r="AB1665" t="s">
        <v>1577</v>
      </c>
      <c r="AC1665" t="s">
        <v>103</v>
      </c>
      <c r="AD1665" t="s">
        <v>38</v>
      </c>
      <c r="AE1665" t="s">
        <v>49</v>
      </c>
      <c r="AF1665" t="s">
        <v>50</v>
      </c>
      <c r="AG1665">
        <v>0</v>
      </c>
      <c r="AH1665">
        <v>0</v>
      </c>
      <c r="AI1665" t="s">
        <v>51</v>
      </c>
      <c r="AJ1665" t="s">
        <v>51</v>
      </c>
      <c r="AK1665" t="s">
        <v>51</v>
      </c>
    </row>
    <row r="1666" spans="1:37" x14ac:dyDescent="0.2">
      <c r="A1666">
        <v>59783</v>
      </c>
      <c r="B1666" t="s">
        <v>37</v>
      </c>
      <c r="C1666" t="s">
        <v>38</v>
      </c>
      <c r="D1666" t="s">
        <v>674</v>
      </c>
      <c r="E1666" t="s">
        <v>40</v>
      </c>
      <c r="G1666" s="4">
        <v>43947.008020833333</v>
      </c>
      <c r="H1666" s="4">
        <v>43947.008819444444</v>
      </c>
      <c r="I1666" t="s">
        <v>1480</v>
      </c>
      <c r="J1666" s="5">
        <v>68.99999999999999999999999999999999999999</v>
      </c>
      <c r="K1666" t="s">
        <v>38</v>
      </c>
      <c r="M1666">
        <v>59784</v>
      </c>
      <c r="N1666" t="s">
        <v>705</v>
      </c>
      <c r="O1666" t="s">
        <v>706</v>
      </c>
      <c r="P1666" t="s">
        <v>38</v>
      </c>
      <c r="Q1666" t="s">
        <v>693</v>
      </c>
      <c r="R1666">
        <v>19.99999999999999999999999999999999999996</v>
      </c>
      <c r="S1666" t="s">
        <v>45</v>
      </c>
      <c r="T166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6">
        <v>59785</v>
      </c>
      <c r="V1666" t="s">
        <v>38</v>
      </c>
      <c r="W1666" t="s">
        <v>693</v>
      </c>
      <c r="X1666">
        <v>19.99999999999999999999999999999999999996</v>
      </c>
      <c r="Y1666">
        <v>0</v>
      </c>
      <c r="Z1666" t="s">
        <v>46</v>
      </c>
      <c r="AA1666">
        <v>59841</v>
      </c>
      <c r="AB1666" t="s">
        <v>1578</v>
      </c>
      <c r="AC1666" t="s">
        <v>103</v>
      </c>
      <c r="AD1666" t="s">
        <v>38</v>
      </c>
      <c r="AE1666" t="s">
        <v>49</v>
      </c>
      <c r="AF1666" t="s">
        <v>50</v>
      </c>
      <c r="AG1666">
        <v>0</v>
      </c>
      <c r="AH1666">
        <v>0</v>
      </c>
      <c r="AI1666" t="s">
        <v>51</v>
      </c>
      <c r="AJ1666" t="s">
        <v>51</v>
      </c>
      <c r="AK1666" t="s">
        <v>51</v>
      </c>
    </row>
    <row r="1667" spans="1:37" x14ac:dyDescent="0.2">
      <c r="A1667">
        <v>59783</v>
      </c>
      <c r="B1667" t="s">
        <v>37</v>
      </c>
      <c r="C1667" t="s">
        <v>38</v>
      </c>
      <c r="D1667" t="s">
        <v>674</v>
      </c>
      <c r="E1667" t="s">
        <v>40</v>
      </c>
      <c r="G1667" s="4">
        <v>43947.008020833333</v>
      </c>
      <c r="H1667" s="4">
        <v>43947.008819444444</v>
      </c>
      <c r="I1667" t="s">
        <v>1480</v>
      </c>
      <c r="J1667" s="5">
        <v>68.99999999999999999999999999999999999999</v>
      </c>
      <c r="K1667" t="s">
        <v>38</v>
      </c>
      <c r="M1667">
        <v>59784</v>
      </c>
      <c r="N1667" t="s">
        <v>705</v>
      </c>
      <c r="O1667" t="s">
        <v>706</v>
      </c>
      <c r="P1667" t="s">
        <v>38</v>
      </c>
      <c r="Q1667" t="s">
        <v>693</v>
      </c>
      <c r="R1667">
        <v>19.99999999999999999999999999999999999996</v>
      </c>
      <c r="S1667" t="s">
        <v>45</v>
      </c>
      <c r="T166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7">
        <v>59785</v>
      </c>
      <c r="V1667" t="s">
        <v>38</v>
      </c>
      <c r="W1667" t="s">
        <v>693</v>
      </c>
      <c r="X1667">
        <v>19.99999999999999999999999999999999999996</v>
      </c>
      <c r="Y1667">
        <v>0</v>
      </c>
      <c r="Z1667" t="s">
        <v>46</v>
      </c>
      <c r="AA1667">
        <v>59840</v>
      </c>
      <c r="AB1667" t="s">
        <v>1579</v>
      </c>
      <c r="AC1667" t="s">
        <v>103</v>
      </c>
      <c r="AD1667" t="s">
        <v>38</v>
      </c>
      <c r="AE1667" t="s">
        <v>49</v>
      </c>
      <c r="AF1667" t="s">
        <v>50</v>
      </c>
      <c r="AG1667">
        <v>0</v>
      </c>
      <c r="AH1667">
        <v>0</v>
      </c>
      <c r="AI1667" t="s">
        <v>51</v>
      </c>
      <c r="AJ1667" t="s">
        <v>51</v>
      </c>
      <c r="AK1667" t="s">
        <v>51</v>
      </c>
    </row>
    <row r="1668" spans="1:37" x14ac:dyDescent="0.2">
      <c r="A1668">
        <v>59783</v>
      </c>
      <c r="B1668" t="s">
        <v>37</v>
      </c>
      <c r="C1668" t="s">
        <v>38</v>
      </c>
      <c r="D1668" t="s">
        <v>674</v>
      </c>
      <c r="E1668" t="s">
        <v>40</v>
      </c>
      <c r="G1668" s="4">
        <v>43947.008020833333</v>
      </c>
      <c r="H1668" s="4">
        <v>43947.008819444444</v>
      </c>
      <c r="I1668" t="s">
        <v>1480</v>
      </c>
      <c r="J1668" s="5">
        <v>68.99999999999999999999999999999999999999</v>
      </c>
      <c r="K1668" t="s">
        <v>38</v>
      </c>
      <c r="M1668">
        <v>59784</v>
      </c>
      <c r="N1668" t="s">
        <v>705</v>
      </c>
      <c r="O1668" t="s">
        <v>706</v>
      </c>
      <c r="P1668" t="s">
        <v>38</v>
      </c>
      <c r="Q1668" t="s">
        <v>693</v>
      </c>
      <c r="R1668">
        <v>19.99999999999999999999999999999999999996</v>
      </c>
      <c r="S1668" t="s">
        <v>45</v>
      </c>
      <c r="T166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8">
        <v>59785</v>
      </c>
      <c r="V1668" t="s">
        <v>38</v>
      </c>
      <c r="W1668" t="s">
        <v>693</v>
      </c>
      <c r="X1668">
        <v>19.99999999999999999999999999999999999996</v>
      </c>
      <c r="Y1668">
        <v>0</v>
      </c>
      <c r="Z1668" t="s">
        <v>46</v>
      </c>
      <c r="AA1668">
        <v>59839</v>
      </c>
      <c r="AB1668" t="s">
        <v>1580</v>
      </c>
      <c r="AC1668" t="s">
        <v>103</v>
      </c>
      <c r="AD1668" t="s">
        <v>38</v>
      </c>
      <c r="AE1668" t="s">
        <v>49</v>
      </c>
      <c r="AF1668" t="s">
        <v>50</v>
      </c>
      <c r="AG1668">
        <v>0</v>
      </c>
      <c r="AH1668">
        <v>0</v>
      </c>
      <c r="AI1668" t="s">
        <v>51</v>
      </c>
      <c r="AJ1668" t="s">
        <v>51</v>
      </c>
      <c r="AK1668" t="s">
        <v>51</v>
      </c>
    </row>
    <row r="1669" spans="1:37" x14ac:dyDescent="0.2">
      <c r="A1669">
        <v>59783</v>
      </c>
      <c r="B1669" t="s">
        <v>37</v>
      </c>
      <c r="C1669" t="s">
        <v>38</v>
      </c>
      <c r="D1669" t="s">
        <v>674</v>
      </c>
      <c r="E1669" t="s">
        <v>40</v>
      </c>
      <c r="G1669" s="4">
        <v>43947.008020833333</v>
      </c>
      <c r="H1669" s="4">
        <v>43947.008819444444</v>
      </c>
      <c r="I1669" t="s">
        <v>1480</v>
      </c>
      <c r="J1669" s="5">
        <v>68.99999999999999999999999999999999999999</v>
      </c>
      <c r="K1669" t="s">
        <v>38</v>
      </c>
      <c r="M1669">
        <v>59784</v>
      </c>
      <c r="N1669" t="s">
        <v>705</v>
      </c>
      <c r="O1669" t="s">
        <v>706</v>
      </c>
      <c r="P1669" t="s">
        <v>38</v>
      </c>
      <c r="Q1669" t="s">
        <v>693</v>
      </c>
      <c r="R1669">
        <v>19.99999999999999999999999999999999999996</v>
      </c>
      <c r="S1669" t="s">
        <v>45</v>
      </c>
      <c r="T166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69">
        <v>59785</v>
      </c>
      <c r="V1669" t="s">
        <v>38</v>
      </c>
      <c r="W1669" t="s">
        <v>693</v>
      </c>
      <c r="X1669">
        <v>19.99999999999999999999999999999999999996</v>
      </c>
      <c r="Y1669">
        <v>0</v>
      </c>
      <c r="Z1669" t="s">
        <v>46</v>
      </c>
      <c r="AA1669">
        <v>59838</v>
      </c>
      <c r="AB1669" t="s">
        <v>1581</v>
      </c>
      <c r="AC1669" t="s">
        <v>103</v>
      </c>
      <c r="AD1669" t="s">
        <v>38</v>
      </c>
      <c r="AE1669" t="s">
        <v>49</v>
      </c>
      <c r="AF1669" t="s">
        <v>50</v>
      </c>
      <c r="AG1669">
        <v>0</v>
      </c>
      <c r="AH1669">
        <v>0</v>
      </c>
      <c r="AI1669" t="s">
        <v>51</v>
      </c>
      <c r="AJ1669" t="s">
        <v>51</v>
      </c>
      <c r="AK1669" t="s">
        <v>51</v>
      </c>
    </row>
    <row r="1670" spans="1:37" x14ac:dyDescent="0.2">
      <c r="A1670">
        <v>59783</v>
      </c>
      <c r="B1670" t="s">
        <v>37</v>
      </c>
      <c r="C1670" t="s">
        <v>38</v>
      </c>
      <c r="D1670" t="s">
        <v>674</v>
      </c>
      <c r="E1670" t="s">
        <v>40</v>
      </c>
      <c r="G1670" s="4">
        <v>43947.008020833333</v>
      </c>
      <c r="H1670" s="4">
        <v>43947.008819444444</v>
      </c>
      <c r="I1670" t="s">
        <v>1480</v>
      </c>
      <c r="J1670" s="5">
        <v>68.99999999999999999999999999999999999999</v>
      </c>
      <c r="K1670" t="s">
        <v>38</v>
      </c>
      <c r="M1670">
        <v>59784</v>
      </c>
      <c r="N1670" t="s">
        <v>705</v>
      </c>
      <c r="O1670" t="s">
        <v>706</v>
      </c>
      <c r="P1670" t="s">
        <v>38</v>
      </c>
      <c r="Q1670" t="s">
        <v>693</v>
      </c>
      <c r="R1670">
        <v>19.99999999999999999999999999999999999996</v>
      </c>
      <c r="S1670" t="s">
        <v>45</v>
      </c>
      <c r="T167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0">
        <v>59785</v>
      </c>
      <c r="V1670" t="s">
        <v>38</v>
      </c>
      <c r="W1670" t="s">
        <v>693</v>
      </c>
      <c r="X1670">
        <v>19.99999999999999999999999999999999999996</v>
      </c>
      <c r="Y1670">
        <v>0</v>
      </c>
      <c r="Z1670" t="s">
        <v>46</v>
      </c>
      <c r="AA1670">
        <v>59837</v>
      </c>
      <c r="AB1670" t="s">
        <v>1582</v>
      </c>
      <c r="AC1670" t="s">
        <v>103</v>
      </c>
      <c r="AD1670" t="s">
        <v>38</v>
      </c>
      <c r="AE1670" t="s">
        <v>49</v>
      </c>
      <c r="AF1670" t="s">
        <v>50</v>
      </c>
      <c r="AG1670">
        <v>0</v>
      </c>
      <c r="AH1670">
        <v>0</v>
      </c>
      <c r="AI1670" t="s">
        <v>51</v>
      </c>
      <c r="AJ1670" t="s">
        <v>51</v>
      </c>
      <c r="AK1670" t="s">
        <v>51</v>
      </c>
    </row>
    <row r="1671" spans="1:37" x14ac:dyDescent="0.2">
      <c r="A1671">
        <v>59783</v>
      </c>
      <c r="B1671" t="s">
        <v>37</v>
      </c>
      <c r="C1671" t="s">
        <v>38</v>
      </c>
      <c r="D1671" t="s">
        <v>674</v>
      </c>
      <c r="E1671" t="s">
        <v>40</v>
      </c>
      <c r="G1671" s="4">
        <v>43947.008020833333</v>
      </c>
      <c r="H1671" s="4">
        <v>43947.008819444444</v>
      </c>
      <c r="I1671" t="s">
        <v>1480</v>
      </c>
      <c r="J1671" s="5">
        <v>68.99999999999999999999999999999999999999</v>
      </c>
      <c r="K1671" t="s">
        <v>38</v>
      </c>
      <c r="M1671">
        <v>59784</v>
      </c>
      <c r="N1671" t="s">
        <v>705</v>
      </c>
      <c r="O1671" t="s">
        <v>706</v>
      </c>
      <c r="P1671" t="s">
        <v>38</v>
      </c>
      <c r="Q1671" t="s">
        <v>693</v>
      </c>
      <c r="R1671">
        <v>19.99999999999999999999999999999999999996</v>
      </c>
      <c r="S1671" t="s">
        <v>45</v>
      </c>
      <c r="T167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1">
        <v>59785</v>
      </c>
      <c r="V1671" t="s">
        <v>38</v>
      </c>
      <c r="W1671" t="s">
        <v>693</v>
      </c>
      <c r="X1671">
        <v>19.99999999999999999999999999999999999996</v>
      </c>
      <c r="Y1671">
        <v>0</v>
      </c>
      <c r="Z1671" t="s">
        <v>46</v>
      </c>
      <c r="AA1671">
        <v>59836</v>
      </c>
      <c r="AB1671" t="s">
        <v>1583</v>
      </c>
      <c r="AC1671" t="s">
        <v>103</v>
      </c>
      <c r="AD1671" t="s">
        <v>38</v>
      </c>
      <c r="AE1671" t="s">
        <v>49</v>
      </c>
      <c r="AF1671" t="s">
        <v>50</v>
      </c>
      <c r="AG1671">
        <v>0</v>
      </c>
      <c r="AH1671">
        <v>0</v>
      </c>
      <c r="AI1671" t="s">
        <v>51</v>
      </c>
      <c r="AJ1671" t="s">
        <v>51</v>
      </c>
      <c r="AK1671" t="s">
        <v>51</v>
      </c>
    </row>
    <row r="1672" spans="1:37" x14ac:dyDescent="0.2">
      <c r="A1672">
        <v>59783</v>
      </c>
      <c r="B1672" t="s">
        <v>37</v>
      </c>
      <c r="C1672" t="s">
        <v>38</v>
      </c>
      <c r="D1672" t="s">
        <v>674</v>
      </c>
      <c r="E1672" t="s">
        <v>40</v>
      </c>
      <c r="G1672" s="4">
        <v>43947.008020833333</v>
      </c>
      <c r="H1672" s="4">
        <v>43947.008819444444</v>
      </c>
      <c r="I1672" t="s">
        <v>1480</v>
      </c>
      <c r="J1672" s="5">
        <v>68.99999999999999999999999999999999999999</v>
      </c>
      <c r="K1672" t="s">
        <v>38</v>
      </c>
      <c r="M1672">
        <v>59784</v>
      </c>
      <c r="N1672" t="s">
        <v>705</v>
      </c>
      <c r="O1672" t="s">
        <v>706</v>
      </c>
      <c r="P1672" t="s">
        <v>38</v>
      </c>
      <c r="Q1672" t="s">
        <v>693</v>
      </c>
      <c r="R1672">
        <v>19.99999999999999999999999999999999999996</v>
      </c>
      <c r="S1672" t="s">
        <v>45</v>
      </c>
      <c r="T167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2">
        <v>59785</v>
      </c>
      <c r="V1672" t="s">
        <v>38</v>
      </c>
      <c r="W1672" t="s">
        <v>693</v>
      </c>
      <c r="X1672">
        <v>19.99999999999999999999999999999999999996</v>
      </c>
      <c r="Y1672">
        <v>0</v>
      </c>
      <c r="Z1672" t="s">
        <v>46</v>
      </c>
      <c r="AA1672">
        <v>59835</v>
      </c>
      <c r="AB1672" t="s">
        <v>1584</v>
      </c>
      <c r="AC1672" t="s">
        <v>103</v>
      </c>
      <c r="AD1672" t="s">
        <v>38</v>
      </c>
      <c r="AE1672" t="s">
        <v>49</v>
      </c>
      <c r="AF1672" t="s">
        <v>50</v>
      </c>
      <c r="AG1672">
        <v>0</v>
      </c>
      <c r="AH1672">
        <v>0</v>
      </c>
      <c r="AI1672" t="s">
        <v>51</v>
      </c>
      <c r="AJ1672" t="s">
        <v>51</v>
      </c>
      <c r="AK1672" t="s">
        <v>51</v>
      </c>
    </row>
    <row r="1673" spans="1:37" x14ac:dyDescent="0.2">
      <c r="A1673">
        <v>59783</v>
      </c>
      <c r="B1673" t="s">
        <v>37</v>
      </c>
      <c r="C1673" t="s">
        <v>38</v>
      </c>
      <c r="D1673" t="s">
        <v>674</v>
      </c>
      <c r="E1673" t="s">
        <v>40</v>
      </c>
      <c r="G1673" s="4">
        <v>43947.008020833333</v>
      </c>
      <c r="H1673" s="4">
        <v>43947.008819444444</v>
      </c>
      <c r="I1673" t="s">
        <v>1480</v>
      </c>
      <c r="J1673" s="5">
        <v>68.99999999999999999999999999999999999999</v>
      </c>
      <c r="K1673" t="s">
        <v>38</v>
      </c>
      <c r="M1673">
        <v>59784</v>
      </c>
      <c r="N1673" t="s">
        <v>705</v>
      </c>
      <c r="O1673" t="s">
        <v>706</v>
      </c>
      <c r="P1673" t="s">
        <v>38</v>
      </c>
      <c r="Q1673" t="s">
        <v>693</v>
      </c>
      <c r="R1673">
        <v>19.99999999999999999999999999999999999996</v>
      </c>
      <c r="S1673" t="s">
        <v>45</v>
      </c>
      <c r="T167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3">
        <v>59785</v>
      </c>
      <c r="V1673" t="s">
        <v>38</v>
      </c>
      <c r="W1673" t="s">
        <v>693</v>
      </c>
      <c r="X1673">
        <v>19.99999999999999999999999999999999999996</v>
      </c>
      <c r="Y1673">
        <v>0</v>
      </c>
      <c r="Z1673" t="s">
        <v>46</v>
      </c>
      <c r="AA1673">
        <v>59834</v>
      </c>
      <c r="AB1673" t="s">
        <v>1585</v>
      </c>
      <c r="AC1673" t="s">
        <v>103</v>
      </c>
      <c r="AD1673" t="s">
        <v>38</v>
      </c>
      <c r="AE1673" t="s">
        <v>49</v>
      </c>
      <c r="AF1673" t="s">
        <v>50</v>
      </c>
      <c r="AG1673">
        <v>0</v>
      </c>
      <c r="AH1673">
        <v>0</v>
      </c>
      <c r="AI1673" t="s">
        <v>51</v>
      </c>
      <c r="AJ1673" t="s">
        <v>51</v>
      </c>
      <c r="AK1673" t="s">
        <v>51</v>
      </c>
    </row>
    <row r="1674" spans="1:37" x14ac:dyDescent="0.2">
      <c r="A1674">
        <v>59783</v>
      </c>
      <c r="B1674" t="s">
        <v>37</v>
      </c>
      <c r="C1674" t="s">
        <v>38</v>
      </c>
      <c r="D1674" t="s">
        <v>674</v>
      </c>
      <c r="E1674" t="s">
        <v>40</v>
      </c>
      <c r="G1674" s="4">
        <v>43947.008020833333</v>
      </c>
      <c r="H1674" s="4">
        <v>43947.008819444444</v>
      </c>
      <c r="I1674" t="s">
        <v>1480</v>
      </c>
      <c r="J1674" s="5">
        <v>68.99999999999999999999999999999999999999</v>
      </c>
      <c r="K1674" t="s">
        <v>38</v>
      </c>
      <c r="M1674">
        <v>59784</v>
      </c>
      <c r="N1674" t="s">
        <v>705</v>
      </c>
      <c r="O1674" t="s">
        <v>706</v>
      </c>
      <c r="P1674" t="s">
        <v>38</v>
      </c>
      <c r="Q1674" t="s">
        <v>693</v>
      </c>
      <c r="R1674">
        <v>19.99999999999999999999999999999999999996</v>
      </c>
      <c r="S1674" t="s">
        <v>45</v>
      </c>
      <c r="T167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4">
        <v>59785</v>
      </c>
      <c r="V1674" t="s">
        <v>38</v>
      </c>
      <c r="W1674" t="s">
        <v>693</v>
      </c>
      <c r="X1674">
        <v>19.99999999999999999999999999999999999996</v>
      </c>
      <c r="Y1674">
        <v>0</v>
      </c>
      <c r="Z1674" t="s">
        <v>46</v>
      </c>
      <c r="AA1674">
        <v>59833</v>
      </c>
      <c r="AB1674" t="s">
        <v>1586</v>
      </c>
      <c r="AC1674" t="s">
        <v>103</v>
      </c>
      <c r="AD1674" t="s">
        <v>38</v>
      </c>
      <c r="AE1674" t="s">
        <v>49</v>
      </c>
      <c r="AF1674" t="s">
        <v>50</v>
      </c>
      <c r="AG1674">
        <v>0</v>
      </c>
      <c r="AH1674">
        <v>0</v>
      </c>
      <c r="AI1674" t="s">
        <v>51</v>
      </c>
      <c r="AJ1674" t="s">
        <v>51</v>
      </c>
      <c r="AK1674" t="s">
        <v>51</v>
      </c>
    </row>
    <row r="1675" spans="1:37" x14ac:dyDescent="0.2">
      <c r="A1675">
        <v>59783</v>
      </c>
      <c r="B1675" t="s">
        <v>37</v>
      </c>
      <c r="C1675" t="s">
        <v>38</v>
      </c>
      <c r="D1675" t="s">
        <v>674</v>
      </c>
      <c r="E1675" t="s">
        <v>40</v>
      </c>
      <c r="G1675" s="4">
        <v>43947.008020833333</v>
      </c>
      <c r="H1675" s="4">
        <v>43947.008819444444</v>
      </c>
      <c r="I1675" t="s">
        <v>1480</v>
      </c>
      <c r="J1675" s="5">
        <v>68.99999999999999999999999999999999999999</v>
      </c>
      <c r="K1675" t="s">
        <v>38</v>
      </c>
      <c r="M1675">
        <v>59784</v>
      </c>
      <c r="N1675" t="s">
        <v>705</v>
      </c>
      <c r="O1675" t="s">
        <v>706</v>
      </c>
      <c r="P1675" t="s">
        <v>38</v>
      </c>
      <c r="Q1675" t="s">
        <v>693</v>
      </c>
      <c r="R1675">
        <v>19.99999999999999999999999999999999999996</v>
      </c>
      <c r="S1675" t="s">
        <v>45</v>
      </c>
      <c r="T167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5">
        <v>59785</v>
      </c>
      <c r="V1675" t="s">
        <v>38</v>
      </c>
      <c r="W1675" t="s">
        <v>693</v>
      </c>
      <c r="X1675">
        <v>19.99999999999999999999999999999999999996</v>
      </c>
      <c r="Y1675">
        <v>0</v>
      </c>
      <c r="Z1675" t="s">
        <v>46</v>
      </c>
      <c r="AA1675">
        <v>59832</v>
      </c>
      <c r="AB1675" t="s">
        <v>1587</v>
      </c>
      <c r="AC1675" t="s">
        <v>103</v>
      </c>
      <c r="AD1675" t="s">
        <v>38</v>
      </c>
      <c r="AE1675" t="s">
        <v>49</v>
      </c>
      <c r="AF1675" t="s">
        <v>50</v>
      </c>
      <c r="AG1675">
        <v>0</v>
      </c>
      <c r="AH1675">
        <v>0</v>
      </c>
      <c r="AI1675" t="s">
        <v>51</v>
      </c>
      <c r="AJ1675" t="s">
        <v>51</v>
      </c>
      <c r="AK1675" t="s">
        <v>51</v>
      </c>
    </row>
    <row r="1676" spans="1:37" x14ac:dyDescent="0.2">
      <c r="A1676">
        <v>59783</v>
      </c>
      <c r="B1676" t="s">
        <v>37</v>
      </c>
      <c r="C1676" t="s">
        <v>38</v>
      </c>
      <c r="D1676" t="s">
        <v>674</v>
      </c>
      <c r="E1676" t="s">
        <v>40</v>
      </c>
      <c r="G1676" s="4">
        <v>43947.008020833333</v>
      </c>
      <c r="H1676" s="4">
        <v>43947.008819444444</v>
      </c>
      <c r="I1676" t="s">
        <v>1480</v>
      </c>
      <c r="J1676" s="5">
        <v>68.99999999999999999999999999999999999999</v>
      </c>
      <c r="K1676" t="s">
        <v>38</v>
      </c>
      <c r="M1676">
        <v>59784</v>
      </c>
      <c r="N1676" t="s">
        <v>705</v>
      </c>
      <c r="O1676" t="s">
        <v>706</v>
      </c>
      <c r="P1676" t="s">
        <v>38</v>
      </c>
      <c r="Q1676" t="s">
        <v>693</v>
      </c>
      <c r="R1676">
        <v>19.99999999999999999999999999999999999996</v>
      </c>
      <c r="S1676" t="s">
        <v>45</v>
      </c>
      <c r="T167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6">
        <v>59785</v>
      </c>
      <c r="V1676" t="s">
        <v>38</v>
      </c>
      <c r="W1676" t="s">
        <v>693</v>
      </c>
      <c r="X1676">
        <v>19.99999999999999999999999999999999999996</v>
      </c>
      <c r="Y1676">
        <v>0</v>
      </c>
      <c r="Z1676" t="s">
        <v>46</v>
      </c>
      <c r="AA1676">
        <v>59831</v>
      </c>
      <c r="AB1676" t="s">
        <v>1588</v>
      </c>
      <c r="AC1676" t="s">
        <v>103</v>
      </c>
      <c r="AD1676" t="s">
        <v>38</v>
      </c>
      <c r="AE1676" t="s">
        <v>49</v>
      </c>
      <c r="AF1676" t="s">
        <v>50</v>
      </c>
      <c r="AG1676">
        <v>0</v>
      </c>
      <c r="AH1676">
        <v>0</v>
      </c>
      <c r="AI1676" t="s">
        <v>51</v>
      </c>
      <c r="AJ1676" t="s">
        <v>51</v>
      </c>
      <c r="AK1676" t="s">
        <v>51</v>
      </c>
    </row>
    <row r="1677" spans="1:37" x14ac:dyDescent="0.2">
      <c r="A1677">
        <v>59783</v>
      </c>
      <c r="B1677" t="s">
        <v>37</v>
      </c>
      <c r="C1677" t="s">
        <v>38</v>
      </c>
      <c r="D1677" t="s">
        <v>674</v>
      </c>
      <c r="E1677" t="s">
        <v>40</v>
      </c>
      <c r="G1677" s="4">
        <v>43947.008020833333</v>
      </c>
      <c r="H1677" s="4">
        <v>43947.008819444444</v>
      </c>
      <c r="I1677" t="s">
        <v>1480</v>
      </c>
      <c r="J1677" s="5">
        <v>68.99999999999999999999999999999999999999</v>
      </c>
      <c r="K1677" t="s">
        <v>38</v>
      </c>
      <c r="M1677">
        <v>59784</v>
      </c>
      <c r="N1677" t="s">
        <v>705</v>
      </c>
      <c r="O1677" t="s">
        <v>706</v>
      </c>
      <c r="P1677" t="s">
        <v>38</v>
      </c>
      <c r="Q1677" t="s">
        <v>693</v>
      </c>
      <c r="R1677">
        <v>19.99999999999999999999999999999999999996</v>
      </c>
      <c r="S1677" t="s">
        <v>45</v>
      </c>
      <c r="T167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7">
        <v>59785</v>
      </c>
      <c r="V1677" t="s">
        <v>38</v>
      </c>
      <c r="W1677" t="s">
        <v>693</v>
      </c>
      <c r="X1677">
        <v>19.99999999999999999999999999999999999996</v>
      </c>
      <c r="Y1677">
        <v>0</v>
      </c>
      <c r="Z1677" t="s">
        <v>46</v>
      </c>
      <c r="AA1677">
        <v>59830</v>
      </c>
      <c r="AB1677" t="s">
        <v>1589</v>
      </c>
      <c r="AC1677" t="s">
        <v>103</v>
      </c>
      <c r="AD1677" t="s">
        <v>38</v>
      </c>
      <c r="AE1677" t="s">
        <v>49</v>
      </c>
      <c r="AF1677" t="s">
        <v>50</v>
      </c>
      <c r="AG1677">
        <v>0</v>
      </c>
      <c r="AH1677">
        <v>0</v>
      </c>
      <c r="AI1677" t="s">
        <v>51</v>
      </c>
      <c r="AJ1677" t="s">
        <v>51</v>
      </c>
      <c r="AK1677" t="s">
        <v>51</v>
      </c>
    </row>
    <row r="1678" spans="1:37" x14ac:dyDescent="0.2">
      <c r="A1678">
        <v>59783</v>
      </c>
      <c r="B1678" t="s">
        <v>37</v>
      </c>
      <c r="C1678" t="s">
        <v>38</v>
      </c>
      <c r="D1678" t="s">
        <v>674</v>
      </c>
      <c r="E1678" t="s">
        <v>40</v>
      </c>
      <c r="G1678" s="4">
        <v>43947.008020833333</v>
      </c>
      <c r="H1678" s="4">
        <v>43947.008819444444</v>
      </c>
      <c r="I1678" t="s">
        <v>1480</v>
      </c>
      <c r="J1678" s="5">
        <v>68.99999999999999999999999999999999999999</v>
      </c>
      <c r="K1678" t="s">
        <v>38</v>
      </c>
      <c r="M1678">
        <v>59784</v>
      </c>
      <c r="N1678" t="s">
        <v>705</v>
      </c>
      <c r="O1678" t="s">
        <v>706</v>
      </c>
      <c r="P1678" t="s">
        <v>38</v>
      </c>
      <c r="Q1678" t="s">
        <v>693</v>
      </c>
      <c r="R1678">
        <v>19.99999999999999999999999999999999999996</v>
      </c>
      <c r="S1678" t="s">
        <v>45</v>
      </c>
      <c r="T167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8">
        <v>59785</v>
      </c>
      <c r="V1678" t="s">
        <v>38</v>
      </c>
      <c r="W1678" t="s">
        <v>693</v>
      </c>
      <c r="X1678">
        <v>19.99999999999999999999999999999999999996</v>
      </c>
      <c r="Y1678">
        <v>0</v>
      </c>
      <c r="Z1678" t="s">
        <v>46</v>
      </c>
      <c r="AA1678">
        <v>59829</v>
      </c>
      <c r="AB1678" t="s">
        <v>1590</v>
      </c>
      <c r="AC1678" t="s">
        <v>103</v>
      </c>
      <c r="AD1678" t="s">
        <v>38</v>
      </c>
      <c r="AE1678" t="s">
        <v>49</v>
      </c>
      <c r="AF1678" t="s">
        <v>50</v>
      </c>
      <c r="AG1678">
        <v>0</v>
      </c>
      <c r="AH1678">
        <v>0</v>
      </c>
      <c r="AI1678" t="s">
        <v>51</v>
      </c>
      <c r="AJ1678" t="s">
        <v>51</v>
      </c>
      <c r="AK1678" t="s">
        <v>51</v>
      </c>
    </row>
    <row r="1679" spans="1:37" x14ac:dyDescent="0.2">
      <c r="A1679">
        <v>59783</v>
      </c>
      <c r="B1679" t="s">
        <v>37</v>
      </c>
      <c r="C1679" t="s">
        <v>38</v>
      </c>
      <c r="D1679" t="s">
        <v>674</v>
      </c>
      <c r="E1679" t="s">
        <v>40</v>
      </c>
      <c r="G1679" s="4">
        <v>43947.008020833333</v>
      </c>
      <c r="H1679" s="4">
        <v>43947.008819444444</v>
      </c>
      <c r="I1679" t="s">
        <v>1480</v>
      </c>
      <c r="J1679" s="5">
        <v>68.99999999999999999999999999999999999999</v>
      </c>
      <c r="K1679" t="s">
        <v>38</v>
      </c>
      <c r="M1679">
        <v>59784</v>
      </c>
      <c r="N1679" t="s">
        <v>705</v>
      </c>
      <c r="O1679" t="s">
        <v>706</v>
      </c>
      <c r="P1679" t="s">
        <v>38</v>
      </c>
      <c r="Q1679" t="s">
        <v>693</v>
      </c>
      <c r="R1679">
        <v>19.99999999999999999999999999999999999996</v>
      </c>
      <c r="S1679" t="s">
        <v>45</v>
      </c>
      <c r="T167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79">
        <v>59785</v>
      </c>
      <c r="V1679" t="s">
        <v>38</v>
      </c>
      <c r="W1679" t="s">
        <v>693</v>
      </c>
      <c r="X1679">
        <v>19.99999999999999999999999999999999999996</v>
      </c>
      <c r="Y1679">
        <v>0</v>
      </c>
      <c r="Z1679" t="s">
        <v>46</v>
      </c>
      <c r="AA1679">
        <v>59828</v>
      </c>
      <c r="AB1679" t="s">
        <v>1591</v>
      </c>
      <c r="AC1679" t="s">
        <v>103</v>
      </c>
      <c r="AD1679" t="s">
        <v>38</v>
      </c>
      <c r="AE1679" t="s">
        <v>49</v>
      </c>
      <c r="AF1679" t="s">
        <v>50</v>
      </c>
      <c r="AG1679">
        <v>.9999999999999999999999999999999999999996</v>
      </c>
      <c r="AH1679">
        <v>0</v>
      </c>
      <c r="AI1679" t="s">
        <v>51</v>
      </c>
      <c r="AJ1679" t="s">
        <v>51</v>
      </c>
      <c r="AK1679" t="s">
        <v>51</v>
      </c>
    </row>
    <row r="1680" spans="1:37" x14ac:dyDescent="0.2">
      <c r="A1680">
        <v>59783</v>
      </c>
      <c r="B1680" t="s">
        <v>37</v>
      </c>
      <c r="C1680" t="s">
        <v>38</v>
      </c>
      <c r="D1680" t="s">
        <v>674</v>
      </c>
      <c r="E1680" t="s">
        <v>40</v>
      </c>
      <c r="G1680" s="4">
        <v>43947.008020833333</v>
      </c>
      <c r="H1680" s="4">
        <v>43947.008819444444</v>
      </c>
      <c r="I1680" t="s">
        <v>1480</v>
      </c>
      <c r="J1680" s="5">
        <v>68.99999999999999999999999999999999999999</v>
      </c>
      <c r="K1680" t="s">
        <v>38</v>
      </c>
      <c r="M1680">
        <v>59784</v>
      </c>
      <c r="N1680" t="s">
        <v>705</v>
      </c>
      <c r="O1680" t="s">
        <v>706</v>
      </c>
      <c r="P1680" t="s">
        <v>38</v>
      </c>
      <c r="Q1680" t="s">
        <v>693</v>
      </c>
      <c r="R1680">
        <v>19.99999999999999999999999999999999999996</v>
      </c>
      <c r="S1680" t="s">
        <v>45</v>
      </c>
      <c r="T168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0">
        <v>59785</v>
      </c>
      <c r="V1680" t="s">
        <v>38</v>
      </c>
      <c r="W1680" t="s">
        <v>693</v>
      </c>
      <c r="X1680">
        <v>19.99999999999999999999999999999999999996</v>
      </c>
      <c r="Y1680">
        <v>0</v>
      </c>
      <c r="Z1680" t="s">
        <v>46</v>
      </c>
      <c r="AA1680">
        <v>59827</v>
      </c>
      <c r="AB1680" t="s">
        <v>1592</v>
      </c>
      <c r="AC1680" t="s">
        <v>103</v>
      </c>
      <c r="AD1680" t="s">
        <v>38</v>
      </c>
      <c r="AE1680" t="s">
        <v>49</v>
      </c>
      <c r="AF1680" t="s">
        <v>50</v>
      </c>
      <c r="AG1680">
        <v>0</v>
      </c>
      <c r="AH1680">
        <v>0</v>
      </c>
      <c r="AI1680" t="s">
        <v>51</v>
      </c>
      <c r="AJ1680" t="s">
        <v>51</v>
      </c>
      <c r="AK1680" t="s">
        <v>51</v>
      </c>
    </row>
    <row r="1681" spans="1:37" x14ac:dyDescent="0.2">
      <c r="A1681">
        <v>59783</v>
      </c>
      <c r="B1681" t="s">
        <v>37</v>
      </c>
      <c r="C1681" t="s">
        <v>38</v>
      </c>
      <c r="D1681" t="s">
        <v>674</v>
      </c>
      <c r="E1681" t="s">
        <v>40</v>
      </c>
      <c r="G1681" s="4">
        <v>43947.008020833333</v>
      </c>
      <c r="H1681" s="4">
        <v>43947.008819444444</v>
      </c>
      <c r="I1681" t="s">
        <v>1480</v>
      </c>
      <c r="J1681" s="5">
        <v>68.99999999999999999999999999999999999999</v>
      </c>
      <c r="K1681" t="s">
        <v>38</v>
      </c>
      <c r="M1681">
        <v>59784</v>
      </c>
      <c r="N1681" t="s">
        <v>705</v>
      </c>
      <c r="O1681" t="s">
        <v>706</v>
      </c>
      <c r="P1681" t="s">
        <v>38</v>
      </c>
      <c r="Q1681" t="s">
        <v>693</v>
      </c>
      <c r="R1681">
        <v>19.99999999999999999999999999999999999996</v>
      </c>
      <c r="S1681" t="s">
        <v>45</v>
      </c>
      <c r="T168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1">
        <v>59785</v>
      </c>
      <c r="V1681" t="s">
        <v>38</v>
      </c>
      <c r="W1681" t="s">
        <v>693</v>
      </c>
      <c r="X1681">
        <v>19.99999999999999999999999999999999999996</v>
      </c>
      <c r="Y1681">
        <v>0</v>
      </c>
      <c r="Z1681" t="s">
        <v>46</v>
      </c>
      <c r="AA1681">
        <v>59826</v>
      </c>
      <c r="AB1681" t="s">
        <v>1593</v>
      </c>
      <c r="AC1681" t="s">
        <v>103</v>
      </c>
      <c r="AD1681" t="s">
        <v>38</v>
      </c>
      <c r="AE1681" t="s">
        <v>49</v>
      </c>
      <c r="AF1681" t="s">
        <v>50</v>
      </c>
      <c r="AG1681">
        <v>0</v>
      </c>
      <c r="AH1681">
        <v>0</v>
      </c>
      <c r="AI1681" t="s">
        <v>51</v>
      </c>
      <c r="AJ1681" t="s">
        <v>51</v>
      </c>
      <c r="AK1681" t="s">
        <v>51</v>
      </c>
    </row>
    <row r="1682" spans="1:37" x14ac:dyDescent="0.2">
      <c r="A1682">
        <v>59783</v>
      </c>
      <c r="B1682" t="s">
        <v>37</v>
      </c>
      <c r="C1682" t="s">
        <v>38</v>
      </c>
      <c r="D1682" t="s">
        <v>674</v>
      </c>
      <c r="E1682" t="s">
        <v>40</v>
      </c>
      <c r="G1682" s="4">
        <v>43947.008020833333</v>
      </c>
      <c r="H1682" s="4">
        <v>43947.008819444444</v>
      </c>
      <c r="I1682" t="s">
        <v>1480</v>
      </c>
      <c r="J1682" s="5">
        <v>68.99999999999999999999999999999999999999</v>
      </c>
      <c r="K1682" t="s">
        <v>38</v>
      </c>
      <c r="M1682">
        <v>59784</v>
      </c>
      <c r="N1682" t="s">
        <v>705</v>
      </c>
      <c r="O1682" t="s">
        <v>706</v>
      </c>
      <c r="P1682" t="s">
        <v>38</v>
      </c>
      <c r="Q1682" t="s">
        <v>693</v>
      </c>
      <c r="R1682">
        <v>19.99999999999999999999999999999999999996</v>
      </c>
      <c r="S1682" t="s">
        <v>45</v>
      </c>
      <c r="T168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2">
        <v>59785</v>
      </c>
      <c r="V1682" t="s">
        <v>38</v>
      </c>
      <c r="W1682" t="s">
        <v>693</v>
      </c>
      <c r="X1682">
        <v>19.99999999999999999999999999999999999996</v>
      </c>
      <c r="Y1682">
        <v>0</v>
      </c>
      <c r="Z1682" t="s">
        <v>46</v>
      </c>
      <c r="AA1682">
        <v>59825</v>
      </c>
      <c r="AB1682" t="s">
        <v>1594</v>
      </c>
      <c r="AC1682" t="s">
        <v>103</v>
      </c>
      <c r="AD1682" t="s">
        <v>38</v>
      </c>
      <c r="AE1682" t="s">
        <v>49</v>
      </c>
      <c r="AF1682" t="s">
        <v>50</v>
      </c>
      <c r="AG1682">
        <v>0</v>
      </c>
      <c r="AH1682">
        <v>0</v>
      </c>
      <c r="AI1682" t="s">
        <v>51</v>
      </c>
      <c r="AJ1682" t="s">
        <v>51</v>
      </c>
      <c r="AK1682" t="s">
        <v>51</v>
      </c>
    </row>
    <row r="1683" spans="1:37" x14ac:dyDescent="0.2">
      <c r="A1683">
        <v>59783</v>
      </c>
      <c r="B1683" t="s">
        <v>37</v>
      </c>
      <c r="C1683" t="s">
        <v>38</v>
      </c>
      <c r="D1683" t="s">
        <v>674</v>
      </c>
      <c r="E1683" t="s">
        <v>40</v>
      </c>
      <c r="G1683" s="4">
        <v>43947.008020833333</v>
      </c>
      <c r="H1683" s="4">
        <v>43947.008819444444</v>
      </c>
      <c r="I1683" t="s">
        <v>1480</v>
      </c>
      <c r="J1683" s="5">
        <v>68.99999999999999999999999999999999999999</v>
      </c>
      <c r="K1683" t="s">
        <v>38</v>
      </c>
      <c r="M1683">
        <v>59784</v>
      </c>
      <c r="N1683" t="s">
        <v>705</v>
      </c>
      <c r="O1683" t="s">
        <v>706</v>
      </c>
      <c r="P1683" t="s">
        <v>38</v>
      </c>
      <c r="Q1683" t="s">
        <v>693</v>
      </c>
      <c r="R1683">
        <v>19.99999999999999999999999999999999999996</v>
      </c>
      <c r="S1683" t="s">
        <v>45</v>
      </c>
      <c r="T168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3">
        <v>59785</v>
      </c>
      <c r="V1683" t="s">
        <v>38</v>
      </c>
      <c r="W1683" t="s">
        <v>693</v>
      </c>
      <c r="X1683">
        <v>19.99999999999999999999999999999999999996</v>
      </c>
      <c r="Y1683">
        <v>0</v>
      </c>
      <c r="Z1683" t="s">
        <v>46</v>
      </c>
      <c r="AA1683">
        <v>59824</v>
      </c>
      <c r="AB1683" t="s">
        <v>1595</v>
      </c>
      <c r="AC1683" t="s">
        <v>103</v>
      </c>
      <c r="AD1683" t="s">
        <v>38</v>
      </c>
      <c r="AE1683" t="s">
        <v>49</v>
      </c>
      <c r="AF1683" t="s">
        <v>50</v>
      </c>
      <c r="AG1683">
        <v>0</v>
      </c>
      <c r="AH1683">
        <v>0</v>
      </c>
      <c r="AI1683" t="s">
        <v>51</v>
      </c>
      <c r="AJ1683" t="s">
        <v>51</v>
      </c>
      <c r="AK1683" t="s">
        <v>51</v>
      </c>
    </row>
    <row r="1684" spans="1:37" x14ac:dyDescent="0.2">
      <c r="A1684">
        <v>59783</v>
      </c>
      <c r="B1684" t="s">
        <v>37</v>
      </c>
      <c r="C1684" t="s">
        <v>38</v>
      </c>
      <c r="D1684" t="s">
        <v>674</v>
      </c>
      <c r="E1684" t="s">
        <v>40</v>
      </c>
      <c r="G1684" s="4">
        <v>43947.008020833333</v>
      </c>
      <c r="H1684" s="4">
        <v>43947.008819444444</v>
      </c>
      <c r="I1684" t="s">
        <v>1480</v>
      </c>
      <c r="J1684" s="5">
        <v>68.99999999999999999999999999999999999999</v>
      </c>
      <c r="K1684" t="s">
        <v>38</v>
      </c>
      <c r="M1684">
        <v>59784</v>
      </c>
      <c r="N1684" t="s">
        <v>705</v>
      </c>
      <c r="O1684" t="s">
        <v>706</v>
      </c>
      <c r="P1684" t="s">
        <v>38</v>
      </c>
      <c r="Q1684" t="s">
        <v>693</v>
      </c>
      <c r="R1684">
        <v>19.99999999999999999999999999999999999996</v>
      </c>
      <c r="S1684" t="s">
        <v>45</v>
      </c>
      <c r="T168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4">
        <v>59785</v>
      </c>
      <c r="V1684" t="s">
        <v>38</v>
      </c>
      <c r="W1684" t="s">
        <v>693</v>
      </c>
      <c r="X1684">
        <v>19.99999999999999999999999999999999999996</v>
      </c>
      <c r="Y1684">
        <v>0</v>
      </c>
      <c r="Z1684" t="s">
        <v>46</v>
      </c>
      <c r="AA1684">
        <v>59823</v>
      </c>
      <c r="AB1684" t="s">
        <v>1596</v>
      </c>
      <c r="AC1684" t="s">
        <v>103</v>
      </c>
      <c r="AD1684" t="s">
        <v>38</v>
      </c>
      <c r="AE1684" t="s">
        <v>49</v>
      </c>
      <c r="AF1684" t="s">
        <v>50</v>
      </c>
      <c r="AG1684">
        <v>0</v>
      </c>
      <c r="AH1684">
        <v>0</v>
      </c>
      <c r="AI1684" t="s">
        <v>51</v>
      </c>
      <c r="AJ1684" t="s">
        <v>51</v>
      </c>
      <c r="AK1684" t="s">
        <v>51</v>
      </c>
    </row>
    <row r="1685" spans="1:37" x14ac:dyDescent="0.2">
      <c r="A1685">
        <v>59783</v>
      </c>
      <c r="B1685" t="s">
        <v>37</v>
      </c>
      <c r="C1685" t="s">
        <v>38</v>
      </c>
      <c r="D1685" t="s">
        <v>674</v>
      </c>
      <c r="E1685" t="s">
        <v>40</v>
      </c>
      <c r="G1685" s="4">
        <v>43947.008020833333</v>
      </c>
      <c r="H1685" s="4">
        <v>43947.008819444444</v>
      </c>
      <c r="I1685" t="s">
        <v>1480</v>
      </c>
      <c r="J1685" s="5">
        <v>68.99999999999999999999999999999999999999</v>
      </c>
      <c r="K1685" t="s">
        <v>38</v>
      </c>
      <c r="M1685">
        <v>59784</v>
      </c>
      <c r="N1685" t="s">
        <v>705</v>
      </c>
      <c r="O1685" t="s">
        <v>706</v>
      </c>
      <c r="P1685" t="s">
        <v>38</v>
      </c>
      <c r="Q1685" t="s">
        <v>693</v>
      </c>
      <c r="R1685">
        <v>19.99999999999999999999999999999999999996</v>
      </c>
      <c r="S1685" t="s">
        <v>45</v>
      </c>
      <c r="T168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5">
        <v>59785</v>
      </c>
      <c r="V1685" t="s">
        <v>38</v>
      </c>
      <c r="W1685" t="s">
        <v>693</v>
      </c>
      <c r="X1685">
        <v>19.99999999999999999999999999999999999996</v>
      </c>
      <c r="Y1685">
        <v>0</v>
      </c>
      <c r="Z1685" t="s">
        <v>46</v>
      </c>
      <c r="AA1685">
        <v>59822</v>
      </c>
      <c r="AB1685" t="s">
        <v>1597</v>
      </c>
      <c r="AC1685" t="s">
        <v>103</v>
      </c>
      <c r="AD1685" t="s">
        <v>38</v>
      </c>
      <c r="AE1685" t="s">
        <v>49</v>
      </c>
      <c r="AF1685" t="s">
        <v>50</v>
      </c>
      <c r="AG1685">
        <v>0</v>
      </c>
      <c r="AH1685">
        <v>0</v>
      </c>
      <c r="AI1685" t="s">
        <v>51</v>
      </c>
      <c r="AJ1685" t="s">
        <v>51</v>
      </c>
      <c r="AK1685" t="s">
        <v>51</v>
      </c>
    </row>
    <row r="1686" spans="1:37" x14ac:dyDescent="0.2">
      <c r="A1686">
        <v>59783</v>
      </c>
      <c r="B1686" t="s">
        <v>37</v>
      </c>
      <c r="C1686" t="s">
        <v>38</v>
      </c>
      <c r="D1686" t="s">
        <v>674</v>
      </c>
      <c r="E1686" t="s">
        <v>40</v>
      </c>
      <c r="G1686" s="4">
        <v>43947.008020833333</v>
      </c>
      <c r="H1686" s="4">
        <v>43947.008819444444</v>
      </c>
      <c r="I1686" t="s">
        <v>1480</v>
      </c>
      <c r="J1686" s="5">
        <v>68.99999999999999999999999999999999999999</v>
      </c>
      <c r="K1686" t="s">
        <v>38</v>
      </c>
      <c r="M1686">
        <v>59784</v>
      </c>
      <c r="N1686" t="s">
        <v>705</v>
      </c>
      <c r="O1686" t="s">
        <v>706</v>
      </c>
      <c r="P1686" t="s">
        <v>38</v>
      </c>
      <c r="Q1686" t="s">
        <v>693</v>
      </c>
      <c r="R1686">
        <v>19.99999999999999999999999999999999999996</v>
      </c>
      <c r="S1686" t="s">
        <v>45</v>
      </c>
      <c r="T168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6">
        <v>59785</v>
      </c>
      <c r="V1686" t="s">
        <v>38</v>
      </c>
      <c r="W1686" t="s">
        <v>693</v>
      </c>
      <c r="X1686">
        <v>19.99999999999999999999999999999999999996</v>
      </c>
      <c r="Y1686">
        <v>0</v>
      </c>
      <c r="Z1686" t="s">
        <v>46</v>
      </c>
      <c r="AA1686">
        <v>59821</v>
      </c>
      <c r="AB1686" t="s">
        <v>1598</v>
      </c>
      <c r="AC1686" t="s">
        <v>103</v>
      </c>
      <c r="AD1686" t="s">
        <v>38</v>
      </c>
      <c r="AE1686" t="s">
        <v>49</v>
      </c>
      <c r="AF1686" t="s">
        <v>50</v>
      </c>
      <c r="AG1686">
        <v>0</v>
      </c>
      <c r="AH1686">
        <v>0</v>
      </c>
      <c r="AI1686" t="s">
        <v>51</v>
      </c>
      <c r="AJ1686" t="s">
        <v>51</v>
      </c>
      <c r="AK1686" t="s">
        <v>51</v>
      </c>
    </row>
    <row r="1687" spans="1:37" x14ac:dyDescent="0.2">
      <c r="A1687">
        <v>59783</v>
      </c>
      <c r="B1687" t="s">
        <v>37</v>
      </c>
      <c r="C1687" t="s">
        <v>38</v>
      </c>
      <c r="D1687" t="s">
        <v>674</v>
      </c>
      <c r="E1687" t="s">
        <v>40</v>
      </c>
      <c r="G1687" s="4">
        <v>43947.008020833333</v>
      </c>
      <c r="H1687" s="4">
        <v>43947.008819444444</v>
      </c>
      <c r="I1687" t="s">
        <v>1480</v>
      </c>
      <c r="J1687" s="5">
        <v>68.99999999999999999999999999999999999999</v>
      </c>
      <c r="K1687" t="s">
        <v>38</v>
      </c>
      <c r="M1687">
        <v>59784</v>
      </c>
      <c r="N1687" t="s">
        <v>705</v>
      </c>
      <c r="O1687" t="s">
        <v>706</v>
      </c>
      <c r="P1687" t="s">
        <v>38</v>
      </c>
      <c r="Q1687" t="s">
        <v>693</v>
      </c>
      <c r="R1687">
        <v>19.99999999999999999999999999999999999996</v>
      </c>
      <c r="S1687" t="s">
        <v>45</v>
      </c>
      <c r="T168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7">
        <v>59785</v>
      </c>
      <c r="V1687" t="s">
        <v>38</v>
      </c>
      <c r="W1687" t="s">
        <v>693</v>
      </c>
      <c r="X1687">
        <v>19.99999999999999999999999999999999999996</v>
      </c>
      <c r="Y1687">
        <v>0</v>
      </c>
      <c r="Z1687" t="s">
        <v>46</v>
      </c>
      <c r="AA1687">
        <v>59820</v>
      </c>
      <c r="AB1687" t="s">
        <v>1599</v>
      </c>
      <c r="AC1687" t="s">
        <v>103</v>
      </c>
      <c r="AD1687" t="s">
        <v>38</v>
      </c>
      <c r="AE1687" t="s">
        <v>49</v>
      </c>
      <c r="AF1687" t="s">
        <v>50</v>
      </c>
      <c r="AG1687">
        <v>0</v>
      </c>
      <c r="AH1687">
        <v>0</v>
      </c>
      <c r="AI1687" t="s">
        <v>51</v>
      </c>
      <c r="AJ1687" t="s">
        <v>51</v>
      </c>
      <c r="AK1687" t="s">
        <v>51</v>
      </c>
    </row>
    <row r="1688" spans="1:37" x14ac:dyDescent="0.2">
      <c r="A1688">
        <v>59783</v>
      </c>
      <c r="B1688" t="s">
        <v>37</v>
      </c>
      <c r="C1688" t="s">
        <v>38</v>
      </c>
      <c r="D1688" t="s">
        <v>674</v>
      </c>
      <c r="E1688" t="s">
        <v>40</v>
      </c>
      <c r="G1688" s="4">
        <v>43947.008020833333</v>
      </c>
      <c r="H1688" s="4">
        <v>43947.008819444444</v>
      </c>
      <c r="I1688" t="s">
        <v>1480</v>
      </c>
      <c r="J1688" s="5">
        <v>68.99999999999999999999999999999999999999</v>
      </c>
      <c r="K1688" t="s">
        <v>38</v>
      </c>
      <c r="M1688">
        <v>59784</v>
      </c>
      <c r="N1688" t="s">
        <v>705</v>
      </c>
      <c r="O1688" t="s">
        <v>706</v>
      </c>
      <c r="P1688" t="s">
        <v>38</v>
      </c>
      <c r="Q1688" t="s">
        <v>693</v>
      </c>
      <c r="R1688">
        <v>19.99999999999999999999999999999999999996</v>
      </c>
      <c r="S1688" t="s">
        <v>45</v>
      </c>
      <c r="T168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8">
        <v>59785</v>
      </c>
      <c r="V1688" t="s">
        <v>38</v>
      </c>
      <c r="W1688" t="s">
        <v>693</v>
      </c>
      <c r="X1688">
        <v>19.99999999999999999999999999999999999996</v>
      </c>
      <c r="Y1688">
        <v>0</v>
      </c>
      <c r="Z1688" t="s">
        <v>46</v>
      </c>
      <c r="AA1688">
        <v>59819</v>
      </c>
      <c r="AB1688" t="s">
        <v>1600</v>
      </c>
      <c r="AC1688" t="s">
        <v>103</v>
      </c>
      <c r="AD1688" t="s">
        <v>38</v>
      </c>
      <c r="AE1688" t="s">
        <v>49</v>
      </c>
      <c r="AF1688" t="s">
        <v>50</v>
      </c>
      <c r="AG1688">
        <v>0</v>
      </c>
      <c r="AH1688">
        <v>0</v>
      </c>
      <c r="AI1688" t="s">
        <v>51</v>
      </c>
      <c r="AJ1688" t="s">
        <v>51</v>
      </c>
      <c r="AK1688" t="s">
        <v>51</v>
      </c>
    </row>
    <row r="1689" spans="1:37" x14ac:dyDescent="0.2">
      <c r="A1689">
        <v>59783</v>
      </c>
      <c r="B1689" t="s">
        <v>37</v>
      </c>
      <c r="C1689" t="s">
        <v>38</v>
      </c>
      <c r="D1689" t="s">
        <v>674</v>
      </c>
      <c r="E1689" t="s">
        <v>40</v>
      </c>
      <c r="G1689" s="4">
        <v>43947.008020833333</v>
      </c>
      <c r="H1689" s="4">
        <v>43947.008819444444</v>
      </c>
      <c r="I1689" t="s">
        <v>1480</v>
      </c>
      <c r="J1689" s="5">
        <v>68.99999999999999999999999999999999999999</v>
      </c>
      <c r="K1689" t="s">
        <v>38</v>
      </c>
      <c r="M1689">
        <v>59784</v>
      </c>
      <c r="N1689" t="s">
        <v>705</v>
      </c>
      <c r="O1689" t="s">
        <v>706</v>
      </c>
      <c r="P1689" t="s">
        <v>38</v>
      </c>
      <c r="Q1689" t="s">
        <v>693</v>
      </c>
      <c r="R1689">
        <v>19.99999999999999999999999999999999999996</v>
      </c>
      <c r="S1689" t="s">
        <v>45</v>
      </c>
      <c r="T168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89">
        <v>59785</v>
      </c>
      <c r="V1689" t="s">
        <v>38</v>
      </c>
      <c r="W1689" t="s">
        <v>693</v>
      </c>
      <c r="X1689">
        <v>19.99999999999999999999999999999999999996</v>
      </c>
      <c r="Y1689">
        <v>0</v>
      </c>
      <c r="Z1689" t="s">
        <v>46</v>
      </c>
      <c r="AA1689">
        <v>59818</v>
      </c>
      <c r="AB1689" t="s">
        <v>1601</v>
      </c>
      <c r="AC1689" t="s">
        <v>103</v>
      </c>
      <c r="AD1689" t="s">
        <v>38</v>
      </c>
      <c r="AE1689" t="s">
        <v>49</v>
      </c>
      <c r="AF1689" t="s">
        <v>50</v>
      </c>
      <c r="AG1689">
        <v>0</v>
      </c>
      <c r="AH1689">
        <v>0</v>
      </c>
      <c r="AI1689" t="s">
        <v>51</v>
      </c>
      <c r="AJ1689" t="s">
        <v>51</v>
      </c>
      <c r="AK1689" t="s">
        <v>51</v>
      </c>
    </row>
    <row r="1690" spans="1:37" x14ac:dyDescent="0.2">
      <c r="A1690">
        <v>59783</v>
      </c>
      <c r="B1690" t="s">
        <v>37</v>
      </c>
      <c r="C1690" t="s">
        <v>38</v>
      </c>
      <c r="D1690" t="s">
        <v>674</v>
      </c>
      <c r="E1690" t="s">
        <v>40</v>
      </c>
      <c r="G1690" s="4">
        <v>43947.008020833333</v>
      </c>
      <c r="H1690" s="4">
        <v>43947.008819444444</v>
      </c>
      <c r="I1690" t="s">
        <v>1480</v>
      </c>
      <c r="J1690" s="5">
        <v>68.99999999999999999999999999999999999999</v>
      </c>
      <c r="K1690" t="s">
        <v>38</v>
      </c>
      <c r="M1690">
        <v>59784</v>
      </c>
      <c r="N1690" t="s">
        <v>705</v>
      </c>
      <c r="O1690" t="s">
        <v>706</v>
      </c>
      <c r="P1690" t="s">
        <v>38</v>
      </c>
      <c r="Q1690" t="s">
        <v>693</v>
      </c>
      <c r="R1690">
        <v>19.99999999999999999999999999999999999996</v>
      </c>
      <c r="S1690" t="s">
        <v>45</v>
      </c>
      <c r="T169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0">
        <v>59785</v>
      </c>
      <c r="V1690" t="s">
        <v>38</v>
      </c>
      <c r="W1690" t="s">
        <v>693</v>
      </c>
      <c r="X1690">
        <v>19.99999999999999999999999999999999999996</v>
      </c>
      <c r="Y1690">
        <v>0</v>
      </c>
      <c r="Z1690" t="s">
        <v>46</v>
      </c>
      <c r="AA1690">
        <v>59817</v>
      </c>
      <c r="AB1690" t="s">
        <v>1602</v>
      </c>
      <c r="AC1690" t="s">
        <v>103</v>
      </c>
      <c r="AD1690" t="s">
        <v>38</v>
      </c>
      <c r="AE1690" t="s">
        <v>49</v>
      </c>
      <c r="AF1690" t="s">
        <v>50</v>
      </c>
      <c r="AG1690">
        <v>0</v>
      </c>
      <c r="AH1690">
        <v>0</v>
      </c>
      <c r="AI1690" t="s">
        <v>51</v>
      </c>
      <c r="AJ1690" t="s">
        <v>51</v>
      </c>
      <c r="AK1690" t="s">
        <v>51</v>
      </c>
    </row>
    <row r="1691" spans="1:37" x14ac:dyDescent="0.2">
      <c r="A1691">
        <v>59783</v>
      </c>
      <c r="B1691" t="s">
        <v>37</v>
      </c>
      <c r="C1691" t="s">
        <v>38</v>
      </c>
      <c r="D1691" t="s">
        <v>674</v>
      </c>
      <c r="E1691" t="s">
        <v>40</v>
      </c>
      <c r="G1691" s="4">
        <v>43947.008020833333</v>
      </c>
      <c r="H1691" s="4">
        <v>43947.008819444444</v>
      </c>
      <c r="I1691" t="s">
        <v>1480</v>
      </c>
      <c r="J1691" s="5">
        <v>68.99999999999999999999999999999999999999</v>
      </c>
      <c r="K1691" t="s">
        <v>38</v>
      </c>
      <c r="M1691">
        <v>59784</v>
      </c>
      <c r="N1691" t="s">
        <v>705</v>
      </c>
      <c r="O1691" t="s">
        <v>706</v>
      </c>
      <c r="P1691" t="s">
        <v>38</v>
      </c>
      <c r="Q1691" t="s">
        <v>693</v>
      </c>
      <c r="R1691">
        <v>19.99999999999999999999999999999999999996</v>
      </c>
      <c r="S1691" t="s">
        <v>45</v>
      </c>
      <c r="T169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1">
        <v>59785</v>
      </c>
      <c r="V1691" t="s">
        <v>38</v>
      </c>
      <c r="W1691" t="s">
        <v>693</v>
      </c>
      <c r="X1691">
        <v>19.99999999999999999999999999999999999996</v>
      </c>
      <c r="Y1691">
        <v>0</v>
      </c>
      <c r="Z1691" t="s">
        <v>46</v>
      </c>
      <c r="AA1691">
        <v>59816</v>
      </c>
      <c r="AB1691" t="s">
        <v>1603</v>
      </c>
      <c r="AC1691" t="s">
        <v>103</v>
      </c>
      <c r="AD1691" t="s">
        <v>38</v>
      </c>
      <c r="AE1691" t="s">
        <v>49</v>
      </c>
      <c r="AF1691" t="s">
        <v>50</v>
      </c>
      <c r="AG1691">
        <v>0</v>
      </c>
      <c r="AH1691">
        <v>0</v>
      </c>
      <c r="AI1691" t="s">
        <v>51</v>
      </c>
      <c r="AJ1691" t="s">
        <v>51</v>
      </c>
      <c r="AK1691" t="s">
        <v>51</v>
      </c>
    </row>
    <row r="1692" spans="1:37" x14ac:dyDescent="0.2">
      <c r="A1692">
        <v>59783</v>
      </c>
      <c r="B1692" t="s">
        <v>37</v>
      </c>
      <c r="C1692" t="s">
        <v>38</v>
      </c>
      <c r="D1692" t="s">
        <v>674</v>
      </c>
      <c r="E1692" t="s">
        <v>40</v>
      </c>
      <c r="G1692" s="4">
        <v>43947.008020833333</v>
      </c>
      <c r="H1692" s="4">
        <v>43947.008819444444</v>
      </c>
      <c r="I1692" t="s">
        <v>1480</v>
      </c>
      <c r="J1692" s="5">
        <v>68.99999999999999999999999999999999999999</v>
      </c>
      <c r="K1692" t="s">
        <v>38</v>
      </c>
      <c r="M1692">
        <v>59784</v>
      </c>
      <c r="N1692" t="s">
        <v>705</v>
      </c>
      <c r="O1692" t="s">
        <v>706</v>
      </c>
      <c r="P1692" t="s">
        <v>38</v>
      </c>
      <c r="Q1692" t="s">
        <v>693</v>
      </c>
      <c r="R1692">
        <v>19.99999999999999999999999999999999999996</v>
      </c>
      <c r="S1692" t="s">
        <v>45</v>
      </c>
      <c r="T169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2">
        <v>59785</v>
      </c>
      <c r="V1692" t="s">
        <v>38</v>
      </c>
      <c r="W1692" t="s">
        <v>693</v>
      </c>
      <c r="X1692">
        <v>19.99999999999999999999999999999999999996</v>
      </c>
      <c r="Y1692">
        <v>0</v>
      </c>
      <c r="Z1692" t="s">
        <v>46</v>
      </c>
      <c r="AA1692">
        <v>59815</v>
      </c>
      <c r="AB1692" t="s">
        <v>1604</v>
      </c>
      <c r="AC1692" t="s">
        <v>103</v>
      </c>
      <c r="AD1692" t="s">
        <v>38</v>
      </c>
      <c r="AE1692" t="s">
        <v>49</v>
      </c>
      <c r="AF1692" t="s">
        <v>50</v>
      </c>
      <c r="AG1692">
        <v>0</v>
      </c>
      <c r="AH1692">
        <v>0</v>
      </c>
      <c r="AI1692" t="s">
        <v>51</v>
      </c>
      <c r="AJ1692" t="s">
        <v>51</v>
      </c>
      <c r="AK1692" t="s">
        <v>51</v>
      </c>
    </row>
    <row r="1693" spans="1:37" x14ac:dyDescent="0.2">
      <c r="A1693">
        <v>59783</v>
      </c>
      <c r="B1693" t="s">
        <v>37</v>
      </c>
      <c r="C1693" t="s">
        <v>38</v>
      </c>
      <c r="D1693" t="s">
        <v>674</v>
      </c>
      <c r="E1693" t="s">
        <v>40</v>
      </c>
      <c r="G1693" s="4">
        <v>43947.008020833333</v>
      </c>
      <c r="H1693" s="4">
        <v>43947.008819444444</v>
      </c>
      <c r="I1693" t="s">
        <v>1480</v>
      </c>
      <c r="J1693" s="5">
        <v>68.99999999999999999999999999999999999999</v>
      </c>
      <c r="K1693" t="s">
        <v>38</v>
      </c>
      <c r="M1693">
        <v>59784</v>
      </c>
      <c r="N1693" t="s">
        <v>705</v>
      </c>
      <c r="O1693" t="s">
        <v>706</v>
      </c>
      <c r="P1693" t="s">
        <v>38</v>
      </c>
      <c r="Q1693" t="s">
        <v>693</v>
      </c>
      <c r="R1693">
        <v>19.99999999999999999999999999999999999996</v>
      </c>
      <c r="S1693" t="s">
        <v>45</v>
      </c>
      <c r="T169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3">
        <v>59785</v>
      </c>
      <c r="V1693" t="s">
        <v>38</v>
      </c>
      <c r="W1693" t="s">
        <v>693</v>
      </c>
      <c r="X1693">
        <v>19.99999999999999999999999999999999999996</v>
      </c>
      <c r="Y1693">
        <v>0</v>
      </c>
      <c r="Z1693" t="s">
        <v>46</v>
      </c>
      <c r="AA1693">
        <v>59814</v>
      </c>
      <c r="AB1693" t="s">
        <v>1605</v>
      </c>
      <c r="AC1693" t="s">
        <v>103</v>
      </c>
      <c r="AD1693" t="s">
        <v>38</v>
      </c>
      <c r="AE1693" t="s">
        <v>49</v>
      </c>
      <c r="AF1693" t="s">
        <v>50</v>
      </c>
      <c r="AG1693">
        <v>0</v>
      </c>
      <c r="AH1693">
        <v>0</v>
      </c>
      <c r="AI1693" t="s">
        <v>51</v>
      </c>
      <c r="AJ1693" t="s">
        <v>51</v>
      </c>
      <c r="AK1693" t="s">
        <v>51</v>
      </c>
    </row>
    <row r="1694" spans="1:37" x14ac:dyDescent="0.2">
      <c r="A1694">
        <v>59783</v>
      </c>
      <c r="B1694" t="s">
        <v>37</v>
      </c>
      <c r="C1694" t="s">
        <v>38</v>
      </c>
      <c r="D1694" t="s">
        <v>674</v>
      </c>
      <c r="E1694" t="s">
        <v>40</v>
      </c>
      <c r="G1694" s="4">
        <v>43947.008020833333</v>
      </c>
      <c r="H1694" s="4">
        <v>43947.008819444444</v>
      </c>
      <c r="I1694" t="s">
        <v>1480</v>
      </c>
      <c r="J1694" s="5">
        <v>68.99999999999999999999999999999999999999</v>
      </c>
      <c r="K1694" t="s">
        <v>38</v>
      </c>
      <c r="M1694">
        <v>59784</v>
      </c>
      <c r="N1694" t="s">
        <v>705</v>
      </c>
      <c r="O1694" t="s">
        <v>706</v>
      </c>
      <c r="P1694" t="s">
        <v>38</v>
      </c>
      <c r="Q1694" t="s">
        <v>693</v>
      </c>
      <c r="R1694">
        <v>19.99999999999999999999999999999999999996</v>
      </c>
      <c r="S1694" t="s">
        <v>45</v>
      </c>
      <c r="T169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4">
        <v>59785</v>
      </c>
      <c r="V1694" t="s">
        <v>38</v>
      </c>
      <c r="W1694" t="s">
        <v>693</v>
      </c>
      <c r="X1694">
        <v>19.99999999999999999999999999999999999996</v>
      </c>
      <c r="Y1694">
        <v>0</v>
      </c>
      <c r="Z1694" t="s">
        <v>46</v>
      </c>
      <c r="AA1694">
        <v>59813</v>
      </c>
      <c r="AB1694" t="s">
        <v>1606</v>
      </c>
      <c r="AC1694" t="s">
        <v>103</v>
      </c>
      <c r="AD1694" t="s">
        <v>38</v>
      </c>
      <c r="AE1694" t="s">
        <v>49</v>
      </c>
      <c r="AF1694" t="s">
        <v>50</v>
      </c>
      <c r="AG1694">
        <v>0</v>
      </c>
      <c r="AH1694">
        <v>0</v>
      </c>
      <c r="AI1694" t="s">
        <v>51</v>
      </c>
      <c r="AJ1694" t="s">
        <v>51</v>
      </c>
      <c r="AK1694" t="s">
        <v>51</v>
      </c>
    </row>
    <row r="1695" spans="1:37" x14ac:dyDescent="0.2">
      <c r="A1695">
        <v>59783</v>
      </c>
      <c r="B1695" t="s">
        <v>37</v>
      </c>
      <c r="C1695" t="s">
        <v>38</v>
      </c>
      <c r="D1695" t="s">
        <v>674</v>
      </c>
      <c r="E1695" t="s">
        <v>40</v>
      </c>
      <c r="G1695" s="4">
        <v>43947.008020833333</v>
      </c>
      <c r="H1695" s="4">
        <v>43947.008819444444</v>
      </c>
      <c r="I1695" t="s">
        <v>1480</v>
      </c>
      <c r="J1695" s="5">
        <v>68.99999999999999999999999999999999999999</v>
      </c>
      <c r="K1695" t="s">
        <v>38</v>
      </c>
      <c r="M1695">
        <v>59784</v>
      </c>
      <c r="N1695" t="s">
        <v>705</v>
      </c>
      <c r="O1695" t="s">
        <v>706</v>
      </c>
      <c r="P1695" t="s">
        <v>38</v>
      </c>
      <c r="Q1695" t="s">
        <v>693</v>
      </c>
      <c r="R1695">
        <v>19.99999999999999999999999999999999999996</v>
      </c>
      <c r="S1695" t="s">
        <v>45</v>
      </c>
      <c r="T169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5">
        <v>59785</v>
      </c>
      <c r="V1695" t="s">
        <v>38</v>
      </c>
      <c r="W1695" t="s">
        <v>693</v>
      </c>
      <c r="X1695">
        <v>19.99999999999999999999999999999999999996</v>
      </c>
      <c r="Y1695">
        <v>0</v>
      </c>
      <c r="Z1695" t="s">
        <v>46</v>
      </c>
      <c r="AA1695">
        <v>59812</v>
      </c>
      <c r="AB1695" t="s">
        <v>1607</v>
      </c>
      <c r="AC1695" t="s">
        <v>103</v>
      </c>
      <c r="AD1695" t="s">
        <v>38</v>
      </c>
      <c r="AE1695" t="s">
        <v>49</v>
      </c>
      <c r="AF1695" t="s">
        <v>50</v>
      </c>
      <c r="AG1695">
        <v>0</v>
      </c>
      <c r="AH1695">
        <v>0</v>
      </c>
      <c r="AI1695" t="s">
        <v>51</v>
      </c>
      <c r="AJ1695" t="s">
        <v>51</v>
      </c>
      <c r="AK1695" t="s">
        <v>51</v>
      </c>
    </row>
    <row r="1696" spans="1:37" x14ac:dyDescent="0.2">
      <c r="A1696">
        <v>59783</v>
      </c>
      <c r="B1696" t="s">
        <v>37</v>
      </c>
      <c r="C1696" t="s">
        <v>38</v>
      </c>
      <c r="D1696" t="s">
        <v>674</v>
      </c>
      <c r="E1696" t="s">
        <v>40</v>
      </c>
      <c r="G1696" s="4">
        <v>43947.008020833333</v>
      </c>
      <c r="H1696" s="4">
        <v>43947.008819444444</v>
      </c>
      <c r="I1696" t="s">
        <v>1480</v>
      </c>
      <c r="J1696" s="5">
        <v>68.99999999999999999999999999999999999999</v>
      </c>
      <c r="K1696" t="s">
        <v>38</v>
      </c>
      <c r="M1696">
        <v>59784</v>
      </c>
      <c r="N1696" t="s">
        <v>705</v>
      </c>
      <c r="O1696" t="s">
        <v>706</v>
      </c>
      <c r="P1696" t="s">
        <v>38</v>
      </c>
      <c r="Q1696" t="s">
        <v>693</v>
      </c>
      <c r="R1696">
        <v>19.99999999999999999999999999999999999996</v>
      </c>
      <c r="S1696" t="s">
        <v>45</v>
      </c>
      <c r="T169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6">
        <v>59785</v>
      </c>
      <c r="V1696" t="s">
        <v>38</v>
      </c>
      <c r="W1696" t="s">
        <v>693</v>
      </c>
      <c r="X1696">
        <v>19.99999999999999999999999999999999999996</v>
      </c>
      <c r="Y1696">
        <v>0</v>
      </c>
      <c r="Z1696" t="s">
        <v>46</v>
      </c>
      <c r="AA1696">
        <v>59811</v>
      </c>
      <c r="AB1696" t="s">
        <v>1608</v>
      </c>
      <c r="AC1696" t="s">
        <v>103</v>
      </c>
      <c r="AD1696" t="s">
        <v>38</v>
      </c>
      <c r="AE1696" t="s">
        <v>49</v>
      </c>
      <c r="AF1696" t="s">
        <v>50</v>
      </c>
      <c r="AG1696">
        <v>0</v>
      </c>
      <c r="AH1696">
        <v>0</v>
      </c>
      <c r="AI1696" t="s">
        <v>51</v>
      </c>
      <c r="AJ1696" t="s">
        <v>51</v>
      </c>
      <c r="AK1696" t="s">
        <v>51</v>
      </c>
    </row>
    <row r="1697" spans="1:37" x14ac:dyDescent="0.2">
      <c r="A1697">
        <v>59783</v>
      </c>
      <c r="B1697" t="s">
        <v>37</v>
      </c>
      <c r="C1697" t="s">
        <v>38</v>
      </c>
      <c r="D1697" t="s">
        <v>674</v>
      </c>
      <c r="E1697" t="s">
        <v>40</v>
      </c>
      <c r="G1697" s="4">
        <v>43947.008020833333</v>
      </c>
      <c r="H1697" s="4">
        <v>43947.008819444444</v>
      </c>
      <c r="I1697" t="s">
        <v>1480</v>
      </c>
      <c r="J1697" s="5">
        <v>68.99999999999999999999999999999999999999</v>
      </c>
      <c r="K1697" t="s">
        <v>38</v>
      </c>
      <c r="M1697">
        <v>59784</v>
      </c>
      <c r="N1697" t="s">
        <v>705</v>
      </c>
      <c r="O1697" t="s">
        <v>706</v>
      </c>
      <c r="P1697" t="s">
        <v>38</v>
      </c>
      <c r="Q1697" t="s">
        <v>693</v>
      </c>
      <c r="R1697">
        <v>19.99999999999999999999999999999999999996</v>
      </c>
      <c r="S1697" t="s">
        <v>45</v>
      </c>
      <c r="T169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7">
        <v>59785</v>
      </c>
      <c r="V1697" t="s">
        <v>38</v>
      </c>
      <c r="W1697" t="s">
        <v>693</v>
      </c>
      <c r="X1697">
        <v>19.99999999999999999999999999999999999996</v>
      </c>
      <c r="Y1697">
        <v>0</v>
      </c>
      <c r="Z1697" t="s">
        <v>46</v>
      </c>
      <c r="AA1697">
        <v>59810</v>
      </c>
      <c r="AB1697" t="s">
        <v>1609</v>
      </c>
      <c r="AC1697" t="s">
        <v>103</v>
      </c>
      <c r="AD1697" t="s">
        <v>38</v>
      </c>
      <c r="AE1697" t="s">
        <v>49</v>
      </c>
      <c r="AF1697" t="s">
        <v>50</v>
      </c>
      <c r="AG1697">
        <v>0</v>
      </c>
      <c r="AH1697">
        <v>0</v>
      </c>
      <c r="AI1697" t="s">
        <v>51</v>
      </c>
      <c r="AJ1697" t="s">
        <v>51</v>
      </c>
      <c r="AK1697" t="s">
        <v>51</v>
      </c>
    </row>
    <row r="1698" spans="1:37" x14ac:dyDescent="0.2">
      <c r="A1698">
        <v>59783</v>
      </c>
      <c r="B1698" t="s">
        <v>37</v>
      </c>
      <c r="C1698" t="s">
        <v>38</v>
      </c>
      <c r="D1698" t="s">
        <v>674</v>
      </c>
      <c r="E1698" t="s">
        <v>40</v>
      </c>
      <c r="G1698" s="4">
        <v>43947.008020833333</v>
      </c>
      <c r="H1698" s="4">
        <v>43947.008819444444</v>
      </c>
      <c r="I1698" t="s">
        <v>1480</v>
      </c>
      <c r="J1698" s="5">
        <v>68.99999999999999999999999999999999999999</v>
      </c>
      <c r="K1698" t="s">
        <v>38</v>
      </c>
      <c r="M1698">
        <v>59784</v>
      </c>
      <c r="N1698" t="s">
        <v>705</v>
      </c>
      <c r="O1698" t="s">
        <v>706</v>
      </c>
      <c r="P1698" t="s">
        <v>38</v>
      </c>
      <c r="Q1698" t="s">
        <v>693</v>
      </c>
      <c r="R1698">
        <v>19.99999999999999999999999999999999999996</v>
      </c>
      <c r="S1698" t="s">
        <v>45</v>
      </c>
      <c r="T169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8">
        <v>59785</v>
      </c>
      <c r="V1698" t="s">
        <v>38</v>
      </c>
      <c r="W1698" t="s">
        <v>693</v>
      </c>
      <c r="X1698">
        <v>19.99999999999999999999999999999999999996</v>
      </c>
      <c r="Y1698">
        <v>0</v>
      </c>
      <c r="Z1698" t="s">
        <v>46</v>
      </c>
      <c r="AA1698">
        <v>59809</v>
      </c>
      <c r="AB1698" t="s">
        <v>1610</v>
      </c>
      <c r="AC1698" t="s">
        <v>103</v>
      </c>
      <c r="AD1698" t="s">
        <v>38</v>
      </c>
      <c r="AE1698" t="s">
        <v>49</v>
      </c>
      <c r="AF1698" t="s">
        <v>50</v>
      </c>
      <c r="AG1698">
        <v>0</v>
      </c>
      <c r="AH1698">
        <v>0</v>
      </c>
      <c r="AI1698" t="s">
        <v>51</v>
      </c>
      <c r="AJ1698" t="s">
        <v>51</v>
      </c>
      <c r="AK1698" t="s">
        <v>51</v>
      </c>
    </row>
    <row r="1699" spans="1:37" x14ac:dyDescent="0.2">
      <c r="A1699">
        <v>59783</v>
      </c>
      <c r="B1699" t="s">
        <v>37</v>
      </c>
      <c r="C1699" t="s">
        <v>38</v>
      </c>
      <c r="D1699" t="s">
        <v>674</v>
      </c>
      <c r="E1699" t="s">
        <v>40</v>
      </c>
      <c r="G1699" s="4">
        <v>43947.008020833333</v>
      </c>
      <c r="H1699" s="4">
        <v>43947.008819444444</v>
      </c>
      <c r="I1699" t="s">
        <v>1480</v>
      </c>
      <c r="J1699" s="5">
        <v>68.99999999999999999999999999999999999999</v>
      </c>
      <c r="K1699" t="s">
        <v>38</v>
      </c>
      <c r="M1699">
        <v>59784</v>
      </c>
      <c r="N1699" t="s">
        <v>705</v>
      </c>
      <c r="O1699" t="s">
        <v>706</v>
      </c>
      <c r="P1699" t="s">
        <v>38</v>
      </c>
      <c r="Q1699" t="s">
        <v>693</v>
      </c>
      <c r="R1699">
        <v>19.99999999999999999999999999999999999996</v>
      </c>
      <c r="S1699" t="s">
        <v>45</v>
      </c>
      <c r="T169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699">
        <v>59785</v>
      </c>
      <c r="V1699" t="s">
        <v>38</v>
      </c>
      <c r="W1699" t="s">
        <v>693</v>
      </c>
      <c r="X1699">
        <v>19.99999999999999999999999999999999999996</v>
      </c>
      <c r="Y1699">
        <v>0</v>
      </c>
      <c r="Z1699" t="s">
        <v>46</v>
      </c>
      <c r="AA1699">
        <v>59808</v>
      </c>
      <c r="AB1699" t="s">
        <v>1611</v>
      </c>
      <c r="AC1699" t="s">
        <v>103</v>
      </c>
      <c r="AD1699" t="s">
        <v>38</v>
      </c>
      <c r="AE1699" t="s">
        <v>49</v>
      </c>
      <c r="AF1699" t="s">
        <v>50</v>
      </c>
      <c r="AG1699">
        <v>0</v>
      </c>
      <c r="AH1699">
        <v>0</v>
      </c>
      <c r="AI1699" t="s">
        <v>51</v>
      </c>
      <c r="AJ1699" t="s">
        <v>51</v>
      </c>
      <c r="AK1699" t="s">
        <v>51</v>
      </c>
    </row>
    <row r="1700" spans="1:37" x14ac:dyDescent="0.2">
      <c r="A1700">
        <v>59783</v>
      </c>
      <c r="B1700" t="s">
        <v>37</v>
      </c>
      <c r="C1700" t="s">
        <v>38</v>
      </c>
      <c r="D1700" t="s">
        <v>674</v>
      </c>
      <c r="E1700" t="s">
        <v>40</v>
      </c>
      <c r="G1700" s="4">
        <v>43947.008020833333</v>
      </c>
      <c r="H1700" s="4">
        <v>43947.008819444444</v>
      </c>
      <c r="I1700" t="s">
        <v>1480</v>
      </c>
      <c r="J1700" s="5">
        <v>68.99999999999999999999999999999999999999</v>
      </c>
      <c r="K1700" t="s">
        <v>38</v>
      </c>
      <c r="M1700">
        <v>59784</v>
      </c>
      <c r="N1700" t="s">
        <v>705</v>
      </c>
      <c r="O1700" t="s">
        <v>706</v>
      </c>
      <c r="P1700" t="s">
        <v>38</v>
      </c>
      <c r="Q1700" t="s">
        <v>693</v>
      </c>
      <c r="R1700">
        <v>19.99999999999999999999999999999999999996</v>
      </c>
      <c r="S1700" t="s">
        <v>45</v>
      </c>
      <c r="T170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0">
        <v>59785</v>
      </c>
      <c r="V1700" t="s">
        <v>38</v>
      </c>
      <c r="W1700" t="s">
        <v>693</v>
      </c>
      <c r="X1700">
        <v>19.99999999999999999999999999999999999996</v>
      </c>
      <c r="Y1700">
        <v>0</v>
      </c>
      <c r="Z1700" t="s">
        <v>46</v>
      </c>
      <c r="AA1700">
        <v>59807</v>
      </c>
      <c r="AB1700" t="s">
        <v>1612</v>
      </c>
      <c r="AC1700" t="s">
        <v>103</v>
      </c>
      <c r="AD1700" t="s">
        <v>38</v>
      </c>
      <c r="AE1700" t="s">
        <v>49</v>
      </c>
      <c r="AF1700" t="s">
        <v>50</v>
      </c>
      <c r="AG1700">
        <v>0</v>
      </c>
      <c r="AH1700">
        <v>0</v>
      </c>
      <c r="AI1700" t="s">
        <v>51</v>
      </c>
      <c r="AJ1700" t="s">
        <v>51</v>
      </c>
      <c r="AK1700" t="s">
        <v>51</v>
      </c>
    </row>
    <row r="1701" spans="1:37" x14ac:dyDescent="0.2">
      <c r="A1701">
        <v>59783</v>
      </c>
      <c r="B1701" t="s">
        <v>37</v>
      </c>
      <c r="C1701" t="s">
        <v>38</v>
      </c>
      <c r="D1701" t="s">
        <v>674</v>
      </c>
      <c r="E1701" t="s">
        <v>40</v>
      </c>
      <c r="G1701" s="4">
        <v>43947.008020833333</v>
      </c>
      <c r="H1701" s="4">
        <v>43947.008819444444</v>
      </c>
      <c r="I1701" t="s">
        <v>1480</v>
      </c>
      <c r="J1701" s="5">
        <v>68.99999999999999999999999999999999999999</v>
      </c>
      <c r="K1701" t="s">
        <v>38</v>
      </c>
      <c r="M1701">
        <v>59784</v>
      </c>
      <c r="N1701" t="s">
        <v>705</v>
      </c>
      <c r="O1701" t="s">
        <v>706</v>
      </c>
      <c r="P1701" t="s">
        <v>38</v>
      </c>
      <c r="Q1701" t="s">
        <v>693</v>
      </c>
      <c r="R1701">
        <v>19.99999999999999999999999999999999999996</v>
      </c>
      <c r="S1701" t="s">
        <v>45</v>
      </c>
      <c r="T170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1">
        <v>59785</v>
      </c>
      <c r="V1701" t="s">
        <v>38</v>
      </c>
      <c r="W1701" t="s">
        <v>693</v>
      </c>
      <c r="X1701">
        <v>19.99999999999999999999999999999999999996</v>
      </c>
      <c r="Y1701">
        <v>0</v>
      </c>
      <c r="Z1701" t="s">
        <v>46</v>
      </c>
      <c r="AA1701">
        <v>59806</v>
      </c>
      <c r="AB1701" t="s">
        <v>1613</v>
      </c>
      <c r="AC1701" t="s">
        <v>103</v>
      </c>
      <c r="AD1701" t="s">
        <v>38</v>
      </c>
      <c r="AE1701" t="s">
        <v>49</v>
      </c>
      <c r="AF1701" t="s">
        <v>50</v>
      </c>
      <c r="AG1701">
        <v>0</v>
      </c>
      <c r="AH1701">
        <v>0</v>
      </c>
      <c r="AI1701" t="s">
        <v>51</v>
      </c>
      <c r="AJ1701" t="s">
        <v>51</v>
      </c>
      <c r="AK1701" t="s">
        <v>51</v>
      </c>
    </row>
    <row r="1702" spans="1:37" x14ac:dyDescent="0.2">
      <c r="A1702">
        <v>59783</v>
      </c>
      <c r="B1702" t="s">
        <v>37</v>
      </c>
      <c r="C1702" t="s">
        <v>38</v>
      </c>
      <c r="D1702" t="s">
        <v>674</v>
      </c>
      <c r="E1702" t="s">
        <v>40</v>
      </c>
      <c r="G1702" s="4">
        <v>43947.008020833333</v>
      </c>
      <c r="H1702" s="4">
        <v>43947.008819444444</v>
      </c>
      <c r="I1702" t="s">
        <v>1480</v>
      </c>
      <c r="J1702" s="5">
        <v>68.99999999999999999999999999999999999999</v>
      </c>
      <c r="K1702" t="s">
        <v>38</v>
      </c>
      <c r="M1702">
        <v>59784</v>
      </c>
      <c r="N1702" t="s">
        <v>705</v>
      </c>
      <c r="O1702" t="s">
        <v>706</v>
      </c>
      <c r="P1702" t="s">
        <v>38</v>
      </c>
      <c r="Q1702" t="s">
        <v>693</v>
      </c>
      <c r="R1702">
        <v>19.99999999999999999999999999999999999996</v>
      </c>
      <c r="S1702" t="s">
        <v>45</v>
      </c>
      <c r="T170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2">
        <v>59785</v>
      </c>
      <c r="V1702" t="s">
        <v>38</v>
      </c>
      <c r="W1702" t="s">
        <v>693</v>
      </c>
      <c r="X1702">
        <v>19.99999999999999999999999999999999999996</v>
      </c>
      <c r="Y1702">
        <v>0</v>
      </c>
      <c r="Z1702" t="s">
        <v>46</v>
      </c>
      <c r="AA1702">
        <v>59805</v>
      </c>
      <c r="AB1702" t="s">
        <v>1614</v>
      </c>
      <c r="AC1702" t="s">
        <v>103</v>
      </c>
      <c r="AD1702" t="s">
        <v>38</v>
      </c>
      <c r="AE1702" t="s">
        <v>49</v>
      </c>
      <c r="AF1702" t="s">
        <v>50</v>
      </c>
      <c r="AG1702">
        <v>0</v>
      </c>
      <c r="AH1702">
        <v>0</v>
      </c>
      <c r="AI1702" t="s">
        <v>51</v>
      </c>
      <c r="AJ1702" t="s">
        <v>51</v>
      </c>
      <c r="AK1702" t="s">
        <v>51</v>
      </c>
    </row>
    <row r="1703" spans="1:37" x14ac:dyDescent="0.2">
      <c r="A1703">
        <v>59783</v>
      </c>
      <c r="B1703" t="s">
        <v>37</v>
      </c>
      <c r="C1703" t="s">
        <v>38</v>
      </c>
      <c r="D1703" t="s">
        <v>674</v>
      </c>
      <c r="E1703" t="s">
        <v>40</v>
      </c>
      <c r="G1703" s="4">
        <v>43947.008020833333</v>
      </c>
      <c r="H1703" s="4">
        <v>43947.008819444444</v>
      </c>
      <c r="I1703" t="s">
        <v>1480</v>
      </c>
      <c r="J1703" s="5">
        <v>68.99999999999999999999999999999999999999</v>
      </c>
      <c r="K1703" t="s">
        <v>38</v>
      </c>
      <c r="M1703">
        <v>59784</v>
      </c>
      <c r="N1703" t="s">
        <v>705</v>
      </c>
      <c r="O1703" t="s">
        <v>706</v>
      </c>
      <c r="P1703" t="s">
        <v>38</v>
      </c>
      <c r="Q1703" t="s">
        <v>693</v>
      </c>
      <c r="R1703">
        <v>19.99999999999999999999999999999999999996</v>
      </c>
      <c r="S1703" t="s">
        <v>45</v>
      </c>
      <c r="T170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3">
        <v>59785</v>
      </c>
      <c r="V1703" t="s">
        <v>38</v>
      </c>
      <c r="W1703" t="s">
        <v>693</v>
      </c>
      <c r="X1703">
        <v>19.99999999999999999999999999999999999996</v>
      </c>
      <c r="Y1703">
        <v>0</v>
      </c>
      <c r="Z1703" t="s">
        <v>46</v>
      </c>
      <c r="AA1703">
        <v>59804</v>
      </c>
      <c r="AB1703" t="s">
        <v>1615</v>
      </c>
      <c r="AC1703" t="s">
        <v>103</v>
      </c>
      <c r="AD1703" t="s">
        <v>38</v>
      </c>
      <c r="AE1703" t="s">
        <v>49</v>
      </c>
      <c r="AF1703" t="s">
        <v>50</v>
      </c>
      <c r="AG1703">
        <v>0</v>
      </c>
      <c r="AH1703">
        <v>0</v>
      </c>
      <c r="AI1703" t="s">
        <v>51</v>
      </c>
      <c r="AJ1703" t="s">
        <v>51</v>
      </c>
      <c r="AK1703" t="s">
        <v>51</v>
      </c>
    </row>
    <row r="1704" spans="1:37" x14ac:dyDescent="0.2">
      <c r="A1704">
        <v>59783</v>
      </c>
      <c r="B1704" t="s">
        <v>37</v>
      </c>
      <c r="C1704" t="s">
        <v>38</v>
      </c>
      <c r="D1704" t="s">
        <v>674</v>
      </c>
      <c r="E1704" t="s">
        <v>40</v>
      </c>
      <c r="G1704" s="4">
        <v>43947.008020833333</v>
      </c>
      <c r="H1704" s="4">
        <v>43947.008819444444</v>
      </c>
      <c r="I1704" t="s">
        <v>1480</v>
      </c>
      <c r="J1704" s="5">
        <v>68.99999999999999999999999999999999999999</v>
      </c>
      <c r="K1704" t="s">
        <v>38</v>
      </c>
      <c r="M1704">
        <v>59784</v>
      </c>
      <c r="N1704" t="s">
        <v>705</v>
      </c>
      <c r="O1704" t="s">
        <v>706</v>
      </c>
      <c r="P1704" t="s">
        <v>38</v>
      </c>
      <c r="Q1704" t="s">
        <v>693</v>
      </c>
      <c r="R1704">
        <v>19.99999999999999999999999999999999999996</v>
      </c>
      <c r="S1704" t="s">
        <v>45</v>
      </c>
      <c r="T170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4">
        <v>59785</v>
      </c>
      <c r="V1704" t="s">
        <v>38</v>
      </c>
      <c r="W1704" t="s">
        <v>693</v>
      </c>
      <c r="X1704">
        <v>19.99999999999999999999999999999999999996</v>
      </c>
      <c r="Y1704">
        <v>0</v>
      </c>
      <c r="Z1704" t="s">
        <v>46</v>
      </c>
      <c r="AA1704">
        <v>59803</v>
      </c>
      <c r="AB1704" t="s">
        <v>1616</v>
      </c>
      <c r="AC1704" t="s">
        <v>103</v>
      </c>
      <c r="AD1704" t="s">
        <v>38</v>
      </c>
      <c r="AE1704" t="s">
        <v>49</v>
      </c>
      <c r="AF1704" t="s">
        <v>50</v>
      </c>
      <c r="AG1704">
        <v>0</v>
      </c>
      <c r="AH1704">
        <v>0</v>
      </c>
      <c r="AI1704" t="s">
        <v>51</v>
      </c>
      <c r="AJ1704" t="s">
        <v>51</v>
      </c>
      <c r="AK1704" t="s">
        <v>51</v>
      </c>
    </row>
    <row r="1705" spans="1:37" x14ac:dyDescent="0.2">
      <c r="A1705">
        <v>59783</v>
      </c>
      <c r="B1705" t="s">
        <v>37</v>
      </c>
      <c r="C1705" t="s">
        <v>38</v>
      </c>
      <c r="D1705" t="s">
        <v>674</v>
      </c>
      <c r="E1705" t="s">
        <v>40</v>
      </c>
      <c r="G1705" s="4">
        <v>43947.008020833333</v>
      </c>
      <c r="H1705" s="4">
        <v>43947.008819444444</v>
      </c>
      <c r="I1705" t="s">
        <v>1480</v>
      </c>
      <c r="J1705" s="5">
        <v>68.99999999999999999999999999999999999999</v>
      </c>
      <c r="K1705" t="s">
        <v>38</v>
      </c>
      <c r="M1705">
        <v>59784</v>
      </c>
      <c r="N1705" t="s">
        <v>705</v>
      </c>
      <c r="O1705" t="s">
        <v>706</v>
      </c>
      <c r="P1705" t="s">
        <v>38</v>
      </c>
      <c r="Q1705" t="s">
        <v>693</v>
      </c>
      <c r="R1705">
        <v>19.99999999999999999999999999999999999996</v>
      </c>
      <c r="S1705" t="s">
        <v>45</v>
      </c>
      <c r="T170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5">
        <v>59785</v>
      </c>
      <c r="V1705" t="s">
        <v>38</v>
      </c>
      <c r="W1705" t="s">
        <v>693</v>
      </c>
      <c r="X1705">
        <v>19.99999999999999999999999999999999999996</v>
      </c>
      <c r="Y1705">
        <v>0</v>
      </c>
      <c r="Z1705" t="s">
        <v>46</v>
      </c>
      <c r="AA1705">
        <v>59802</v>
      </c>
      <c r="AB1705" t="s">
        <v>1617</v>
      </c>
      <c r="AC1705" t="s">
        <v>103</v>
      </c>
      <c r="AD1705" t="s">
        <v>38</v>
      </c>
      <c r="AE1705" t="s">
        <v>49</v>
      </c>
      <c r="AF1705" t="s">
        <v>50</v>
      </c>
      <c r="AG1705">
        <v>0</v>
      </c>
      <c r="AH1705">
        <v>0</v>
      </c>
      <c r="AI1705" t="s">
        <v>51</v>
      </c>
      <c r="AJ1705" t="s">
        <v>51</v>
      </c>
      <c r="AK1705" t="s">
        <v>51</v>
      </c>
    </row>
    <row r="1706" spans="1:37" x14ac:dyDescent="0.2">
      <c r="A1706">
        <v>59783</v>
      </c>
      <c r="B1706" t="s">
        <v>37</v>
      </c>
      <c r="C1706" t="s">
        <v>38</v>
      </c>
      <c r="D1706" t="s">
        <v>674</v>
      </c>
      <c r="E1706" t="s">
        <v>40</v>
      </c>
      <c r="G1706" s="4">
        <v>43947.008020833333</v>
      </c>
      <c r="H1706" s="4">
        <v>43947.008819444444</v>
      </c>
      <c r="I1706" t="s">
        <v>1480</v>
      </c>
      <c r="J1706" s="5">
        <v>68.99999999999999999999999999999999999999</v>
      </c>
      <c r="K1706" t="s">
        <v>38</v>
      </c>
      <c r="M1706">
        <v>59784</v>
      </c>
      <c r="N1706" t="s">
        <v>705</v>
      </c>
      <c r="O1706" t="s">
        <v>706</v>
      </c>
      <c r="P1706" t="s">
        <v>38</v>
      </c>
      <c r="Q1706" t="s">
        <v>693</v>
      </c>
      <c r="R1706">
        <v>19.99999999999999999999999999999999999996</v>
      </c>
      <c r="S1706" t="s">
        <v>45</v>
      </c>
      <c r="T170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6">
        <v>59785</v>
      </c>
      <c r="V1706" t="s">
        <v>38</v>
      </c>
      <c r="W1706" t="s">
        <v>693</v>
      </c>
      <c r="X1706">
        <v>19.99999999999999999999999999999999999996</v>
      </c>
      <c r="Y1706">
        <v>0</v>
      </c>
      <c r="Z1706" t="s">
        <v>46</v>
      </c>
      <c r="AA1706">
        <v>59801</v>
      </c>
      <c r="AB1706" t="s">
        <v>1618</v>
      </c>
      <c r="AC1706" t="s">
        <v>103</v>
      </c>
      <c r="AD1706" t="s">
        <v>38</v>
      </c>
      <c r="AE1706" t="s">
        <v>49</v>
      </c>
      <c r="AF1706" t="s">
        <v>50</v>
      </c>
      <c r="AG1706">
        <v>0</v>
      </c>
      <c r="AH1706">
        <v>0</v>
      </c>
      <c r="AI1706" t="s">
        <v>51</v>
      </c>
      <c r="AJ1706" t="s">
        <v>51</v>
      </c>
      <c r="AK1706" t="s">
        <v>51</v>
      </c>
    </row>
    <row r="1707" spans="1:37" x14ac:dyDescent="0.2">
      <c r="A1707">
        <v>59783</v>
      </c>
      <c r="B1707" t="s">
        <v>37</v>
      </c>
      <c r="C1707" t="s">
        <v>38</v>
      </c>
      <c r="D1707" t="s">
        <v>674</v>
      </c>
      <c r="E1707" t="s">
        <v>40</v>
      </c>
      <c r="G1707" s="4">
        <v>43947.008020833333</v>
      </c>
      <c r="H1707" s="4">
        <v>43947.008819444444</v>
      </c>
      <c r="I1707" t="s">
        <v>1480</v>
      </c>
      <c r="J1707" s="5">
        <v>68.99999999999999999999999999999999999999</v>
      </c>
      <c r="K1707" t="s">
        <v>38</v>
      </c>
      <c r="M1707">
        <v>59784</v>
      </c>
      <c r="N1707" t="s">
        <v>705</v>
      </c>
      <c r="O1707" t="s">
        <v>706</v>
      </c>
      <c r="P1707" t="s">
        <v>38</v>
      </c>
      <c r="Q1707" t="s">
        <v>693</v>
      </c>
      <c r="R1707">
        <v>19.99999999999999999999999999999999999996</v>
      </c>
      <c r="S1707" t="s">
        <v>45</v>
      </c>
      <c r="T170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7">
        <v>59785</v>
      </c>
      <c r="V1707" t="s">
        <v>38</v>
      </c>
      <c r="W1707" t="s">
        <v>693</v>
      </c>
      <c r="X1707">
        <v>19.99999999999999999999999999999999999996</v>
      </c>
      <c r="Y1707">
        <v>0</v>
      </c>
      <c r="Z1707" t="s">
        <v>46</v>
      </c>
      <c r="AA1707">
        <v>59800</v>
      </c>
      <c r="AB1707" t="s">
        <v>1619</v>
      </c>
      <c r="AC1707" t="s">
        <v>103</v>
      </c>
      <c r="AD1707" t="s">
        <v>38</v>
      </c>
      <c r="AE1707" t="s">
        <v>49</v>
      </c>
      <c r="AF1707" t="s">
        <v>50</v>
      </c>
      <c r="AG1707">
        <v>0</v>
      </c>
      <c r="AH1707">
        <v>0</v>
      </c>
      <c r="AI1707" t="s">
        <v>51</v>
      </c>
      <c r="AJ1707" t="s">
        <v>51</v>
      </c>
      <c r="AK1707" t="s">
        <v>51</v>
      </c>
    </row>
    <row r="1708" spans="1:37" x14ac:dyDescent="0.2">
      <c r="A1708">
        <v>59783</v>
      </c>
      <c r="B1708" t="s">
        <v>37</v>
      </c>
      <c r="C1708" t="s">
        <v>38</v>
      </c>
      <c r="D1708" t="s">
        <v>674</v>
      </c>
      <c r="E1708" t="s">
        <v>40</v>
      </c>
      <c r="G1708" s="4">
        <v>43947.008020833333</v>
      </c>
      <c r="H1708" s="4">
        <v>43947.008819444444</v>
      </c>
      <c r="I1708" t="s">
        <v>1480</v>
      </c>
      <c r="J1708" s="5">
        <v>68.99999999999999999999999999999999999999</v>
      </c>
      <c r="K1708" t="s">
        <v>38</v>
      </c>
      <c r="M1708">
        <v>59784</v>
      </c>
      <c r="N1708" t="s">
        <v>705</v>
      </c>
      <c r="O1708" t="s">
        <v>706</v>
      </c>
      <c r="P1708" t="s">
        <v>38</v>
      </c>
      <c r="Q1708" t="s">
        <v>693</v>
      </c>
      <c r="R1708">
        <v>19.99999999999999999999999999999999999996</v>
      </c>
      <c r="S1708" t="s">
        <v>45</v>
      </c>
      <c r="T170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8">
        <v>59785</v>
      </c>
      <c r="V1708" t="s">
        <v>38</v>
      </c>
      <c r="W1708" t="s">
        <v>693</v>
      </c>
      <c r="X1708">
        <v>19.99999999999999999999999999999999999996</v>
      </c>
      <c r="Y1708">
        <v>0</v>
      </c>
      <c r="Z1708" t="s">
        <v>46</v>
      </c>
      <c r="AA1708">
        <v>59799</v>
      </c>
      <c r="AB1708" t="s">
        <v>1620</v>
      </c>
      <c r="AC1708" t="s">
        <v>103</v>
      </c>
      <c r="AD1708" t="s">
        <v>38</v>
      </c>
      <c r="AE1708" t="s">
        <v>49</v>
      </c>
      <c r="AF1708" t="s">
        <v>50</v>
      </c>
      <c r="AG1708">
        <v>0</v>
      </c>
      <c r="AH1708">
        <v>0</v>
      </c>
      <c r="AI1708" t="s">
        <v>51</v>
      </c>
      <c r="AJ1708" t="s">
        <v>51</v>
      </c>
      <c r="AK1708" t="s">
        <v>51</v>
      </c>
    </row>
    <row r="1709" spans="1:37" x14ac:dyDescent="0.2">
      <c r="A1709">
        <v>59783</v>
      </c>
      <c r="B1709" t="s">
        <v>37</v>
      </c>
      <c r="C1709" t="s">
        <v>38</v>
      </c>
      <c r="D1709" t="s">
        <v>674</v>
      </c>
      <c r="E1709" t="s">
        <v>40</v>
      </c>
      <c r="G1709" s="4">
        <v>43947.008020833333</v>
      </c>
      <c r="H1709" s="4">
        <v>43947.008819444444</v>
      </c>
      <c r="I1709" t="s">
        <v>1480</v>
      </c>
      <c r="J1709" s="5">
        <v>68.99999999999999999999999999999999999999</v>
      </c>
      <c r="K1709" t="s">
        <v>38</v>
      </c>
      <c r="M1709">
        <v>59784</v>
      </c>
      <c r="N1709" t="s">
        <v>705</v>
      </c>
      <c r="O1709" t="s">
        <v>706</v>
      </c>
      <c r="P1709" t="s">
        <v>38</v>
      </c>
      <c r="Q1709" t="s">
        <v>693</v>
      </c>
      <c r="R1709">
        <v>19.99999999999999999999999999999999999996</v>
      </c>
      <c r="S1709" t="s">
        <v>45</v>
      </c>
      <c r="T170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09">
        <v>59785</v>
      </c>
      <c r="V1709" t="s">
        <v>38</v>
      </c>
      <c r="W1709" t="s">
        <v>693</v>
      </c>
      <c r="X1709">
        <v>19.99999999999999999999999999999999999996</v>
      </c>
      <c r="Y1709">
        <v>0</v>
      </c>
      <c r="Z1709" t="s">
        <v>46</v>
      </c>
      <c r="AA1709">
        <v>59798</v>
      </c>
      <c r="AB1709" t="s">
        <v>1621</v>
      </c>
      <c r="AC1709" t="s">
        <v>103</v>
      </c>
      <c r="AD1709" t="s">
        <v>38</v>
      </c>
      <c r="AE1709" t="s">
        <v>49</v>
      </c>
      <c r="AF1709" t="s">
        <v>50</v>
      </c>
      <c r="AG1709">
        <v>0</v>
      </c>
      <c r="AH1709">
        <v>0</v>
      </c>
      <c r="AI1709" t="s">
        <v>51</v>
      </c>
      <c r="AJ1709" t="s">
        <v>51</v>
      </c>
      <c r="AK1709" t="s">
        <v>51</v>
      </c>
    </row>
    <row r="1710" spans="1:37" x14ac:dyDescent="0.2">
      <c r="A1710">
        <v>59783</v>
      </c>
      <c r="B1710" t="s">
        <v>37</v>
      </c>
      <c r="C1710" t="s">
        <v>38</v>
      </c>
      <c r="D1710" t="s">
        <v>674</v>
      </c>
      <c r="E1710" t="s">
        <v>40</v>
      </c>
      <c r="G1710" s="4">
        <v>43947.008020833333</v>
      </c>
      <c r="H1710" s="4">
        <v>43947.008819444444</v>
      </c>
      <c r="I1710" t="s">
        <v>1480</v>
      </c>
      <c r="J1710" s="5">
        <v>68.99999999999999999999999999999999999999</v>
      </c>
      <c r="K1710" t="s">
        <v>38</v>
      </c>
      <c r="M1710">
        <v>59784</v>
      </c>
      <c r="N1710" t="s">
        <v>705</v>
      </c>
      <c r="O1710" t="s">
        <v>706</v>
      </c>
      <c r="P1710" t="s">
        <v>38</v>
      </c>
      <c r="Q1710" t="s">
        <v>693</v>
      </c>
      <c r="R1710">
        <v>19.99999999999999999999999999999999999996</v>
      </c>
      <c r="S1710" t="s">
        <v>45</v>
      </c>
      <c r="T171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0">
        <v>59785</v>
      </c>
      <c r="V1710" t="s">
        <v>38</v>
      </c>
      <c r="W1710" t="s">
        <v>693</v>
      </c>
      <c r="X1710">
        <v>19.99999999999999999999999999999999999996</v>
      </c>
      <c r="Y1710">
        <v>0</v>
      </c>
      <c r="Z1710" t="s">
        <v>46</v>
      </c>
      <c r="AA1710">
        <v>59797</v>
      </c>
      <c r="AB1710" t="s">
        <v>1622</v>
      </c>
      <c r="AC1710" t="s">
        <v>103</v>
      </c>
      <c r="AD1710" t="s">
        <v>38</v>
      </c>
      <c r="AE1710" t="s">
        <v>49</v>
      </c>
      <c r="AF1710" t="s">
        <v>50</v>
      </c>
      <c r="AG1710">
        <v>0</v>
      </c>
      <c r="AH1710">
        <v>0</v>
      </c>
      <c r="AI1710" t="s">
        <v>51</v>
      </c>
      <c r="AJ1710" t="s">
        <v>51</v>
      </c>
      <c r="AK1710" t="s">
        <v>51</v>
      </c>
    </row>
    <row r="1711" spans="1:37" x14ac:dyDescent="0.2">
      <c r="A1711">
        <v>59783</v>
      </c>
      <c r="B1711" t="s">
        <v>37</v>
      </c>
      <c r="C1711" t="s">
        <v>38</v>
      </c>
      <c r="D1711" t="s">
        <v>674</v>
      </c>
      <c r="E1711" t="s">
        <v>40</v>
      </c>
      <c r="G1711" s="4">
        <v>43947.008020833333</v>
      </c>
      <c r="H1711" s="4">
        <v>43947.008819444444</v>
      </c>
      <c r="I1711" t="s">
        <v>1480</v>
      </c>
      <c r="J1711" s="5">
        <v>68.99999999999999999999999999999999999999</v>
      </c>
      <c r="K1711" t="s">
        <v>38</v>
      </c>
      <c r="M1711">
        <v>59784</v>
      </c>
      <c r="N1711" t="s">
        <v>705</v>
      </c>
      <c r="O1711" t="s">
        <v>706</v>
      </c>
      <c r="P1711" t="s">
        <v>38</v>
      </c>
      <c r="Q1711" t="s">
        <v>693</v>
      </c>
      <c r="R1711">
        <v>19.99999999999999999999999999999999999996</v>
      </c>
      <c r="S1711" t="s">
        <v>45</v>
      </c>
      <c r="T171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1">
        <v>59785</v>
      </c>
      <c r="V1711" t="s">
        <v>38</v>
      </c>
      <c r="W1711" t="s">
        <v>693</v>
      </c>
      <c r="X1711">
        <v>19.99999999999999999999999999999999999996</v>
      </c>
      <c r="Y1711">
        <v>0</v>
      </c>
      <c r="Z1711" t="s">
        <v>46</v>
      </c>
      <c r="AA1711">
        <v>59796</v>
      </c>
      <c r="AB1711" t="s">
        <v>1623</v>
      </c>
      <c r="AC1711" t="s">
        <v>103</v>
      </c>
      <c r="AD1711" t="s">
        <v>38</v>
      </c>
      <c r="AE1711" t="s">
        <v>49</v>
      </c>
      <c r="AF1711" t="s">
        <v>50</v>
      </c>
      <c r="AG1711">
        <v>0</v>
      </c>
      <c r="AH1711">
        <v>0</v>
      </c>
      <c r="AI1711" t="s">
        <v>51</v>
      </c>
      <c r="AJ1711" t="s">
        <v>51</v>
      </c>
      <c r="AK1711" t="s">
        <v>51</v>
      </c>
    </row>
    <row r="1712" spans="1:37" x14ac:dyDescent="0.2">
      <c r="A1712">
        <v>59783</v>
      </c>
      <c r="B1712" t="s">
        <v>37</v>
      </c>
      <c r="C1712" t="s">
        <v>38</v>
      </c>
      <c r="D1712" t="s">
        <v>674</v>
      </c>
      <c r="E1712" t="s">
        <v>40</v>
      </c>
      <c r="G1712" s="4">
        <v>43947.008020833333</v>
      </c>
      <c r="H1712" s="4">
        <v>43947.008819444444</v>
      </c>
      <c r="I1712" t="s">
        <v>1480</v>
      </c>
      <c r="J1712" s="5">
        <v>68.99999999999999999999999999999999999999</v>
      </c>
      <c r="K1712" t="s">
        <v>38</v>
      </c>
      <c r="M1712">
        <v>59784</v>
      </c>
      <c r="N1712" t="s">
        <v>705</v>
      </c>
      <c r="O1712" t="s">
        <v>706</v>
      </c>
      <c r="P1712" t="s">
        <v>38</v>
      </c>
      <c r="Q1712" t="s">
        <v>693</v>
      </c>
      <c r="R1712">
        <v>19.99999999999999999999999999999999999996</v>
      </c>
      <c r="S1712" t="s">
        <v>45</v>
      </c>
      <c r="T1712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2">
        <v>59785</v>
      </c>
      <c r="V1712" t="s">
        <v>38</v>
      </c>
      <c r="W1712" t="s">
        <v>693</v>
      </c>
      <c r="X1712">
        <v>19.99999999999999999999999999999999999996</v>
      </c>
      <c r="Y1712">
        <v>0</v>
      </c>
      <c r="Z1712" t="s">
        <v>46</v>
      </c>
      <c r="AA1712">
        <v>59795</v>
      </c>
      <c r="AB1712" t="s">
        <v>1624</v>
      </c>
      <c r="AC1712" t="s">
        <v>103</v>
      </c>
      <c r="AD1712" t="s">
        <v>38</v>
      </c>
      <c r="AE1712" t="s">
        <v>49</v>
      </c>
      <c r="AF1712" t="s">
        <v>50</v>
      </c>
      <c r="AG1712">
        <v>0</v>
      </c>
      <c r="AH1712">
        <v>0</v>
      </c>
      <c r="AI1712" t="s">
        <v>51</v>
      </c>
      <c r="AJ1712" t="s">
        <v>51</v>
      </c>
      <c r="AK1712" t="s">
        <v>51</v>
      </c>
    </row>
    <row r="1713" spans="1:37" x14ac:dyDescent="0.2">
      <c r="A1713">
        <v>59783</v>
      </c>
      <c r="B1713" t="s">
        <v>37</v>
      </c>
      <c r="C1713" t="s">
        <v>38</v>
      </c>
      <c r="D1713" t="s">
        <v>674</v>
      </c>
      <c r="E1713" t="s">
        <v>40</v>
      </c>
      <c r="G1713" s="4">
        <v>43947.008020833333</v>
      </c>
      <c r="H1713" s="4">
        <v>43947.008819444444</v>
      </c>
      <c r="I1713" t="s">
        <v>1480</v>
      </c>
      <c r="J1713" s="5">
        <v>68.99999999999999999999999999999999999999</v>
      </c>
      <c r="K1713" t="s">
        <v>38</v>
      </c>
      <c r="M1713">
        <v>59784</v>
      </c>
      <c r="N1713" t="s">
        <v>705</v>
      </c>
      <c r="O1713" t="s">
        <v>706</v>
      </c>
      <c r="P1713" t="s">
        <v>38</v>
      </c>
      <c r="Q1713" t="s">
        <v>693</v>
      </c>
      <c r="R1713">
        <v>19.99999999999999999999999999999999999996</v>
      </c>
      <c r="S1713" t="s">
        <v>45</v>
      </c>
      <c r="T1713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3">
        <v>59785</v>
      </c>
      <c r="V1713" t="s">
        <v>38</v>
      </c>
      <c r="W1713" t="s">
        <v>693</v>
      </c>
      <c r="X1713">
        <v>19.99999999999999999999999999999999999996</v>
      </c>
      <c r="Y1713">
        <v>0</v>
      </c>
      <c r="Z1713" t="s">
        <v>46</v>
      </c>
      <c r="AA1713">
        <v>59794</v>
      </c>
      <c r="AB1713" t="s">
        <v>1625</v>
      </c>
      <c r="AC1713" t="s">
        <v>103</v>
      </c>
      <c r="AD1713" t="s">
        <v>38</v>
      </c>
      <c r="AE1713" t="s">
        <v>49</v>
      </c>
      <c r="AF1713" t="s">
        <v>50</v>
      </c>
      <c r="AG1713">
        <v>0</v>
      </c>
      <c r="AH1713">
        <v>0</v>
      </c>
      <c r="AI1713" t="s">
        <v>51</v>
      </c>
      <c r="AJ1713" t="s">
        <v>51</v>
      </c>
      <c r="AK1713" t="s">
        <v>51</v>
      </c>
    </row>
    <row r="1714" spans="1:37" x14ac:dyDescent="0.2">
      <c r="A1714">
        <v>59783</v>
      </c>
      <c r="B1714" t="s">
        <v>37</v>
      </c>
      <c r="C1714" t="s">
        <v>38</v>
      </c>
      <c r="D1714" t="s">
        <v>674</v>
      </c>
      <c r="E1714" t="s">
        <v>40</v>
      </c>
      <c r="G1714" s="4">
        <v>43947.008020833333</v>
      </c>
      <c r="H1714" s="4">
        <v>43947.008819444444</v>
      </c>
      <c r="I1714" t="s">
        <v>1480</v>
      </c>
      <c r="J1714" s="5">
        <v>68.99999999999999999999999999999999999999</v>
      </c>
      <c r="K1714" t="s">
        <v>38</v>
      </c>
      <c r="M1714">
        <v>59784</v>
      </c>
      <c r="N1714" t="s">
        <v>705</v>
      </c>
      <c r="O1714" t="s">
        <v>706</v>
      </c>
      <c r="P1714" t="s">
        <v>38</v>
      </c>
      <c r="Q1714" t="s">
        <v>693</v>
      </c>
      <c r="R1714">
        <v>19.99999999999999999999999999999999999996</v>
      </c>
      <c r="S1714" t="s">
        <v>45</v>
      </c>
      <c r="T1714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4">
        <v>59785</v>
      </c>
      <c r="V1714" t="s">
        <v>38</v>
      </c>
      <c r="W1714" t="s">
        <v>693</v>
      </c>
      <c r="X1714">
        <v>19.99999999999999999999999999999999999996</v>
      </c>
      <c r="Y1714">
        <v>0</v>
      </c>
      <c r="Z1714" t="s">
        <v>46</v>
      </c>
      <c r="AA1714">
        <v>59793</v>
      </c>
      <c r="AB1714" t="s">
        <v>1626</v>
      </c>
      <c r="AC1714" t="s">
        <v>103</v>
      </c>
      <c r="AD1714" t="s">
        <v>38</v>
      </c>
      <c r="AE1714" t="s">
        <v>49</v>
      </c>
      <c r="AF1714" t="s">
        <v>50</v>
      </c>
      <c r="AG1714">
        <v>0</v>
      </c>
      <c r="AH1714">
        <v>0</v>
      </c>
      <c r="AI1714" t="s">
        <v>51</v>
      </c>
      <c r="AJ1714" t="s">
        <v>51</v>
      </c>
      <c r="AK1714" t="s">
        <v>51</v>
      </c>
    </row>
    <row r="1715" spans="1:37" x14ac:dyDescent="0.2">
      <c r="A1715">
        <v>59783</v>
      </c>
      <c r="B1715" t="s">
        <v>37</v>
      </c>
      <c r="C1715" t="s">
        <v>38</v>
      </c>
      <c r="D1715" t="s">
        <v>674</v>
      </c>
      <c r="E1715" t="s">
        <v>40</v>
      </c>
      <c r="G1715" s="4">
        <v>43947.008020833333</v>
      </c>
      <c r="H1715" s="4">
        <v>43947.008819444444</v>
      </c>
      <c r="I1715" t="s">
        <v>1480</v>
      </c>
      <c r="J1715" s="5">
        <v>68.99999999999999999999999999999999999999</v>
      </c>
      <c r="K1715" t="s">
        <v>38</v>
      </c>
      <c r="M1715">
        <v>59784</v>
      </c>
      <c r="N1715" t="s">
        <v>705</v>
      </c>
      <c r="O1715" t="s">
        <v>706</v>
      </c>
      <c r="P1715" t="s">
        <v>38</v>
      </c>
      <c r="Q1715" t="s">
        <v>693</v>
      </c>
      <c r="R1715">
        <v>19.99999999999999999999999999999999999996</v>
      </c>
      <c r="S1715" t="s">
        <v>45</v>
      </c>
      <c r="T1715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5">
        <v>59785</v>
      </c>
      <c r="V1715" t="s">
        <v>38</v>
      </c>
      <c r="W1715" t="s">
        <v>693</v>
      </c>
      <c r="X1715">
        <v>19.99999999999999999999999999999999999996</v>
      </c>
      <c r="Y1715">
        <v>0</v>
      </c>
      <c r="Z1715" t="s">
        <v>46</v>
      </c>
      <c r="AA1715">
        <v>59792</v>
      </c>
      <c r="AB1715" t="s">
        <v>1627</v>
      </c>
      <c r="AC1715" t="s">
        <v>103</v>
      </c>
      <c r="AD1715" t="s">
        <v>38</v>
      </c>
      <c r="AE1715" t="s">
        <v>49</v>
      </c>
      <c r="AF1715" t="s">
        <v>50</v>
      </c>
      <c r="AG1715">
        <v>.9999999999999999999999999999999999999996</v>
      </c>
      <c r="AH1715">
        <v>0</v>
      </c>
      <c r="AI1715" t="s">
        <v>51</v>
      </c>
      <c r="AJ1715" t="s">
        <v>51</v>
      </c>
      <c r="AK1715" t="s">
        <v>51</v>
      </c>
    </row>
    <row r="1716" spans="1:37" x14ac:dyDescent="0.2">
      <c r="A1716">
        <v>59783</v>
      </c>
      <c r="B1716" t="s">
        <v>37</v>
      </c>
      <c r="C1716" t="s">
        <v>38</v>
      </c>
      <c r="D1716" t="s">
        <v>674</v>
      </c>
      <c r="E1716" t="s">
        <v>40</v>
      </c>
      <c r="G1716" s="4">
        <v>43947.008020833333</v>
      </c>
      <c r="H1716" s="4">
        <v>43947.008819444444</v>
      </c>
      <c r="I1716" t="s">
        <v>1480</v>
      </c>
      <c r="J1716" s="5">
        <v>68.99999999999999999999999999999999999999</v>
      </c>
      <c r="K1716" t="s">
        <v>38</v>
      </c>
      <c r="M1716">
        <v>59784</v>
      </c>
      <c r="N1716" t="s">
        <v>705</v>
      </c>
      <c r="O1716" t="s">
        <v>706</v>
      </c>
      <c r="P1716" t="s">
        <v>38</v>
      </c>
      <c r="Q1716" t="s">
        <v>693</v>
      </c>
      <c r="R1716">
        <v>19.99999999999999999999999999999999999996</v>
      </c>
      <c r="S1716" t="s">
        <v>45</v>
      </c>
      <c r="T1716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6">
        <v>59785</v>
      </c>
      <c r="V1716" t="s">
        <v>38</v>
      </c>
      <c r="W1716" t="s">
        <v>693</v>
      </c>
      <c r="X1716">
        <v>19.99999999999999999999999999999999999996</v>
      </c>
      <c r="Y1716">
        <v>0</v>
      </c>
      <c r="Z1716" t="s">
        <v>46</v>
      </c>
      <c r="AA1716">
        <v>59791</v>
      </c>
      <c r="AB1716" t="s">
        <v>1628</v>
      </c>
      <c r="AC1716" t="s">
        <v>103</v>
      </c>
      <c r="AD1716" t="s">
        <v>38</v>
      </c>
      <c r="AE1716" t="s">
        <v>49</v>
      </c>
      <c r="AF1716" t="s">
        <v>50</v>
      </c>
      <c r="AG1716">
        <v>0</v>
      </c>
      <c r="AH1716">
        <v>0</v>
      </c>
      <c r="AI1716" t="s">
        <v>51</v>
      </c>
      <c r="AJ1716" t="s">
        <v>51</v>
      </c>
      <c r="AK1716" t="s">
        <v>51</v>
      </c>
    </row>
    <row r="1717" spans="1:37" x14ac:dyDescent="0.2">
      <c r="A1717">
        <v>59783</v>
      </c>
      <c r="B1717" t="s">
        <v>37</v>
      </c>
      <c r="C1717" t="s">
        <v>38</v>
      </c>
      <c r="D1717" t="s">
        <v>674</v>
      </c>
      <c r="E1717" t="s">
        <v>40</v>
      </c>
      <c r="G1717" s="4">
        <v>43947.008020833333</v>
      </c>
      <c r="H1717" s="4">
        <v>43947.008819444444</v>
      </c>
      <c r="I1717" t="s">
        <v>1480</v>
      </c>
      <c r="J1717" s="5">
        <v>68.99999999999999999999999999999999999999</v>
      </c>
      <c r="K1717" t="s">
        <v>38</v>
      </c>
      <c r="M1717">
        <v>59784</v>
      </c>
      <c r="N1717" t="s">
        <v>705</v>
      </c>
      <c r="O1717" t="s">
        <v>706</v>
      </c>
      <c r="P1717" t="s">
        <v>38</v>
      </c>
      <c r="Q1717" t="s">
        <v>693</v>
      </c>
      <c r="R1717">
        <v>19.99999999999999999999999999999999999996</v>
      </c>
      <c r="S1717" t="s">
        <v>45</v>
      </c>
      <c r="T1717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7">
        <v>59785</v>
      </c>
      <c r="V1717" t="s">
        <v>38</v>
      </c>
      <c r="W1717" t="s">
        <v>693</v>
      </c>
      <c r="X1717">
        <v>19.99999999999999999999999999999999999996</v>
      </c>
      <c r="Y1717">
        <v>0</v>
      </c>
      <c r="Z1717" t="s">
        <v>46</v>
      </c>
      <c r="AA1717">
        <v>59790</v>
      </c>
      <c r="AB1717" t="s">
        <v>1629</v>
      </c>
      <c r="AC1717" t="s">
        <v>103</v>
      </c>
      <c r="AD1717" t="s">
        <v>38</v>
      </c>
      <c r="AE1717" t="s">
        <v>49</v>
      </c>
      <c r="AF1717" t="s">
        <v>50</v>
      </c>
      <c r="AG1717">
        <v>0</v>
      </c>
      <c r="AH1717">
        <v>0</v>
      </c>
      <c r="AI1717" t="s">
        <v>51</v>
      </c>
      <c r="AJ1717" t="s">
        <v>51</v>
      </c>
      <c r="AK1717" t="s">
        <v>51</v>
      </c>
    </row>
    <row r="1718" spans="1:37" x14ac:dyDescent="0.2">
      <c r="A1718">
        <v>59783</v>
      </c>
      <c r="B1718" t="s">
        <v>37</v>
      </c>
      <c r="C1718" t="s">
        <v>38</v>
      </c>
      <c r="D1718" t="s">
        <v>674</v>
      </c>
      <c r="E1718" t="s">
        <v>40</v>
      </c>
      <c r="G1718" s="4">
        <v>43947.008020833333</v>
      </c>
      <c r="H1718" s="4">
        <v>43947.008819444444</v>
      </c>
      <c r="I1718" t="s">
        <v>1480</v>
      </c>
      <c r="J1718" s="5">
        <v>68.99999999999999999999999999999999999999</v>
      </c>
      <c r="K1718" t="s">
        <v>38</v>
      </c>
      <c r="M1718">
        <v>59784</v>
      </c>
      <c r="N1718" t="s">
        <v>705</v>
      </c>
      <c r="O1718" t="s">
        <v>706</v>
      </c>
      <c r="P1718" t="s">
        <v>38</v>
      </c>
      <c r="Q1718" t="s">
        <v>693</v>
      </c>
      <c r="R1718">
        <v>19.99999999999999999999999999999999999996</v>
      </c>
      <c r="S1718" t="s">
        <v>45</v>
      </c>
      <c r="T1718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8">
        <v>59785</v>
      </c>
      <c r="V1718" t="s">
        <v>38</v>
      </c>
      <c r="W1718" t="s">
        <v>693</v>
      </c>
      <c r="X1718">
        <v>19.99999999999999999999999999999999999996</v>
      </c>
      <c r="Y1718">
        <v>0</v>
      </c>
      <c r="Z1718" t="s">
        <v>46</v>
      </c>
      <c r="AA1718">
        <v>59789</v>
      </c>
      <c r="AB1718" t="s">
        <v>1630</v>
      </c>
      <c r="AC1718" t="s">
        <v>103</v>
      </c>
      <c r="AD1718" t="s">
        <v>38</v>
      </c>
      <c r="AE1718" t="s">
        <v>49</v>
      </c>
      <c r="AF1718" t="s">
        <v>50</v>
      </c>
      <c r="AG1718">
        <v>0</v>
      </c>
      <c r="AH1718">
        <v>0</v>
      </c>
      <c r="AI1718" t="s">
        <v>51</v>
      </c>
      <c r="AJ1718" t="s">
        <v>51</v>
      </c>
      <c r="AK1718" t="s">
        <v>51</v>
      </c>
    </row>
    <row r="1719" spans="1:37" x14ac:dyDescent="0.2">
      <c r="A1719">
        <v>59783</v>
      </c>
      <c r="B1719" t="s">
        <v>37</v>
      </c>
      <c r="C1719" t="s">
        <v>38</v>
      </c>
      <c r="D1719" t="s">
        <v>674</v>
      </c>
      <c r="E1719" t="s">
        <v>40</v>
      </c>
      <c r="G1719" s="4">
        <v>43947.008020833333</v>
      </c>
      <c r="H1719" s="4">
        <v>43947.008819444444</v>
      </c>
      <c r="I1719" t="s">
        <v>1480</v>
      </c>
      <c r="J1719" s="5">
        <v>68.99999999999999999999999999999999999999</v>
      </c>
      <c r="K1719" t="s">
        <v>38</v>
      </c>
      <c r="M1719">
        <v>59784</v>
      </c>
      <c r="N1719" t="s">
        <v>705</v>
      </c>
      <c r="O1719" t="s">
        <v>706</v>
      </c>
      <c r="P1719" t="s">
        <v>38</v>
      </c>
      <c r="Q1719" t="s">
        <v>693</v>
      </c>
      <c r="R1719">
        <v>19.99999999999999999999999999999999999996</v>
      </c>
      <c r="S1719" t="s">
        <v>45</v>
      </c>
      <c r="T1719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19">
        <v>59785</v>
      </c>
      <c r="V1719" t="s">
        <v>38</v>
      </c>
      <c r="W1719" t="s">
        <v>693</v>
      </c>
      <c r="X1719">
        <v>19.99999999999999999999999999999999999996</v>
      </c>
      <c r="Y1719">
        <v>0</v>
      </c>
      <c r="Z1719" t="s">
        <v>46</v>
      </c>
      <c r="AA1719">
        <v>59788</v>
      </c>
      <c r="AB1719" t="s">
        <v>1631</v>
      </c>
      <c r="AC1719" t="s">
        <v>103</v>
      </c>
      <c r="AD1719" t="s">
        <v>38</v>
      </c>
      <c r="AE1719" t="s">
        <v>49</v>
      </c>
      <c r="AF1719" t="s">
        <v>75</v>
      </c>
      <c r="AG1719">
        <v>6</v>
      </c>
      <c r="AH1719">
        <v>5</v>
      </c>
      <c r="AI1719" t="s">
        <v>51</v>
      </c>
      <c r="AJ1719" t="s">
        <v>51</v>
      </c>
      <c r="AK1719" t="s">
        <v>51</v>
      </c>
    </row>
    <row r="1720" spans="1:37" x14ac:dyDescent="0.2">
      <c r="A1720">
        <v>59783</v>
      </c>
      <c r="B1720" t="s">
        <v>37</v>
      </c>
      <c r="C1720" t="s">
        <v>38</v>
      </c>
      <c r="D1720" t="s">
        <v>674</v>
      </c>
      <c r="E1720" t="s">
        <v>40</v>
      </c>
      <c r="G1720" s="4">
        <v>43947.008020833333</v>
      </c>
      <c r="H1720" s="4">
        <v>43947.008819444444</v>
      </c>
      <c r="I1720" t="s">
        <v>1480</v>
      </c>
      <c r="J1720" s="5">
        <v>68.99999999999999999999999999999999999999</v>
      </c>
      <c r="K1720" t="s">
        <v>38</v>
      </c>
      <c r="M1720">
        <v>59784</v>
      </c>
      <c r="N1720" t="s">
        <v>705</v>
      </c>
      <c r="O1720" t="s">
        <v>706</v>
      </c>
      <c r="P1720" t="s">
        <v>38</v>
      </c>
      <c r="Q1720" t="s">
        <v>693</v>
      </c>
      <c r="R1720">
        <v>19.99999999999999999999999999999999999996</v>
      </c>
      <c r="S1720" t="s">
        <v>45</v>
      </c>
      <c r="T1720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20">
        <v>59785</v>
      </c>
      <c r="V1720" t="s">
        <v>38</v>
      </c>
      <c r="W1720" t="s">
        <v>693</v>
      </c>
      <c r="X1720">
        <v>19.99999999999999999999999999999999999996</v>
      </c>
      <c r="Y1720">
        <v>0</v>
      </c>
      <c r="Z1720" t="s">
        <v>46</v>
      </c>
      <c r="AA1720">
        <v>59787</v>
      </c>
      <c r="AB1720" t="s">
        <v>1632</v>
      </c>
      <c r="AC1720" t="s">
        <v>48</v>
      </c>
      <c r="AD1720" t="s">
        <v>38</v>
      </c>
      <c r="AE1720" t="s">
        <v>49</v>
      </c>
      <c r="AF1720" t="s">
        <v>50</v>
      </c>
      <c r="AG1720">
        <v>0</v>
      </c>
      <c r="AH1720">
        <v>0</v>
      </c>
      <c r="AI1720" t="s">
        <v>51</v>
      </c>
      <c r="AJ1720" t="s">
        <v>51</v>
      </c>
      <c r="AK1720" t="s">
        <v>51</v>
      </c>
    </row>
    <row r="1721" spans="1:37" x14ac:dyDescent="0.2">
      <c r="A1721">
        <v>59783</v>
      </c>
      <c r="B1721" t="s">
        <v>37</v>
      </c>
      <c r="C1721" t="s">
        <v>38</v>
      </c>
      <c r="D1721" t="s">
        <v>674</v>
      </c>
      <c r="E1721" t="s">
        <v>40</v>
      </c>
      <c r="G1721" s="4">
        <v>43947.008020833333</v>
      </c>
      <c r="H1721" s="4">
        <v>43947.008819444444</v>
      </c>
      <c r="I1721" t="s">
        <v>1480</v>
      </c>
      <c r="J1721" s="5">
        <v>68.99999999999999999999999999999999999999</v>
      </c>
      <c r="K1721" t="s">
        <v>38</v>
      </c>
      <c r="M1721">
        <v>59784</v>
      </c>
      <c r="N1721" t="s">
        <v>705</v>
      </c>
      <c r="O1721" t="s">
        <v>706</v>
      </c>
      <c r="P1721" t="s">
        <v>38</v>
      </c>
      <c r="Q1721" t="s">
        <v>693</v>
      </c>
      <c r="R1721">
        <v>19.99999999999999999999999999999999999996</v>
      </c>
      <c r="S1721" t="s">
        <v>45</v>
      </c>
      <c r="T1721" t="str" s="2">
        <f>=HYPERLINK("http://demo.enginatics.com:80/ecc/user/applications/log/59783.log","http://demo.enginatics.com:80/ecc/user/applications/log/59783.log")</f>
        <v>"http://demo.enginatics.com:80/ecc/user/applications/log/59783.log")</v>
      </c>
      <c r="U1721">
        <v>59785</v>
      </c>
      <c r="V1721" t="s">
        <v>38</v>
      </c>
      <c r="W1721" t="s">
        <v>693</v>
      </c>
      <c r="X1721">
        <v>19.99999999999999999999999999999999999996</v>
      </c>
      <c r="Y1721">
        <v>0</v>
      </c>
      <c r="Z1721" t="s">
        <v>46</v>
      </c>
      <c r="AA1721">
        <v>59786</v>
      </c>
      <c r="AB1721" t="s">
        <v>859</v>
      </c>
      <c r="AC1721" t="s">
        <v>56</v>
      </c>
      <c r="AD1721" t="s">
        <v>38</v>
      </c>
      <c r="AE1721" t="s">
        <v>49</v>
      </c>
      <c r="AF1721" t="s">
        <v>50</v>
      </c>
      <c r="AG1721">
        <v>0</v>
      </c>
      <c r="AH1721">
        <v>0</v>
      </c>
      <c r="AI1721" t="s">
        <v>51</v>
      </c>
      <c r="AJ1721" t="s">
        <v>51</v>
      </c>
      <c r="AK1721" t="s">
        <v>51</v>
      </c>
    </row>
    <row r="1722" spans="1:37" x14ac:dyDescent="0.2">
      <c r="A1722">
        <v>59778</v>
      </c>
      <c r="B1722" t="s">
        <v>37</v>
      </c>
      <c r="C1722" t="s">
        <v>38</v>
      </c>
      <c r="D1722" t="s">
        <v>83</v>
      </c>
      <c r="E1722" t="s">
        <v>84</v>
      </c>
      <c r="G1722" s="4">
        <v>43946.956145833333</v>
      </c>
      <c r="H1722" s="4">
        <v>43946.956215277778</v>
      </c>
      <c r="I1722" t="s">
        <v>75</v>
      </c>
      <c r="J1722" s="5">
        <v>6</v>
      </c>
      <c r="K1722" t="s">
        <v>38</v>
      </c>
      <c r="M1722">
        <v>59779</v>
      </c>
      <c r="N1722" t="s">
        <v>84</v>
      </c>
      <c r="O1722" t="s">
        <v>86</v>
      </c>
      <c r="P1722" t="s">
        <v>38</v>
      </c>
      <c r="Q1722" t="s">
        <v>78</v>
      </c>
      <c r="R1722">
        <v>5</v>
      </c>
      <c r="S1722" t="s">
        <v>45</v>
      </c>
      <c r="T1722" t="str" s="2">
        <f>=HYPERLINK("http://demo.enginatics.com:80/ecc/user/applications/log/59778.log","http://demo.enginatics.com:80/ecc/user/applications/log/59778.log")</f>
        <v>"http://demo.enginatics.com:80/ecc/user/applications/log/59778.log")</v>
      </c>
      <c r="U1722">
        <v>59780</v>
      </c>
      <c r="V1722" t="s">
        <v>38</v>
      </c>
      <c r="W1722" t="s">
        <v>78</v>
      </c>
      <c r="X1722">
        <v>5</v>
      </c>
      <c r="Y1722">
        <v>0</v>
      </c>
      <c r="Z1722" t="s">
        <v>46</v>
      </c>
      <c r="AA1722">
        <v>59782</v>
      </c>
      <c r="AB1722" t="s">
        <v>1633</v>
      </c>
      <c r="AC1722" t="s">
        <v>68</v>
      </c>
      <c r="AD1722" t="s">
        <v>38</v>
      </c>
      <c r="AE1722" t="s">
        <v>49</v>
      </c>
      <c r="AF1722" t="s">
        <v>78</v>
      </c>
      <c r="AG1722">
        <v>5</v>
      </c>
      <c r="AH1722">
        <v>1</v>
      </c>
      <c r="AI1722" t="s">
        <v>51</v>
      </c>
      <c r="AJ1722" t="s">
        <v>51</v>
      </c>
      <c r="AK1722" t="s">
        <v>51</v>
      </c>
    </row>
    <row r="1723" spans="1:37" x14ac:dyDescent="0.2">
      <c r="A1723">
        <v>59778</v>
      </c>
      <c r="B1723" t="s">
        <v>37</v>
      </c>
      <c r="C1723" t="s">
        <v>38</v>
      </c>
      <c r="D1723" t="s">
        <v>83</v>
      </c>
      <c r="E1723" t="s">
        <v>84</v>
      </c>
      <c r="G1723" s="4">
        <v>43946.956145833333</v>
      </c>
      <c r="H1723" s="4">
        <v>43946.956215277778</v>
      </c>
      <c r="I1723" t="s">
        <v>75</v>
      </c>
      <c r="J1723" s="5">
        <v>6</v>
      </c>
      <c r="K1723" t="s">
        <v>38</v>
      </c>
      <c r="M1723">
        <v>59779</v>
      </c>
      <c r="N1723" t="s">
        <v>84</v>
      </c>
      <c r="O1723" t="s">
        <v>86</v>
      </c>
      <c r="P1723" t="s">
        <v>38</v>
      </c>
      <c r="Q1723" t="s">
        <v>78</v>
      </c>
      <c r="R1723">
        <v>5</v>
      </c>
      <c r="S1723" t="s">
        <v>45</v>
      </c>
      <c r="T1723" t="str" s="2">
        <f>=HYPERLINK("http://demo.enginatics.com:80/ecc/user/applications/log/59778.log","http://demo.enginatics.com:80/ecc/user/applications/log/59778.log")</f>
        <v>"http://demo.enginatics.com:80/ecc/user/applications/log/59778.log")</v>
      </c>
      <c r="U1723">
        <v>59780</v>
      </c>
      <c r="V1723" t="s">
        <v>38</v>
      </c>
      <c r="W1723" t="s">
        <v>78</v>
      </c>
      <c r="X1723">
        <v>5</v>
      </c>
      <c r="Y1723">
        <v>0</v>
      </c>
      <c r="Z1723" t="s">
        <v>46</v>
      </c>
      <c r="AA1723">
        <v>59781</v>
      </c>
      <c r="AB1723" t="s">
        <v>1634</v>
      </c>
      <c r="AC1723" t="s">
        <v>56</v>
      </c>
      <c r="AD1723" t="s">
        <v>38</v>
      </c>
      <c r="AE1723" t="s">
        <v>49</v>
      </c>
      <c r="AF1723" t="s">
        <v>50</v>
      </c>
      <c r="AG1723">
        <v>0</v>
      </c>
      <c r="AH1723">
        <v>0</v>
      </c>
      <c r="AI1723" t="s">
        <v>51</v>
      </c>
      <c r="AJ1723" t="s">
        <v>51</v>
      </c>
      <c r="AK1723" t="s">
        <v>51</v>
      </c>
    </row>
    <row r="1724" spans="1:37" x14ac:dyDescent="0.2">
      <c r="A1724">
        <v>59748</v>
      </c>
      <c r="B1724" t="s">
        <v>37</v>
      </c>
      <c r="C1724" t="s">
        <v>38</v>
      </c>
      <c r="D1724" t="s">
        <v>83</v>
      </c>
      <c r="E1724" t="s">
        <v>90</v>
      </c>
      <c r="G1724" s="4">
        <v>43946.938368055556</v>
      </c>
      <c r="H1724" s="4">
        <v>43946.93837962963</v>
      </c>
      <c r="I1724" t="s">
        <v>50</v>
      </c>
      <c r="J1724" s="5">
        <v>.9999999999999999999999999999999999999996</v>
      </c>
      <c r="K1724" t="s">
        <v>38</v>
      </c>
      <c r="M1724">
        <v>59749</v>
      </c>
      <c r="N1724" t="s">
        <v>90</v>
      </c>
      <c r="O1724" t="s">
        <v>91</v>
      </c>
      <c r="P1724" t="s">
        <v>38</v>
      </c>
      <c r="Q1724" t="s">
        <v>50</v>
      </c>
      <c r="R1724">
        <v>0</v>
      </c>
      <c r="S1724" t="s">
        <v>92</v>
      </c>
      <c r="T1724" t="str" s="2">
        <f>=HYPERLINK("http://demo.enginatics.com:80/ecc/user/applications/log/59748.log","http://demo.enginatics.com:80/ecc/user/applications/log/59748.log")</f>
        <v>"http://demo.enginatics.com:80/ecc/user/applications/log/59748.log")</v>
      </c>
    </row>
    <row r="1725" spans="1:37" x14ac:dyDescent="0.2">
      <c r="A1725">
        <v>59723</v>
      </c>
      <c r="B1725" t="s">
        <v>37</v>
      </c>
      <c r="C1725" t="s">
        <v>38</v>
      </c>
      <c r="D1725" t="s">
        <v>39</v>
      </c>
      <c r="E1725" t="s">
        <v>40</v>
      </c>
      <c r="G1725" s="4">
        <v>43946.918773148148</v>
      </c>
      <c r="H1725" s="4">
        <v>43946.935891203704</v>
      </c>
      <c r="I1725" t="s">
        <v>1635</v>
      </c>
      <c r="J1725" s="5">
        <v>1479.000000000000000000000000000000000004</v>
      </c>
      <c r="K1725" t="s">
        <v>38</v>
      </c>
      <c r="M1725">
        <v>59738</v>
      </c>
      <c r="N1725" t="s">
        <v>42</v>
      </c>
      <c r="O1725" t="s">
        <v>43</v>
      </c>
      <c r="P1725" t="s">
        <v>38</v>
      </c>
      <c r="Q1725" t="s">
        <v>88</v>
      </c>
      <c r="R1725">
        <v>2</v>
      </c>
      <c r="S1725" t="s">
        <v>45</v>
      </c>
      <c r="T1725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25">
        <v>59739</v>
      </c>
      <c r="V1725" t="s">
        <v>38</v>
      </c>
      <c r="W1725" t="s">
        <v>88</v>
      </c>
      <c r="X1725">
        <v>2</v>
      </c>
      <c r="Y1725">
        <v>0</v>
      </c>
      <c r="Z1725" t="s">
        <v>46</v>
      </c>
      <c r="AA1725">
        <v>59747</v>
      </c>
      <c r="AB1725" t="s">
        <v>1366</v>
      </c>
      <c r="AC1725" t="s">
        <v>48</v>
      </c>
      <c r="AD1725" t="s">
        <v>38</v>
      </c>
      <c r="AE1725" t="s">
        <v>49</v>
      </c>
      <c r="AF1725" t="s">
        <v>50</v>
      </c>
      <c r="AG1725">
        <v>0</v>
      </c>
      <c r="AH1725">
        <v>0</v>
      </c>
      <c r="AI1725" t="s">
        <v>51</v>
      </c>
      <c r="AJ1725" t="s">
        <v>51</v>
      </c>
      <c r="AK1725" t="s">
        <v>51</v>
      </c>
    </row>
    <row r="1726" spans="1:37" x14ac:dyDescent="0.2">
      <c r="A1726">
        <v>59723</v>
      </c>
      <c r="B1726" t="s">
        <v>37</v>
      </c>
      <c r="C1726" t="s">
        <v>38</v>
      </c>
      <c r="D1726" t="s">
        <v>39</v>
      </c>
      <c r="E1726" t="s">
        <v>40</v>
      </c>
      <c r="G1726" s="4">
        <v>43946.918773148148</v>
      </c>
      <c r="H1726" s="4">
        <v>43946.935891203704</v>
      </c>
      <c r="I1726" t="s">
        <v>1635</v>
      </c>
      <c r="J1726" s="5">
        <v>1479.000000000000000000000000000000000004</v>
      </c>
      <c r="K1726" t="s">
        <v>38</v>
      </c>
      <c r="M1726">
        <v>59738</v>
      </c>
      <c r="N1726" t="s">
        <v>42</v>
      </c>
      <c r="O1726" t="s">
        <v>43</v>
      </c>
      <c r="P1726" t="s">
        <v>38</v>
      </c>
      <c r="Q1726" t="s">
        <v>88</v>
      </c>
      <c r="R1726">
        <v>2</v>
      </c>
      <c r="S1726" t="s">
        <v>45</v>
      </c>
      <c r="T1726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26">
        <v>59739</v>
      </c>
      <c r="V1726" t="s">
        <v>38</v>
      </c>
      <c r="W1726" t="s">
        <v>88</v>
      </c>
      <c r="X1726">
        <v>2</v>
      </c>
      <c r="Y1726">
        <v>0</v>
      </c>
      <c r="Z1726" t="s">
        <v>46</v>
      </c>
      <c r="AA1726">
        <v>59746</v>
      </c>
      <c r="AB1726" t="s">
        <v>1367</v>
      </c>
      <c r="AC1726" t="s">
        <v>48</v>
      </c>
      <c r="AD1726" t="s">
        <v>38</v>
      </c>
      <c r="AE1726" t="s">
        <v>49</v>
      </c>
      <c r="AF1726" t="s">
        <v>50</v>
      </c>
      <c r="AG1726">
        <v>0</v>
      </c>
      <c r="AH1726">
        <v>0</v>
      </c>
      <c r="AI1726" t="s">
        <v>51</v>
      </c>
      <c r="AJ1726" t="s">
        <v>51</v>
      </c>
      <c r="AK1726" t="s">
        <v>51</v>
      </c>
    </row>
    <row r="1727" spans="1:37" x14ac:dyDescent="0.2">
      <c r="A1727">
        <v>59723</v>
      </c>
      <c r="B1727" t="s">
        <v>37</v>
      </c>
      <c r="C1727" t="s">
        <v>38</v>
      </c>
      <c r="D1727" t="s">
        <v>39</v>
      </c>
      <c r="E1727" t="s">
        <v>40</v>
      </c>
      <c r="G1727" s="4">
        <v>43946.918773148148</v>
      </c>
      <c r="H1727" s="4">
        <v>43946.935891203704</v>
      </c>
      <c r="I1727" t="s">
        <v>1635</v>
      </c>
      <c r="J1727" s="5">
        <v>1479.000000000000000000000000000000000004</v>
      </c>
      <c r="K1727" t="s">
        <v>38</v>
      </c>
      <c r="M1727">
        <v>59738</v>
      </c>
      <c r="N1727" t="s">
        <v>42</v>
      </c>
      <c r="O1727" t="s">
        <v>43</v>
      </c>
      <c r="P1727" t="s">
        <v>38</v>
      </c>
      <c r="Q1727" t="s">
        <v>88</v>
      </c>
      <c r="R1727">
        <v>2</v>
      </c>
      <c r="S1727" t="s">
        <v>45</v>
      </c>
      <c r="T1727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27">
        <v>59739</v>
      </c>
      <c r="V1727" t="s">
        <v>38</v>
      </c>
      <c r="W1727" t="s">
        <v>88</v>
      </c>
      <c r="X1727">
        <v>2</v>
      </c>
      <c r="Y1727">
        <v>0</v>
      </c>
      <c r="Z1727" t="s">
        <v>46</v>
      </c>
      <c r="AA1727">
        <v>59745</v>
      </c>
      <c r="AB1727" t="s">
        <v>1368</v>
      </c>
      <c r="AC1727" t="s">
        <v>48</v>
      </c>
      <c r="AD1727" t="s">
        <v>38</v>
      </c>
      <c r="AE1727" t="s">
        <v>49</v>
      </c>
      <c r="AF1727" t="s">
        <v>50</v>
      </c>
      <c r="AG1727">
        <v>.9999999999999999999999999999999999999996</v>
      </c>
      <c r="AH1727">
        <v>0</v>
      </c>
      <c r="AI1727" t="s">
        <v>51</v>
      </c>
      <c r="AJ1727" t="s">
        <v>51</v>
      </c>
      <c r="AK1727" t="s">
        <v>51</v>
      </c>
    </row>
    <row r="1728" spans="1:37" x14ac:dyDescent="0.2">
      <c r="A1728">
        <v>59723</v>
      </c>
      <c r="B1728" t="s">
        <v>37</v>
      </c>
      <c r="C1728" t="s">
        <v>38</v>
      </c>
      <c r="D1728" t="s">
        <v>39</v>
      </c>
      <c r="E1728" t="s">
        <v>40</v>
      </c>
      <c r="G1728" s="4">
        <v>43946.918773148148</v>
      </c>
      <c r="H1728" s="4">
        <v>43946.935891203704</v>
      </c>
      <c r="I1728" t="s">
        <v>1635</v>
      </c>
      <c r="J1728" s="5">
        <v>1479.000000000000000000000000000000000004</v>
      </c>
      <c r="K1728" t="s">
        <v>38</v>
      </c>
      <c r="M1728">
        <v>59738</v>
      </c>
      <c r="N1728" t="s">
        <v>42</v>
      </c>
      <c r="O1728" t="s">
        <v>43</v>
      </c>
      <c r="P1728" t="s">
        <v>38</v>
      </c>
      <c r="Q1728" t="s">
        <v>88</v>
      </c>
      <c r="R1728">
        <v>2</v>
      </c>
      <c r="S1728" t="s">
        <v>45</v>
      </c>
      <c r="T1728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28">
        <v>59739</v>
      </c>
      <c r="V1728" t="s">
        <v>38</v>
      </c>
      <c r="W1728" t="s">
        <v>88</v>
      </c>
      <c r="X1728">
        <v>2</v>
      </c>
      <c r="Y1728">
        <v>0</v>
      </c>
      <c r="Z1728" t="s">
        <v>46</v>
      </c>
      <c r="AA1728">
        <v>59744</v>
      </c>
      <c r="AB1728" t="s">
        <v>1369</v>
      </c>
      <c r="AC1728" t="s">
        <v>48</v>
      </c>
      <c r="AD1728" t="s">
        <v>38</v>
      </c>
      <c r="AE1728" t="s">
        <v>49</v>
      </c>
      <c r="AF1728" t="s">
        <v>50</v>
      </c>
      <c r="AG1728">
        <v>0</v>
      </c>
      <c r="AH1728">
        <v>0</v>
      </c>
      <c r="AI1728" t="s">
        <v>51</v>
      </c>
      <c r="AJ1728" t="s">
        <v>51</v>
      </c>
      <c r="AK1728" t="s">
        <v>51</v>
      </c>
    </row>
    <row r="1729" spans="1:37" x14ac:dyDescent="0.2">
      <c r="A1729">
        <v>59723</v>
      </c>
      <c r="B1729" t="s">
        <v>37</v>
      </c>
      <c r="C1729" t="s">
        <v>38</v>
      </c>
      <c r="D1729" t="s">
        <v>39</v>
      </c>
      <c r="E1729" t="s">
        <v>40</v>
      </c>
      <c r="G1729" s="4">
        <v>43946.918773148148</v>
      </c>
      <c r="H1729" s="4">
        <v>43946.935891203704</v>
      </c>
      <c r="I1729" t="s">
        <v>1635</v>
      </c>
      <c r="J1729" s="5">
        <v>1479.000000000000000000000000000000000004</v>
      </c>
      <c r="K1729" t="s">
        <v>38</v>
      </c>
      <c r="M1729">
        <v>59738</v>
      </c>
      <c r="N1729" t="s">
        <v>42</v>
      </c>
      <c r="O1729" t="s">
        <v>43</v>
      </c>
      <c r="P1729" t="s">
        <v>38</v>
      </c>
      <c r="Q1729" t="s">
        <v>88</v>
      </c>
      <c r="R1729">
        <v>2</v>
      </c>
      <c r="S1729" t="s">
        <v>45</v>
      </c>
      <c r="T1729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29">
        <v>59739</v>
      </c>
      <c r="V1729" t="s">
        <v>38</v>
      </c>
      <c r="W1729" t="s">
        <v>88</v>
      </c>
      <c r="X1729">
        <v>2</v>
      </c>
      <c r="Y1729">
        <v>0</v>
      </c>
      <c r="Z1729" t="s">
        <v>46</v>
      </c>
      <c r="AA1729">
        <v>59743</v>
      </c>
      <c r="AB1729" t="s">
        <v>1370</v>
      </c>
      <c r="AC1729" t="s">
        <v>56</v>
      </c>
      <c r="AD1729" t="s">
        <v>38</v>
      </c>
      <c r="AE1729" t="s">
        <v>49</v>
      </c>
      <c r="AF1729" t="s">
        <v>50</v>
      </c>
      <c r="AG1729">
        <v>0</v>
      </c>
      <c r="AH1729">
        <v>0</v>
      </c>
      <c r="AI1729" t="s">
        <v>51</v>
      </c>
      <c r="AJ1729" t="s">
        <v>51</v>
      </c>
      <c r="AK1729" t="s">
        <v>51</v>
      </c>
    </row>
    <row r="1730" spans="1:37" x14ac:dyDescent="0.2">
      <c r="A1730">
        <v>59723</v>
      </c>
      <c r="B1730" t="s">
        <v>37</v>
      </c>
      <c r="C1730" t="s">
        <v>38</v>
      </c>
      <c r="D1730" t="s">
        <v>39</v>
      </c>
      <c r="E1730" t="s">
        <v>40</v>
      </c>
      <c r="G1730" s="4">
        <v>43946.918773148148</v>
      </c>
      <c r="H1730" s="4">
        <v>43946.935891203704</v>
      </c>
      <c r="I1730" t="s">
        <v>1635</v>
      </c>
      <c r="J1730" s="5">
        <v>1479.000000000000000000000000000000000004</v>
      </c>
      <c r="K1730" t="s">
        <v>38</v>
      </c>
      <c r="M1730">
        <v>59738</v>
      </c>
      <c r="N1730" t="s">
        <v>42</v>
      </c>
      <c r="O1730" t="s">
        <v>43</v>
      </c>
      <c r="P1730" t="s">
        <v>38</v>
      </c>
      <c r="Q1730" t="s">
        <v>88</v>
      </c>
      <c r="R1730">
        <v>2</v>
      </c>
      <c r="S1730" t="s">
        <v>45</v>
      </c>
      <c r="T1730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0">
        <v>59739</v>
      </c>
      <c r="V1730" t="s">
        <v>38</v>
      </c>
      <c r="W1730" t="s">
        <v>88</v>
      </c>
      <c r="X1730">
        <v>2</v>
      </c>
      <c r="Y1730">
        <v>0</v>
      </c>
      <c r="Z1730" t="s">
        <v>46</v>
      </c>
      <c r="AA1730">
        <v>59742</v>
      </c>
      <c r="AB1730" t="s">
        <v>1371</v>
      </c>
      <c r="AC1730" t="s">
        <v>56</v>
      </c>
      <c r="AD1730" t="s">
        <v>38</v>
      </c>
      <c r="AE1730" t="s">
        <v>49</v>
      </c>
      <c r="AF1730" t="s">
        <v>50</v>
      </c>
      <c r="AG1730">
        <v>.9999999999999999999999999999999999999996</v>
      </c>
      <c r="AH1730">
        <v>0</v>
      </c>
      <c r="AI1730" t="s">
        <v>51</v>
      </c>
      <c r="AJ1730" t="s">
        <v>51</v>
      </c>
      <c r="AK1730" t="s">
        <v>51</v>
      </c>
    </row>
    <row r="1731" spans="1:37" x14ac:dyDescent="0.2">
      <c r="A1731">
        <v>59723</v>
      </c>
      <c r="B1731" t="s">
        <v>37</v>
      </c>
      <c r="C1731" t="s">
        <v>38</v>
      </c>
      <c r="D1731" t="s">
        <v>39</v>
      </c>
      <c r="E1731" t="s">
        <v>40</v>
      </c>
      <c r="G1731" s="4">
        <v>43946.918773148148</v>
      </c>
      <c r="H1731" s="4">
        <v>43946.935891203704</v>
      </c>
      <c r="I1731" t="s">
        <v>1635</v>
      </c>
      <c r="J1731" s="5">
        <v>1479.000000000000000000000000000000000004</v>
      </c>
      <c r="K1731" t="s">
        <v>38</v>
      </c>
      <c r="M1731">
        <v>59738</v>
      </c>
      <c r="N1731" t="s">
        <v>42</v>
      </c>
      <c r="O1731" t="s">
        <v>43</v>
      </c>
      <c r="P1731" t="s">
        <v>38</v>
      </c>
      <c r="Q1731" t="s">
        <v>88</v>
      </c>
      <c r="R1731">
        <v>2</v>
      </c>
      <c r="S1731" t="s">
        <v>45</v>
      </c>
      <c r="T1731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1">
        <v>59739</v>
      </c>
      <c r="V1731" t="s">
        <v>38</v>
      </c>
      <c r="W1731" t="s">
        <v>88</v>
      </c>
      <c r="X1731">
        <v>2</v>
      </c>
      <c r="Y1731">
        <v>0</v>
      </c>
      <c r="Z1731" t="s">
        <v>46</v>
      </c>
      <c r="AA1731">
        <v>59741</v>
      </c>
      <c r="AB1731" t="s">
        <v>1372</v>
      </c>
      <c r="AC1731" t="s">
        <v>56</v>
      </c>
      <c r="AD1731" t="s">
        <v>38</v>
      </c>
      <c r="AE1731" t="s">
        <v>49</v>
      </c>
      <c r="AF1731" t="s">
        <v>50</v>
      </c>
      <c r="AG1731">
        <v>0</v>
      </c>
      <c r="AH1731">
        <v>0</v>
      </c>
      <c r="AI1731" t="s">
        <v>51</v>
      </c>
      <c r="AJ1731" t="s">
        <v>51</v>
      </c>
      <c r="AK1731" t="s">
        <v>51</v>
      </c>
    </row>
    <row r="1732" spans="1:37" x14ac:dyDescent="0.2">
      <c r="A1732">
        <v>59723</v>
      </c>
      <c r="B1732" t="s">
        <v>37</v>
      </c>
      <c r="C1732" t="s">
        <v>38</v>
      </c>
      <c r="D1732" t="s">
        <v>39</v>
      </c>
      <c r="E1732" t="s">
        <v>40</v>
      </c>
      <c r="G1732" s="4">
        <v>43946.918773148148</v>
      </c>
      <c r="H1732" s="4">
        <v>43946.935891203704</v>
      </c>
      <c r="I1732" t="s">
        <v>1635</v>
      </c>
      <c r="J1732" s="5">
        <v>1479.000000000000000000000000000000000004</v>
      </c>
      <c r="K1732" t="s">
        <v>38</v>
      </c>
      <c r="M1732">
        <v>59738</v>
      </c>
      <c r="N1732" t="s">
        <v>42</v>
      </c>
      <c r="O1732" t="s">
        <v>43</v>
      </c>
      <c r="P1732" t="s">
        <v>38</v>
      </c>
      <c r="Q1732" t="s">
        <v>88</v>
      </c>
      <c r="R1732">
        <v>2</v>
      </c>
      <c r="S1732" t="s">
        <v>45</v>
      </c>
      <c r="T1732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2">
        <v>59739</v>
      </c>
      <c r="V1732" t="s">
        <v>38</v>
      </c>
      <c r="W1732" t="s">
        <v>88</v>
      </c>
      <c r="X1732">
        <v>2</v>
      </c>
      <c r="Y1732">
        <v>0</v>
      </c>
      <c r="Z1732" t="s">
        <v>46</v>
      </c>
      <c r="AA1732">
        <v>59740</v>
      </c>
      <c r="AB1732" t="s">
        <v>1373</v>
      </c>
      <c r="AC1732" t="s">
        <v>60</v>
      </c>
      <c r="AD1732" t="s">
        <v>38</v>
      </c>
      <c r="AE1732" t="s">
        <v>49</v>
      </c>
      <c r="AF1732" t="s">
        <v>50</v>
      </c>
      <c r="AG1732">
        <v>0</v>
      </c>
      <c r="AH1732">
        <v>0</v>
      </c>
      <c r="AI1732" t="s">
        <v>51</v>
      </c>
      <c r="AJ1732" t="s">
        <v>51</v>
      </c>
      <c r="AK1732" t="s">
        <v>51</v>
      </c>
    </row>
    <row r="1733" spans="1:37" x14ac:dyDescent="0.2">
      <c r="A1733">
        <v>59723</v>
      </c>
      <c r="B1733" t="s">
        <v>37</v>
      </c>
      <c r="C1733" t="s">
        <v>38</v>
      </c>
      <c r="D1733" t="s">
        <v>39</v>
      </c>
      <c r="E1733" t="s">
        <v>40</v>
      </c>
      <c r="G1733" s="4">
        <v>43946.918773148148</v>
      </c>
      <c r="H1733" s="4">
        <v>43946.935891203704</v>
      </c>
      <c r="I1733" t="s">
        <v>1635</v>
      </c>
      <c r="J1733" s="5">
        <v>1479.000000000000000000000000000000000004</v>
      </c>
      <c r="K1733" t="s">
        <v>38</v>
      </c>
      <c r="M1733">
        <v>59734</v>
      </c>
      <c r="N1733" t="s">
        <v>61</v>
      </c>
      <c r="O1733" t="s">
        <v>62</v>
      </c>
      <c r="P1733" t="s">
        <v>38</v>
      </c>
      <c r="Q1733" t="s">
        <v>1636</v>
      </c>
      <c r="R1733">
        <v>1471.999999999999999999999999999999999997</v>
      </c>
      <c r="S1733" t="s">
        <v>45</v>
      </c>
      <c r="T1733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3">
        <v>59735</v>
      </c>
      <c r="V1733" t="s">
        <v>38</v>
      </c>
      <c r="W1733" t="s">
        <v>1636</v>
      </c>
      <c r="X1733">
        <v>1471.999999999999999999999999999999999997</v>
      </c>
      <c r="Y1733">
        <v>0</v>
      </c>
      <c r="Z1733" t="s">
        <v>46</v>
      </c>
      <c r="AA1733">
        <v>59737</v>
      </c>
      <c r="AB1733" t="s">
        <v>64</v>
      </c>
      <c r="AC1733" t="s">
        <v>56</v>
      </c>
      <c r="AD1733" t="s">
        <v>38</v>
      </c>
      <c r="AE1733" t="s">
        <v>65</v>
      </c>
      <c r="AF1733" t="s">
        <v>1636</v>
      </c>
      <c r="AG1733">
        <v>1471.999999999999999999999999999999999997</v>
      </c>
      <c r="AH1733">
        <v>6</v>
      </c>
      <c r="AI1733" t="s">
        <v>66</v>
      </c>
      <c r="AJ1733" t="s">
        <v>51</v>
      </c>
      <c r="AK1733" t="s">
        <v>66</v>
      </c>
    </row>
    <row r="1734" spans="1:37" x14ac:dyDescent="0.2">
      <c r="A1734">
        <v>59723</v>
      </c>
      <c r="B1734" t="s">
        <v>37</v>
      </c>
      <c r="C1734" t="s">
        <v>38</v>
      </c>
      <c r="D1734" t="s">
        <v>39</v>
      </c>
      <c r="E1734" t="s">
        <v>40</v>
      </c>
      <c r="G1734" s="4">
        <v>43946.918773148148</v>
      </c>
      <c r="H1734" s="4">
        <v>43946.935891203704</v>
      </c>
      <c r="I1734" t="s">
        <v>1635</v>
      </c>
      <c r="J1734" s="5">
        <v>1479.000000000000000000000000000000000004</v>
      </c>
      <c r="K1734" t="s">
        <v>38</v>
      </c>
      <c r="M1734">
        <v>59734</v>
      </c>
      <c r="N1734" t="s">
        <v>61</v>
      </c>
      <c r="O1734" t="s">
        <v>62</v>
      </c>
      <c r="P1734" t="s">
        <v>38</v>
      </c>
      <c r="Q1734" t="s">
        <v>1636</v>
      </c>
      <c r="R1734">
        <v>1471.999999999999999999999999999999999997</v>
      </c>
      <c r="S1734" t="s">
        <v>45</v>
      </c>
      <c r="T1734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4">
        <v>59735</v>
      </c>
      <c r="V1734" t="s">
        <v>38</v>
      </c>
      <c r="W1734" t="s">
        <v>1636</v>
      </c>
      <c r="X1734">
        <v>1471.999999999999999999999999999999999997</v>
      </c>
      <c r="Y1734">
        <v>0</v>
      </c>
      <c r="Z1734" t="s">
        <v>46</v>
      </c>
      <c r="AA1734">
        <v>59736</v>
      </c>
      <c r="AB1734" t="s">
        <v>1376</v>
      </c>
      <c r="AC1734" t="s">
        <v>68</v>
      </c>
      <c r="AD1734" t="s">
        <v>38</v>
      </c>
      <c r="AE1734" t="s">
        <v>49</v>
      </c>
      <c r="AF1734" t="s">
        <v>50</v>
      </c>
      <c r="AG1734">
        <v>0</v>
      </c>
      <c r="AH1734">
        <v>0</v>
      </c>
      <c r="AI1734" t="s">
        <v>51</v>
      </c>
      <c r="AJ1734" t="s">
        <v>51</v>
      </c>
      <c r="AK1734" t="s">
        <v>51</v>
      </c>
    </row>
    <row r="1735" spans="1:37" x14ac:dyDescent="0.2">
      <c r="A1735">
        <v>59723</v>
      </c>
      <c r="B1735" t="s">
        <v>37</v>
      </c>
      <c r="C1735" t="s">
        <v>38</v>
      </c>
      <c r="D1735" t="s">
        <v>39</v>
      </c>
      <c r="E1735" t="s">
        <v>40</v>
      </c>
      <c r="G1735" s="4">
        <v>43946.918773148148</v>
      </c>
      <c r="H1735" s="4">
        <v>43946.935891203704</v>
      </c>
      <c r="I1735" t="s">
        <v>1635</v>
      </c>
      <c r="J1735" s="5">
        <v>1479.000000000000000000000000000000000004</v>
      </c>
      <c r="K1735" t="s">
        <v>38</v>
      </c>
      <c r="M1735">
        <v>59730</v>
      </c>
      <c r="N1735" t="s">
        <v>69</v>
      </c>
      <c r="O1735" t="s">
        <v>70</v>
      </c>
      <c r="P1735" t="s">
        <v>38</v>
      </c>
      <c r="Q1735" t="s">
        <v>50</v>
      </c>
      <c r="R1735">
        <v>0</v>
      </c>
      <c r="S1735" t="s">
        <v>45</v>
      </c>
      <c r="T1735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5">
        <v>59731</v>
      </c>
      <c r="V1735" t="s">
        <v>38</v>
      </c>
      <c r="W1735" t="s">
        <v>50</v>
      </c>
      <c r="X1735">
        <v>0</v>
      </c>
      <c r="Y1735">
        <v>0</v>
      </c>
      <c r="Z1735" t="s">
        <v>46</v>
      </c>
      <c r="AA1735">
        <v>59733</v>
      </c>
      <c r="AB1735" t="s">
        <v>1377</v>
      </c>
      <c r="AC1735" t="s">
        <v>56</v>
      </c>
      <c r="AD1735" t="s">
        <v>38</v>
      </c>
      <c r="AE1735" t="s">
        <v>49</v>
      </c>
      <c r="AF1735" t="s">
        <v>50</v>
      </c>
      <c r="AG1735">
        <v>0</v>
      </c>
      <c r="AH1735">
        <v>0</v>
      </c>
      <c r="AI1735" t="s">
        <v>51</v>
      </c>
      <c r="AJ1735" t="s">
        <v>51</v>
      </c>
      <c r="AK1735" t="s">
        <v>51</v>
      </c>
    </row>
    <row r="1736" spans="1:37" x14ac:dyDescent="0.2">
      <c r="A1736">
        <v>59723</v>
      </c>
      <c r="B1736" t="s">
        <v>37</v>
      </c>
      <c r="C1736" t="s">
        <v>38</v>
      </c>
      <c r="D1736" t="s">
        <v>39</v>
      </c>
      <c r="E1736" t="s">
        <v>40</v>
      </c>
      <c r="G1736" s="4">
        <v>43946.918773148148</v>
      </c>
      <c r="H1736" s="4">
        <v>43946.935891203704</v>
      </c>
      <c r="I1736" t="s">
        <v>1635</v>
      </c>
      <c r="J1736" s="5">
        <v>1479.000000000000000000000000000000000004</v>
      </c>
      <c r="K1736" t="s">
        <v>38</v>
      </c>
      <c r="M1736">
        <v>59730</v>
      </c>
      <c r="N1736" t="s">
        <v>69</v>
      </c>
      <c r="O1736" t="s">
        <v>70</v>
      </c>
      <c r="P1736" t="s">
        <v>38</v>
      </c>
      <c r="Q1736" t="s">
        <v>50</v>
      </c>
      <c r="R1736">
        <v>0</v>
      </c>
      <c r="S1736" t="s">
        <v>45</v>
      </c>
      <c r="T1736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6">
        <v>59731</v>
      </c>
      <c r="V1736" t="s">
        <v>38</v>
      </c>
      <c r="W1736" t="s">
        <v>50</v>
      </c>
      <c r="X1736">
        <v>0</v>
      </c>
      <c r="Y1736">
        <v>0</v>
      </c>
      <c r="Z1736" t="s">
        <v>46</v>
      </c>
      <c r="AA1736">
        <v>59732</v>
      </c>
      <c r="AB1736" t="s">
        <v>72</v>
      </c>
      <c r="AC1736" t="s">
        <v>68</v>
      </c>
      <c r="AD1736" t="s">
        <v>38</v>
      </c>
      <c r="AE1736" t="s">
        <v>49</v>
      </c>
      <c r="AF1736" t="s">
        <v>50</v>
      </c>
      <c r="AG1736">
        <v>0</v>
      </c>
      <c r="AH1736">
        <v>0</v>
      </c>
      <c r="AI1736" t="s">
        <v>51</v>
      </c>
      <c r="AJ1736" t="s">
        <v>51</v>
      </c>
      <c r="AK1736" t="s">
        <v>51</v>
      </c>
    </row>
    <row r="1737" spans="1:37" x14ac:dyDescent="0.2">
      <c r="A1737">
        <v>59723</v>
      </c>
      <c r="B1737" t="s">
        <v>37</v>
      </c>
      <c r="C1737" t="s">
        <v>38</v>
      </c>
      <c r="D1737" t="s">
        <v>39</v>
      </c>
      <c r="E1737" t="s">
        <v>40</v>
      </c>
      <c r="G1737" s="4">
        <v>43946.918773148148</v>
      </c>
      <c r="H1737" s="4">
        <v>43946.935891203704</v>
      </c>
      <c r="I1737" t="s">
        <v>1635</v>
      </c>
      <c r="J1737" s="5">
        <v>1479.000000000000000000000000000000000004</v>
      </c>
      <c r="K1737" t="s">
        <v>38</v>
      </c>
      <c r="M1737">
        <v>59724</v>
      </c>
      <c r="N1737" t="s">
        <v>73</v>
      </c>
      <c r="O1737" t="s">
        <v>74</v>
      </c>
      <c r="P1737" t="s">
        <v>38</v>
      </c>
      <c r="Q1737" t="s">
        <v>78</v>
      </c>
      <c r="R1737">
        <v>5</v>
      </c>
      <c r="S1737" t="s">
        <v>45</v>
      </c>
      <c r="T1737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7">
        <v>59725</v>
      </c>
      <c r="V1737" t="s">
        <v>38</v>
      </c>
      <c r="W1737" t="s">
        <v>78</v>
      </c>
      <c r="X1737">
        <v>5</v>
      </c>
      <c r="Y1737">
        <v>0</v>
      </c>
      <c r="Z1737" t="s">
        <v>46</v>
      </c>
      <c r="AA1737">
        <v>59729</v>
      </c>
      <c r="AB1737" t="s">
        <v>76</v>
      </c>
      <c r="AC1737" t="s">
        <v>56</v>
      </c>
      <c r="AD1737" t="s">
        <v>38</v>
      </c>
      <c r="AE1737" t="s">
        <v>77</v>
      </c>
      <c r="AF1737" t="s">
        <v>50</v>
      </c>
      <c r="AG1737">
        <v>.9999999999999999999999999999999999999996</v>
      </c>
      <c r="AH1737">
        <v>0</v>
      </c>
      <c r="AI1737" t="s">
        <v>79</v>
      </c>
      <c r="AJ1737" t="s">
        <v>51</v>
      </c>
      <c r="AK1737" t="s">
        <v>79</v>
      </c>
    </row>
    <row r="1738" spans="1:37" x14ac:dyDescent="0.2">
      <c r="A1738">
        <v>59723</v>
      </c>
      <c r="B1738" t="s">
        <v>37</v>
      </c>
      <c r="C1738" t="s">
        <v>38</v>
      </c>
      <c r="D1738" t="s">
        <v>39</v>
      </c>
      <c r="E1738" t="s">
        <v>40</v>
      </c>
      <c r="G1738" s="4">
        <v>43946.918773148148</v>
      </c>
      <c r="H1738" s="4">
        <v>43946.935891203704</v>
      </c>
      <c r="I1738" t="s">
        <v>1635</v>
      </c>
      <c r="J1738" s="5">
        <v>1479.000000000000000000000000000000000004</v>
      </c>
      <c r="K1738" t="s">
        <v>38</v>
      </c>
      <c r="M1738">
        <v>59724</v>
      </c>
      <c r="N1738" t="s">
        <v>73</v>
      </c>
      <c r="O1738" t="s">
        <v>74</v>
      </c>
      <c r="P1738" t="s">
        <v>38</v>
      </c>
      <c r="Q1738" t="s">
        <v>78</v>
      </c>
      <c r="R1738">
        <v>5</v>
      </c>
      <c r="S1738" t="s">
        <v>45</v>
      </c>
      <c r="T1738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8">
        <v>59725</v>
      </c>
      <c r="V1738" t="s">
        <v>38</v>
      </c>
      <c r="W1738" t="s">
        <v>78</v>
      </c>
      <c r="X1738">
        <v>5</v>
      </c>
      <c r="Y1738">
        <v>0</v>
      </c>
      <c r="Z1738" t="s">
        <v>46</v>
      </c>
      <c r="AA1738">
        <v>59728</v>
      </c>
      <c r="AB1738" t="s">
        <v>80</v>
      </c>
      <c r="AC1738" t="s">
        <v>56</v>
      </c>
      <c r="AD1738" t="s">
        <v>38</v>
      </c>
      <c r="AE1738" t="s">
        <v>49</v>
      </c>
      <c r="AF1738" t="s">
        <v>50</v>
      </c>
      <c r="AG1738">
        <v>0</v>
      </c>
      <c r="AH1738">
        <v>0</v>
      </c>
      <c r="AI1738" t="s">
        <v>51</v>
      </c>
      <c r="AJ1738" t="s">
        <v>51</v>
      </c>
      <c r="AK1738" t="s">
        <v>51</v>
      </c>
    </row>
    <row r="1739" spans="1:37" x14ac:dyDescent="0.2">
      <c r="A1739">
        <v>59723</v>
      </c>
      <c r="B1739" t="s">
        <v>37</v>
      </c>
      <c r="C1739" t="s">
        <v>38</v>
      </c>
      <c r="D1739" t="s">
        <v>39</v>
      </c>
      <c r="E1739" t="s">
        <v>40</v>
      </c>
      <c r="G1739" s="4">
        <v>43946.918773148148</v>
      </c>
      <c r="H1739" s="4">
        <v>43946.935891203704</v>
      </c>
      <c r="I1739" t="s">
        <v>1635</v>
      </c>
      <c r="J1739" s="5">
        <v>1479.000000000000000000000000000000000004</v>
      </c>
      <c r="K1739" t="s">
        <v>38</v>
      </c>
      <c r="M1739">
        <v>59724</v>
      </c>
      <c r="N1739" t="s">
        <v>73</v>
      </c>
      <c r="O1739" t="s">
        <v>74</v>
      </c>
      <c r="P1739" t="s">
        <v>38</v>
      </c>
      <c r="Q1739" t="s">
        <v>78</v>
      </c>
      <c r="R1739">
        <v>5</v>
      </c>
      <c r="S1739" t="s">
        <v>45</v>
      </c>
      <c r="T1739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39">
        <v>59725</v>
      </c>
      <c r="V1739" t="s">
        <v>38</v>
      </c>
      <c r="W1739" t="s">
        <v>78</v>
      </c>
      <c r="X1739">
        <v>5</v>
      </c>
      <c r="Y1739">
        <v>0</v>
      </c>
      <c r="Z1739" t="s">
        <v>46</v>
      </c>
      <c r="AA1739">
        <v>59727</v>
      </c>
      <c r="AB1739" t="s">
        <v>1378</v>
      </c>
      <c r="AC1739" t="s">
        <v>68</v>
      </c>
      <c r="AD1739" t="s">
        <v>38</v>
      </c>
      <c r="AE1739" t="s">
        <v>49</v>
      </c>
      <c r="AF1739" t="s">
        <v>50</v>
      </c>
      <c r="AG1739">
        <v>0</v>
      </c>
      <c r="AH1739">
        <v>0</v>
      </c>
      <c r="AI1739" t="s">
        <v>51</v>
      </c>
      <c r="AJ1739" t="s">
        <v>51</v>
      </c>
      <c r="AK1739" t="s">
        <v>51</v>
      </c>
    </row>
    <row r="1740" spans="1:37" x14ac:dyDescent="0.2">
      <c r="A1740">
        <v>59723</v>
      </c>
      <c r="B1740" t="s">
        <v>37</v>
      </c>
      <c r="C1740" t="s">
        <v>38</v>
      </c>
      <c r="D1740" t="s">
        <v>39</v>
      </c>
      <c r="E1740" t="s">
        <v>40</v>
      </c>
      <c r="G1740" s="4">
        <v>43946.918773148148</v>
      </c>
      <c r="H1740" s="4">
        <v>43946.935891203704</v>
      </c>
      <c r="I1740" t="s">
        <v>1635</v>
      </c>
      <c r="J1740" s="5">
        <v>1479.000000000000000000000000000000000004</v>
      </c>
      <c r="K1740" t="s">
        <v>38</v>
      </c>
      <c r="M1740">
        <v>59724</v>
      </c>
      <c r="N1740" t="s">
        <v>73</v>
      </c>
      <c r="O1740" t="s">
        <v>74</v>
      </c>
      <c r="P1740" t="s">
        <v>38</v>
      </c>
      <c r="Q1740" t="s">
        <v>78</v>
      </c>
      <c r="R1740">
        <v>5</v>
      </c>
      <c r="S1740" t="s">
        <v>45</v>
      </c>
      <c r="T1740" t="str" s="2">
        <f>=HYPERLINK("http://demo.enginatics.com:80/ecc/user/applications/log/59723.log","http://demo.enginatics.com:80/ecc/user/applications/log/59723.log")</f>
        <v>"http://demo.enginatics.com:80/ecc/user/applications/log/59723.log")</v>
      </c>
      <c r="U1740">
        <v>59725</v>
      </c>
      <c r="V1740" t="s">
        <v>38</v>
      </c>
      <c r="W1740" t="s">
        <v>78</v>
      </c>
      <c r="X1740">
        <v>5</v>
      </c>
      <c r="Y1740">
        <v>0</v>
      </c>
      <c r="Z1740" t="s">
        <v>46</v>
      </c>
      <c r="AA1740">
        <v>59726</v>
      </c>
      <c r="AB1740" t="s">
        <v>82</v>
      </c>
      <c r="AC1740" t="s">
        <v>68</v>
      </c>
      <c r="AD1740" t="s">
        <v>38</v>
      </c>
      <c r="AE1740" t="s">
        <v>49</v>
      </c>
      <c r="AF1740" t="s">
        <v>44</v>
      </c>
      <c r="AG1740">
        <v>4</v>
      </c>
      <c r="AH1740">
        <v>1</v>
      </c>
      <c r="AI1740" t="s">
        <v>51</v>
      </c>
      <c r="AJ1740" t="s">
        <v>51</v>
      </c>
      <c r="AK1740" t="s">
        <v>51</v>
      </c>
    </row>
    <row r="1741" spans="1:37" x14ac:dyDescent="0.2">
      <c r="A1741">
        <v>59717</v>
      </c>
      <c r="B1741" t="s">
        <v>37</v>
      </c>
      <c r="C1741" t="s">
        <v>38</v>
      </c>
      <c r="D1741" t="s">
        <v>93</v>
      </c>
      <c r="E1741" t="s">
        <v>94</v>
      </c>
      <c r="G1741" s="4">
        <v>43946.917592592593</v>
      </c>
      <c r="H1741" s="4">
        <v>43946.917604166667</v>
      </c>
      <c r="I1741" t="s">
        <v>50</v>
      </c>
      <c r="J1741" s="5">
        <v>.9999999999999999999999999999999999999996</v>
      </c>
      <c r="K1741" t="s">
        <v>38</v>
      </c>
      <c r="M1741">
        <v>59718</v>
      </c>
      <c r="N1741" t="s">
        <v>94</v>
      </c>
      <c r="O1741" t="s">
        <v>95</v>
      </c>
      <c r="P1741" t="s">
        <v>38</v>
      </c>
      <c r="Q1741" t="s">
        <v>50</v>
      </c>
      <c r="R1741">
        <v>.9999999999999999999999999999999999999996</v>
      </c>
      <c r="S1741" t="s">
        <v>45</v>
      </c>
      <c r="T1741" t="str" s="2">
        <f>=HYPERLINK("http://demo.enginatics.com:80/ecc/user/applications/log/59717.log","http://demo.enginatics.com:80/ecc/user/applications/log/59717.log")</f>
        <v>"http://demo.enginatics.com:80/ecc/user/applications/log/59717.log")</v>
      </c>
      <c r="U1741">
        <v>59719</v>
      </c>
      <c r="V1741" t="s">
        <v>38</v>
      </c>
      <c r="W1741" t="s">
        <v>50</v>
      </c>
      <c r="X1741">
        <v>.9999999999999999999999999999999999999996</v>
      </c>
      <c r="Y1741">
        <v>0</v>
      </c>
      <c r="Z1741" t="s">
        <v>46</v>
      </c>
      <c r="AA1741">
        <v>59722</v>
      </c>
      <c r="AB1741" t="s">
        <v>96</v>
      </c>
      <c r="AC1741" t="s">
        <v>97</v>
      </c>
      <c r="AD1741" t="s">
        <v>38</v>
      </c>
      <c r="AE1741" t="s">
        <v>49</v>
      </c>
      <c r="AF1741" t="s">
        <v>50</v>
      </c>
      <c r="AG1741">
        <v>0</v>
      </c>
      <c r="AH1741">
        <v>0</v>
      </c>
      <c r="AI1741" t="s">
        <v>51</v>
      </c>
      <c r="AJ1741" t="s">
        <v>51</v>
      </c>
      <c r="AK1741" t="s">
        <v>51</v>
      </c>
    </row>
    <row r="1742" spans="1:37" x14ac:dyDescent="0.2">
      <c r="A1742">
        <v>59717</v>
      </c>
      <c r="B1742" t="s">
        <v>37</v>
      </c>
      <c r="C1742" t="s">
        <v>38</v>
      </c>
      <c r="D1742" t="s">
        <v>93</v>
      </c>
      <c r="E1742" t="s">
        <v>94</v>
      </c>
      <c r="G1742" s="4">
        <v>43946.917592592593</v>
      </c>
      <c r="H1742" s="4">
        <v>43946.917604166667</v>
      </c>
      <c r="I1742" t="s">
        <v>50</v>
      </c>
      <c r="J1742" s="5">
        <v>.9999999999999999999999999999999999999996</v>
      </c>
      <c r="K1742" t="s">
        <v>38</v>
      </c>
      <c r="M1742">
        <v>59718</v>
      </c>
      <c r="N1742" t="s">
        <v>94</v>
      </c>
      <c r="O1742" t="s">
        <v>95</v>
      </c>
      <c r="P1742" t="s">
        <v>38</v>
      </c>
      <c r="Q1742" t="s">
        <v>50</v>
      </c>
      <c r="R1742">
        <v>.9999999999999999999999999999999999999996</v>
      </c>
      <c r="S1742" t="s">
        <v>45</v>
      </c>
      <c r="T1742" t="str" s="2">
        <f>=HYPERLINK("http://demo.enginatics.com:80/ecc/user/applications/log/59717.log","http://demo.enginatics.com:80/ecc/user/applications/log/59717.log")</f>
        <v>"http://demo.enginatics.com:80/ecc/user/applications/log/59717.log")</v>
      </c>
      <c r="U1742">
        <v>59719</v>
      </c>
      <c r="V1742" t="s">
        <v>38</v>
      </c>
      <c r="W1742" t="s">
        <v>50</v>
      </c>
      <c r="X1742">
        <v>.9999999999999999999999999999999999999996</v>
      </c>
      <c r="Y1742">
        <v>0</v>
      </c>
      <c r="Z1742" t="s">
        <v>46</v>
      </c>
      <c r="AA1742">
        <v>59721</v>
      </c>
      <c r="AB1742" t="s">
        <v>98</v>
      </c>
      <c r="AC1742" t="s">
        <v>56</v>
      </c>
      <c r="AD1742" t="s">
        <v>38</v>
      </c>
      <c r="AE1742" t="s">
        <v>49</v>
      </c>
      <c r="AF1742" t="s">
        <v>50</v>
      </c>
      <c r="AG1742">
        <v>0</v>
      </c>
      <c r="AH1742">
        <v>0</v>
      </c>
      <c r="AI1742" t="s">
        <v>51</v>
      </c>
      <c r="AJ1742" t="s">
        <v>51</v>
      </c>
      <c r="AK1742" t="s">
        <v>51</v>
      </c>
    </row>
    <row r="1743" spans="1:37" x14ac:dyDescent="0.2">
      <c r="A1743">
        <v>59717</v>
      </c>
      <c r="B1743" t="s">
        <v>37</v>
      </c>
      <c r="C1743" t="s">
        <v>38</v>
      </c>
      <c r="D1743" t="s">
        <v>93</v>
      </c>
      <c r="E1743" t="s">
        <v>94</v>
      </c>
      <c r="G1743" s="4">
        <v>43946.917592592593</v>
      </c>
      <c r="H1743" s="4">
        <v>43946.917604166667</v>
      </c>
      <c r="I1743" t="s">
        <v>50</v>
      </c>
      <c r="J1743" s="5">
        <v>.9999999999999999999999999999999999999996</v>
      </c>
      <c r="K1743" t="s">
        <v>38</v>
      </c>
      <c r="M1743">
        <v>59718</v>
      </c>
      <c r="N1743" t="s">
        <v>94</v>
      </c>
      <c r="O1743" t="s">
        <v>95</v>
      </c>
      <c r="P1743" t="s">
        <v>38</v>
      </c>
      <c r="Q1743" t="s">
        <v>50</v>
      </c>
      <c r="R1743">
        <v>.9999999999999999999999999999999999999996</v>
      </c>
      <c r="S1743" t="s">
        <v>45</v>
      </c>
      <c r="T1743" t="str" s="2">
        <f>=HYPERLINK("http://demo.enginatics.com:80/ecc/user/applications/log/59717.log","http://demo.enginatics.com:80/ecc/user/applications/log/59717.log")</f>
        <v>"http://demo.enginatics.com:80/ecc/user/applications/log/59717.log")</v>
      </c>
      <c r="U1743">
        <v>59719</v>
      </c>
      <c r="V1743" t="s">
        <v>38</v>
      </c>
      <c r="W1743" t="s">
        <v>50</v>
      </c>
      <c r="X1743">
        <v>.9999999999999999999999999999999999999996</v>
      </c>
      <c r="Y1743">
        <v>0</v>
      </c>
      <c r="Z1743" t="s">
        <v>46</v>
      </c>
      <c r="AA1743">
        <v>59720</v>
      </c>
      <c r="AB1743" t="s">
        <v>99</v>
      </c>
      <c r="AC1743" t="s">
        <v>68</v>
      </c>
      <c r="AD1743" t="s">
        <v>38</v>
      </c>
      <c r="AE1743" t="s">
        <v>49</v>
      </c>
      <c r="AF1743" t="s">
        <v>50</v>
      </c>
      <c r="AG1743">
        <v>0</v>
      </c>
      <c r="AH1743">
        <v>0</v>
      </c>
      <c r="AI1743" t="s">
        <v>51</v>
      </c>
      <c r="AJ1743" t="s">
        <v>51</v>
      </c>
      <c r="AK1743" t="s">
        <v>51</v>
      </c>
    </row>
    <row r="1744" spans="1:37" x14ac:dyDescent="0.2">
      <c r="A1744">
        <v>59711</v>
      </c>
      <c r="B1744" t="s">
        <v>37</v>
      </c>
      <c r="C1744" t="s">
        <v>38</v>
      </c>
      <c r="D1744" t="s">
        <v>93</v>
      </c>
      <c r="E1744" t="s">
        <v>100</v>
      </c>
      <c r="G1744" s="4">
        <v>43946.9175</v>
      </c>
      <c r="H1744" s="4">
        <v>43946.917523148148</v>
      </c>
      <c r="I1744" t="s">
        <v>88</v>
      </c>
      <c r="J1744" s="5">
        <v>2</v>
      </c>
      <c r="K1744" t="s">
        <v>38</v>
      </c>
      <c r="M1744">
        <v>59712</v>
      </c>
      <c r="N1744" t="s">
        <v>100</v>
      </c>
      <c r="O1744" t="s">
        <v>101</v>
      </c>
      <c r="P1744" t="s">
        <v>38</v>
      </c>
      <c r="Q1744" t="s">
        <v>88</v>
      </c>
      <c r="R1744">
        <v>2</v>
      </c>
      <c r="S1744" t="s">
        <v>45</v>
      </c>
      <c r="T1744" t="str" s="2">
        <f>=HYPERLINK("http://demo.enginatics.com:80/ecc/user/applications/log/59711.log","http://demo.enginatics.com:80/ecc/user/applications/log/59711.log")</f>
        <v>"http://demo.enginatics.com:80/ecc/user/applications/log/59711.log")</v>
      </c>
      <c r="U1744">
        <v>59713</v>
      </c>
      <c r="V1744" t="s">
        <v>38</v>
      </c>
      <c r="W1744" t="s">
        <v>88</v>
      </c>
      <c r="X1744">
        <v>2</v>
      </c>
      <c r="Y1744">
        <v>1</v>
      </c>
      <c r="Z1744" t="s">
        <v>46</v>
      </c>
      <c r="AA1744">
        <v>59716</v>
      </c>
      <c r="AB1744" t="s">
        <v>102</v>
      </c>
      <c r="AC1744" t="s">
        <v>103</v>
      </c>
      <c r="AD1744" t="s">
        <v>38</v>
      </c>
      <c r="AE1744" t="s">
        <v>49</v>
      </c>
      <c r="AF1744" t="s">
        <v>50</v>
      </c>
      <c r="AG1744">
        <v>0</v>
      </c>
      <c r="AH1744">
        <v>0</v>
      </c>
      <c r="AI1744" t="s">
        <v>51</v>
      </c>
      <c r="AJ1744" t="s">
        <v>51</v>
      </c>
      <c r="AK1744" t="s">
        <v>51</v>
      </c>
    </row>
    <row r="1745" spans="1:37" x14ac:dyDescent="0.2">
      <c r="A1745">
        <v>59711</v>
      </c>
      <c r="B1745" t="s">
        <v>37</v>
      </c>
      <c r="C1745" t="s">
        <v>38</v>
      </c>
      <c r="D1745" t="s">
        <v>93</v>
      </c>
      <c r="E1745" t="s">
        <v>100</v>
      </c>
      <c r="G1745" s="4">
        <v>43946.9175</v>
      </c>
      <c r="H1745" s="4">
        <v>43946.917523148148</v>
      </c>
      <c r="I1745" t="s">
        <v>88</v>
      </c>
      <c r="J1745" s="5">
        <v>2</v>
      </c>
      <c r="K1745" t="s">
        <v>38</v>
      </c>
      <c r="M1745">
        <v>59712</v>
      </c>
      <c r="N1745" t="s">
        <v>100</v>
      </c>
      <c r="O1745" t="s">
        <v>101</v>
      </c>
      <c r="P1745" t="s">
        <v>38</v>
      </c>
      <c r="Q1745" t="s">
        <v>88</v>
      </c>
      <c r="R1745">
        <v>2</v>
      </c>
      <c r="S1745" t="s">
        <v>45</v>
      </c>
      <c r="T1745" t="str" s="2">
        <f>=HYPERLINK("http://demo.enginatics.com:80/ecc/user/applications/log/59711.log","http://demo.enginatics.com:80/ecc/user/applications/log/59711.log")</f>
        <v>"http://demo.enginatics.com:80/ecc/user/applications/log/59711.log")</v>
      </c>
      <c r="U1745">
        <v>59713</v>
      </c>
      <c r="V1745" t="s">
        <v>38</v>
      </c>
      <c r="W1745" t="s">
        <v>88</v>
      </c>
      <c r="X1745">
        <v>2</v>
      </c>
      <c r="Y1745">
        <v>1</v>
      </c>
      <c r="Z1745" t="s">
        <v>46</v>
      </c>
      <c r="AA1745">
        <v>59715</v>
      </c>
      <c r="AB1745" t="s">
        <v>104</v>
      </c>
      <c r="AC1745" t="s">
        <v>56</v>
      </c>
      <c r="AD1745" t="s">
        <v>38</v>
      </c>
      <c r="AE1745" t="s">
        <v>49</v>
      </c>
      <c r="AF1745" t="s">
        <v>50</v>
      </c>
      <c r="AG1745">
        <v>0</v>
      </c>
      <c r="AH1745">
        <v>0</v>
      </c>
      <c r="AI1745" t="s">
        <v>51</v>
      </c>
      <c r="AJ1745" t="s">
        <v>51</v>
      </c>
      <c r="AK1745" t="s">
        <v>51</v>
      </c>
    </row>
    <row r="1746" spans="1:37" x14ac:dyDescent="0.2">
      <c r="A1746">
        <v>59711</v>
      </c>
      <c r="B1746" t="s">
        <v>37</v>
      </c>
      <c r="C1746" t="s">
        <v>38</v>
      </c>
      <c r="D1746" t="s">
        <v>93</v>
      </c>
      <c r="E1746" t="s">
        <v>100</v>
      </c>
      <c r="G1746" s="4">
        <v>43946.9175</v>
      </c>
      <c r="H1746" s="4">
        <v>43946.917523148148</v>
      </c>
      <c r="I1746" t="s">
        <v>88</v>
      </c>
      <c r="J1746" s="5">
        <v>2</v>
      </c>
      <c r="K1746" t="s">
        <v>38</v>
      </c>
      <c r="M1746">
        <v>59712</v>
      </c>
      <c r="N1746" t="s">
        <v>100</v>
      </c>
      <c r="O1746" t="s">
        <v>101</v>
      </c>
      <c r="P1746" t="s">
        <v>38</v>
      </c>
      <c r="Q1746" t="s">
        <v>88</v>
      </c>
      <c r="R1746">
        <v>2</v>
      </c>
      <c r="S1746" t="s">
        <v>45</v>
      </c>
      <c r="T1746" t="str" s="2">
        <f>=HYPERLINK("http://demo.enginatics.com:80/ecc/user/applications/log/59711.log","http://demo.enginatics.com:80/ecc/user/applications/log/59711.log")</f>
        <v>"http://demo.enginatics.com:80/ecc/user/applications/log/59711.log")</v>
      </c>
      <c r="U1746">
        <v>59713</v>
      </c>
      <c r="V1746" t="s">
        <v>38</v>
      </c>
      <c r="W1746" t="s">
        <v>88</v>
      </c>
      <c r="X1746">
        <v>2</v>
      </c>
      <c r="Y1746">
        <v>1</v>
      </c>
      <c r="Z1746" t="s">
        <v>46</v>
      </c>
      <c r="AA1746">
        <v>59714</v>
      </c>
      <c r="AB1746" t="s">
        <v>105</v>
      </c>
      <c r="AC1746" t="s">
        <v>68</v>
      </c>
      <c r="AD1746" t="s">
        <v>38</v>
      </c>
      <c r="AE1746" t="s">
        <v>49</v>
      </c>
      <c r="AF1746" t="s">
        <v>50</v>
      </c>
      <c r="AG1746">
        <v>0</v>
      </c>
      <c r="AH1746">
        <v>0</v>
      </c>
      <c r="AI1746" t="s">
        <v>51</v>
      </c>
      <c r="AJ1746" t="s">
        <v>51</v>
      </c>
      <c r="AK1746" t="s">
        <v>51</v>
      </c>
    </row>
    <row r="1747" spans="1:37" x14ac:dyDescent="0.2">
      <c r="A1747">
        <v>59703</v>
      </c>
      <c r="B1747" t="s">
        <v>37</v>
      </c>
      <c r="C1747" t="s">
        <v>38</v>
      </c>
      <c r="D1747" t="s">
        <v>106</v>
      </c>
      <c r="E1747" t="s">
        <v>40</v>
      </c>
      <c r="G1747" s="4">
        <v>43946.832083333333</v>
      </c>
      <c r="H1747" s="4">
        <v>43946.832083333333</v>
      </c>
      <c r="I1747" t="s">
        <v>50</v>
      </c>
      <c r="J1747" s="5">
        <v>0</v>
      </c>
      <c r="K1747" t="s">
        <v>38</v>
      </c>
      <c r="M1747">
        <v>59710</v>
      </c>
      <c r="N1747" t="s">
        <v>107</v>
      </c>
      <c r="O1747" t="s">
        <v>108</v>
      </c>
      <c r="P1747" t="s">
        <v>38</v>
      </c>
      <c r="Q1747" t="s">
        <v>50</v>
      </c>
      <c r="R1747">
        <v>0</v>
      </c>
      <c r="S1747" t="s">
        <v>109</v>
      </c>
      <c r="T1747" t="str" s="2">
        <f>=HYPERLINK("http://demo.enginatics.com:80/ecc/user/applications/log/59703.log","http://demo.enginatics.com:80/ecc/user/applications/log/59703.log")</f>
        <v>"http://demo.enginatics.com:80/ecc/user/applications/log/59703.log")</v>
      </c>
    </row>
    <row r="1748" spans="1:37" x14ac:dyDescent="0.2">
      <c r="A1748">
        <v>59703</v>
      </c>
      <c r="B1748" t="s">
        <v>37</v>
      </c>
      <c r="C1748" t="s">
        <v>38</v>
      </c>
      <c r="D1748" t="s">
        <v>106</v>
      </c>
      <c r="E1748" t="s">
        <v>40</v>
      </c>
      <c r="G1748" s="4">
        <v>43946.832083333333</v>
      </c>
      <c r="H1748" s="4">
        <v>43946.832083333333</v>
      </c>
      <c r="I1748" t="s">
        <v>50</v>
      </c>
      <c r="J1748" s="5">
        <v>0</v>
      </c>
      <c r="K1748" t="s">
        <v>38</v>
      </c>
      <c r="M1748">
        <v>59709</v>
      </c>
      <c r="N1748" t="s">
        <v>110</v>
      </c>
      <c r="O1748" t="s">
        <v>111</v>
      </c>
      <c r="P1748" t="s">
        <v>38</v>
      </c>
      <c r="Q1748" t="s">
        <v>50</v>
      </c>
      <c r="R1748">
        <v>0</v>
      </c>
      <c r="S1748" t="s">
        <v>112</v>
      </c>
      <c r="T1748" t="str" s="2">
        <f>=HYPERLINK("http://demo.enginatics.com:80/ecc/user/applications/log/59703.log","http://demo.enginatics.com:80/ecc/user/applications/log/59703.log")</f>
        <v>"http://demo.enginatics.com:80/ecc/user/applications/log/59703.log")</v>
      </c>
    </row>
    <row r="1749" spans="1:37" x14ac:dyDescent="0.2">
      <c r="A1749">
        <v>59703</v>
      </c>
      <c r="B1749" t="s">
        <v>37</v>
      </c>
      <c r="C1749" t="s">
        <v>38</v>
      </c>
      <c r="D1749" t="s">
        <v>106</v>
      </c>
      <c r="E1749" t="s">
        <v>40</v>
      </c>
      <c r="G1749" s="4">
        <v>43946.832083333333</v>
      </c>
      <c r="H1749" s="4">
        <v>43946.832083333333</v>
      </c>
      <c r="I1749" t="s">
        <v>50</v>
      </c>
      <c r="J1749" s="5">
        <v>0</v>
      </c>
      <c r="K1749" t="s">
        <v>38</v>
      </c>
      <c r="M1749">
        <v>59708</v>
      </c>
      <c r="N1749" t="s">
        <v>113</v>
      </c>
      <c r="O1749" t="s">
        <v>106</v>
      </c>
      <c r="P1749" t="s">
        <v>38</v>
      </c>
      <c r="Q1749" t="s">
        <v>50</v>
      </c>
      <c r="R1749">
        <v>0</v>
      </c>
      <c r="S1749" t="s">
        <v>114</v>
      </c>
      <c r="T1749" t="str" s="2">
        <f>=HYPERLINK("http://demo.enginatics.com:80/ecc/user/applications/log/59703.log","http://demo.enginatics.com:80/ecc/user/applications/log/59703.log")</f>
        <v>"http://demo.enginatics.com:80/ecc/user/applications/log/59703.log")</v>
      </c>
    </row>
    <row r="1750" spans="1:37" x14ac:dyDescent="0.2">
      <c r="A1750">
        <v>59703</v>
      </c>
      <c r="B1750" t="s">
        <v>37</v>
      </c>
      <c r="C1750" t="s">
        <v>38</v>
      </c>
      <c r="D1750" t="s">
        <v>106</v>
      </c>
      <c r="E1750" t="s">
        <v>40</v>
      </c>
      <c r="G1750" s="4">
        <v>43946.832083333333</v>
      </c>
      <c r="H1750" s="4">
        <v>43946.832083333333</v>
      </c>
      <c r="I1750" t="s">
        <v>50</v>
      </c>
      <c r="J1750" s="5">
        <v>0</v>
      </c>
      <c r="K1750" t="s">
        <v>38</v>
      </c>
      <c r="M1750">
        <v>59704</v>
      </c>
      <c r="N1750" t="s">
        <v>115</v>
      </c>
      <c r="O1750" t="s">
        <v>116</v>
      </c>
      <c r="P1750" t="s">
        <v>38</v>
      </c>
      <c r="Q1750" t="s">
        <v>50</v>
      </c>
      <c r="R1750">
        <v>0</v>
      </c>
      <c r="S1750" t="s">
        <v>45</v>
      </c>
      <c r="T1750" t="str" s="2">
        <f>=HYPERLINK("http://demo.enginatics.com:80/ecc/user/applications/log/59703.log","http://demo.enginatics.com:80/ecc/user/applications/log/59703.log")</f>
        <v>"http://demo.enginatics.com:80/ecc/user/applications/log/59703.log")</v>
      </c>
      <c r="U1750">
        <v>59705</v>
      </c>
      <c r="V1750" t="s">
        <v>38</v>
      </c>
      <c r="W1750" t="s">
        <v>50</v>
      </c>
      <c r="X1750">
        <v>0</v>
      </c>
      <c r="Y1750">
        <v>0</v>
      </c>
      <c r="Z1750" t="s">
        <v>46</v>
      </c>
      <c r="AA1750">
        <v>59707</v>
      </c>
      <c r="AB1750" t="s">
        <v>1379</v>
      </c>
      <c r="AC1750" t="s">
        <v>68</v>
      </c>
      <c r="AD1750" t="s">
        <v>38</v>
      </c>
      <c r="AE1750" t="s">
        <v>49</v>
      </c>
      <c r="AF1750" t="s">
        <v>50</v>
      </c>
      <c r="AG1750">
        <v>0</v>
      </c>
      <c r="AH1750">
        <v>0</v>
      </c>
      <c r="AI1750" t="s">
        <v>51</v>
      </c>
      <c r="AJ1750" t="s">
        <v>51</v>
      </c>
      <c r="AK1750" t="s">
        <v>51</v>
      </c>
    </row>
    <row r="1751" spans="1:37" x14ac:dyDescent="0.2">
      <c r="A1751">
        <v>59703</v>
      </c>
      <c r="B1751" t="s">
        <v>37</v>
      </c>
      <c r="C1751" t="s">
        <v>38</v>
      </c>
      <c r="D1751" t="s">
        <v>106</v>
      </c>
      <c r="E1751" t="s">
        <v>40</v>
      </c>
      <c r="G1751" s="4">
        <v>43946.832083333333</v>
      </c>
      <c r="H1751" s="4">
        <v>43946.832083333333</v>
      </c>
      <c r="I1751" t="s">
        <v>50</v>
      </c>
      <c r="J1751" s="5">
        <v>0</v>
      </c>
      <c r="K1751" t="s">
        <v>38</v>
      </c>
      <c r="M1751">
        <v>59704</v>
      </c>
      <c r="N1751" t="s">
        <v>115</v>
      </c>
      <c r="O1751" t="s">
        <v>116</v>
      </c>
      <c r="P1751" t="s">
        <v>38</v>
      </c>
      <c r="Q1751" t="s">
        <v>50</v>
      </c>
      <c r="R1751">
        <v>0</v>
      </c>
      <c r="S1751" t="s">
        <v>45</v>
      </c>
      <c r="T1751" t="str" s="2">
        <f>=HYPERLINK("http://demo.enginatics.com:80/ecc/user/applications/log/59703.log","http://demo.enginatics.com:80/ecc/user/applications/log/59703.log")</f>
        <v>"http://demo.enginatics.com:80/ecc/user/applications/log/59703.log")</v>
      </c>
      <c r="U1751">
        <v>59705</v>
      </c>
      <c r="V1751" t="s">
        <v>38</v>
      </c>
      <c r="W1751" t="s">
        <v>50</v>
      </c>
      <c r="X1751">
        <v>0</v>
      </c>
      <c r="Y1751">
        <v>0</v>
      </c>
      <c r="Z1751" t="s">
        <v>46</v>
      </c>
      <c r="AA1751">
        <v>59706</v>
      </c>
      <c r="AB1751" t="s">
        <v>1380</v>
      </c>
      <c r="AC1751" t="s">
        <v>56</v>
      </c>
      <c r="AD1751" t="s">
        <v>38</v>
      </c>
      <c r="AE1751" t="s">
        <v>49</v>
      </c>
      <c r="AF1751" t="s">
        <v>50</v>
      </c>
      <c r="AG1751">
        <v>0</v>
      </c>
      <c r="AH1751">
        <v>0</v>
      </c>
      <c r="AI1751" t="s">
        <v>51</v>
      </c>
      <c r="AJ1751" t="s">
        <v>51</v>
      </c>
      <c r="AK1751" t="s">
        <v>51</v>
      </c>
    </row>
    <row r="1752" spans="1:37" x14ac:dyDescent="0.2">
      <c r="A1752">
        <v>59699</v>
      </c>
      <c r="B1752" t="s">
        <v>37</v>
      </c>
      <c r="C1752" t="s">
        <v>38</v>
      </c>
      <c r="D1752" t="s">
        <v>119</v>
      </c>
      <c r="E1752" t="s">
        <v>40</v>
      </c>
      <c r="G1752" s="4">
        <v>43946.786724537037</v>
      </c>
      <c r="H1752" s="4">
        <v>43946.786724537037</v>
      </c>
      <c r="I1752" t="s">
        <v>50</v>
      </c>
      <c r="J1752" s="5">
        <v>0</v>
      </c>
      <c r="K1752" t="s">
        <v>38</v>
      </c>
      <c r="M1752">
        <v>59700</v>
      </c>
      <c r="N1752" t="s">
        <v>120</v>
      </c>
      <c r="O1752" t="s">
        <v>121</v>
      </c>
      <c r="P1752" t="s">
        <v>38</v>
      </c>
      <c r="Q1752" t="s">
        <v>50</v>
      </c>
      <c r="R1752">
        <v>0</v>
      </c>
      <c r="S1752" t="s">
        <v>45</v>
      </c>
      <c r="T1752" t="str" s="2">
        <f>=HYPERLINK("http://demo.enginatics.com:80/ecc/user/applications/log/59699.log","http://demo.enginatics.com:80/ecc/user/applications/log/59699.log")</f>
        <v>"http://demo.enginatics.com:80/ecc/user/applications/log/59699.log")</v>
      </c>
      <c r="U1752">
        <v>59701</v>
      </c>
      <c r="V1752" t="s">
        <v>38</v>
      </c>
      <c r="W1752" t="s">
        <v>50</v>
      </c>
      <c r="X1752">
        <v>0</v>
      </c>
      <c r="Y1752">
        <v>0</v>
      </c>
      <c r="Z1752" t="s">
        <v>46</v>
      </c>
      <c r="AA1752">
        <v>59702</v>
      </c>
      <c r="AB1752" t="s">
        <v>122</v>
      </c>
      <c r="AC1752" t="s">
        <v>68</v>
      </c>
      <c r="AD1752" t="s">
        <v>38</v>
      </c>
      <c r="AE1752" t="s">
        <v>49</v>
      </c>
      <c r="AF1752" t="s">
        <v>50</v>
      </c>
      <c r="AG1752">
        <v>0</v>
      </c>
      <c r="AH1752">
        <v>0</v>
      </c>
      <c r="AI1752" t="s">
        <v>51</v>
      </c>
      <c r="AJ1752" t="s">
        <v>51</v>
      </c>
      <c r="AK1752" t="s">
        <v>51</v>
      </c>
    </row>
    <row r="1753" spans="1:37" x14ac:dyDescent="0.2">
      <c r="A1753">
        <v>59692</v>
      </c>
      <c r="B1753" t="s">
        <v>37</v>
      </c>
      <c r="C1753" t="s">
        <v>38</v>
      </c>
      <c r="D1753" t="s">
        <v>123</v>
      </c>
      <c r="E1753" t="s">
        <v>40</v>
      </c>
      <c r="G1753" s="4">
        <v>43946.783171296296</v>
      </c>
      <c r="H1753" s="4">
        <v>43946.78318287037</v>
      </c>
      <c r="I1753" t="s">
        <v>50</v>
      </c>
      <c r="J1753" s="5">
        <v>.9999999999999999999999999999999999999996</v>
      </c>
      <c r="K1753" t="s">
        <v>38</v>
      </c>
      <c r="M1753">
        <v>59696</v>
      </c>
      <c r="N1753" t="s">
        <v>124</v>
      </c>
      <c r="O1753" t="s">
        <v>125</v>
      </c>
      <c r="P1753" t="s">
        <v>38</v>
      </c>
      <c r="Q1753" t="s">
        <v>50</v>
      </c>
      <c r="R1753">
        <v>0</v>
      </c>
      <c r="S1753" t="s">
        <v>45</v>
      </c>
      <c r="T1753" t="str" s="2">
        <f>=HYPERLINK("http://demo.enginatics.com:80/ecc/user/applications/log/59692.log","http://demo.enginatics.com:80/ecc/user/applications/log/59692.log")</f>
        <v>"http://demo.enginatics.com:80/ecc/user/applications/log/59692.log")</v>
      </c>
      <c r="U1753">
        <v>59697</v>
      </c>
      <c r="V1753" t="s">
        <v>38</v>
      </c>
      <c r="W1753" t="s">
        <v>50</v>
      </c>
      <c r="X1753">
        <v>0</v>
      </c>
      <c r="Y1753">
        <v>0</v>
      </c>
      <c r="Z1753" t="s">
        <v>46</v>
      </c>
      <c r="AA1753">
        <v>59698</v>
      </c>
      <c r="AB1753" t="s">
        <v>1637</v>
      </c>
      <c r="AC1753" t="s">
        <v>68</v>
      </c>
      <c r="AD1753" t="s">
        <v>38</v>
      </c>
      <c r="AE1753" t="s">
        <v>49</v>
      </c>
      <c r="AF1753" t="s">
        <v>50</v>
      </c>
      <c r="AG1753">
        <v>0</v>
      </c>
      <c r="AH1753">
        <v>0</v>
      </c>
      <c r="AI1753" t="s">
        <v>51</v>
      </c>
      <c r="AJ1753" t="s">
        <v>51</v>
      </c>
      <c r="AK1753" t="s">
        <v>51</v>
      </c>
    </row>
    <row r="1754" spans="1:37" x14ac:dyDescent="0.2">
      <c r="A1754">
        <v>59692</v>
      </c>
      <c r="B1754" t="s">
        <v>37</v>
      </c>
      <c r="C1754" t="s">
        <v>38</v>
      </c>
      <c r="D1754" t="s">
        <v>123</v>
      </c>
      <c r="E1754" t="s">
        <v>40</v>
      </c>
      <c r="G1754" s="4">
        <v>43946.783171296296</v>
      </c>
      <c r="H1754" s="4">
        <v>43946.78318287037</v>
      </c>
      <c r="I1754" t="s">
        <v>50</v>
      </c>
      <c r="J1754" s="5">
        <v>.9999999999999999999999999999999999999996</v>
      </c>
      <c r="K1754" t="s">
        <v>38</v>
      </c>
      <c r="M1754">
        <v>59693</v>
      </c>
      <c r="N1754" t="s">
        <v>127</v>
      </c>
      <c r="O1754" t="s">
        <v>128</v>
      </c>
      <c r="P1754" t="s">
        <v>38</v>
      </c>
      <c r="Q1754" t="s">
        <v>50</v>
      </c>
      <c r="R1754">
        <v>.9999999999999999999999999999999999999996</v>
      </c>
      <c r="S1754" t="s">
        <v>45</v>
      </c>
      <c r="T1754" t="str" s="2">
        <f>=HYPERLINK("http://demo.enginatics.com:80/ecc/user/applications/log/59692.log","http://demo.enginatics.com:80/ecc/user/applications/log/59692.log")</f>
        <v>"http://demo.enginatics.com:80/ecc/user/applications/log/59692.log")</v>
      </c>
      <c r="U1754">
        <v>59694</v>
      </c>
      <c r="V1754" t="s">
        <v>38</v>
      </c>
      <c r="W1754" t="s">
        <v>50</v>
      </c>
      <c r="X1754">
        <v>.9999999999999999999999999999999999999996</v>
      </c>
      <c r="Y1754">
        <v>0</v>
      </c>
      <c r="Z1754" t="s">
        <v>46</v>
      </c>
      <c r="AA1754">
        <v>59695</v>
      </c>
      <c r="AB1754" t="s">
        <v>1638</v>
      </c>
      <c r="AC1754" t="s">
        <v>68</v>
      </c>
      <c r="AD1754" t="s">
        <v>38</v>
      </c>
      <c r="AE1754" t="s">
        <v>49</v>
      </c>
      <c r="AF1754" t="s">
        <v>50</v>
      </c>
      <c r="AG1754">
        <v>.9999999999999999999999999999999999999996</v>
      </c>
      <c r="AH1754">
        <v>0</v>
      </c>
      <c r="AI1754" t="s">
        <v>51</v>
      </c>
      <c r="AJ1754" t="s">
        <v>51</v>
      </c>
      <c r="AK1754" t="s">
        <v>51</v>
      </c>
    </row>
    <row r="1755" spans="1:37" x14ac:dyDescent="0.2">
      <c r="A1755">
        <v>59653</v>
      </c>
      <c r="B1755" t="s">
        <v>37</v>
      </c>
      <c r="C1755" t="s">
        <v>38</v>
      </c>
      <c r="D1755" t="s">
        <v>130</v>
      </c>
      <c r="E1755" t="s">
        <v>40</v>
      </c>
      <c r="G1755" s="4">
        <v>43946.698819444444</v>
      </c>
      <c r="H1755" s="4">
        <v>43946.698912037037</v>
      </c>
      <c r="I1755" t="s">
        <v>652</v>
      </c>
      <c r="J1755" s="5">
        <v>8</v>
      </c>
      <c r="K1755" t="s">
        <v>38</v>
      </c>
      <c r="M1755">
        <v>59680</v>
      </c>
      <c r="N1755" t="s">
        <v>131</v>
      </c>
      <c r="O1755" t="s">
        <v>132</v>
      </c>
      <c r="P1755" t="s">
        <v>38</v>
      </c>
      <c r="Q1755" t="s">
        <v>88</v>
      </c>
      <c r="R1755">
        <v>2</v>
      </c>
      <c r="S1755" t="s">
        <v>45</v>
      </c>
      <c r="T1755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55">
        <v>59681</v>
      </c>
      <c r="V1755" t="s">
        <v>38</v>
      </c>
      <c r="W1755" t="s">
        <v>88</v>
      </c>
      <c r="X1755">
        <v>2</v>
      </c>
      <c r="Y1755">
        <v>0</v>
      </c>
      <c r="Z1755" t="s">
        <v>46</v>
      </c>
      <c r="AA1755">
        <v>59691</v>
      </c>
      <c r="AB1755" t="s">
        <v>1383</v>
      </c>
      <c r="AC1755" t="s">
        <v>48</v>
      </c>
      <c r="AD1755" t="s">
        <v>38</v>
      </c>
      <c r="AE1755" t="s">
        <v>49</v>
      </c>
      <c r="AF1755" t="s">
        <v>50</v>
      </c>
      <c r="AG1755">
        <v>.9999999999999999999999999999999999999996</v>
      </c>
      <c r="AH1755">
        <v>0</v>
      </c>
      <c r="AI1755" t="s">
        <v>51</v>
      </c>
      <c r="AJ1755" t="s">
        <v>51</v>
      </c>
      <c r="AK1755" t="s">
        <v>51</v>
      </c>
    </row>
    <row r="1756" spans="1:37" x14ac:dyDescent="0.2">
      <c r="A1756">
        <v>59653</v>
      </c>
      <c r="B1756" t="s">
        <v>37</v>
      </c>
      <c r="C1756" t="s">
        <v>38</v>
      </c>
      <c r="D1756" t="s">
        <v>130</v>
      </c>
      <c r="E1756" t="s">
        <v>40</v>
      </c>
      <c r="G1756" s="4">
        <v>43946.698819444444</v>
      </c>
      <c r="H1756" s="4">
        <v>43946.698912037037</v>
      </c>
      <c r="I1756" t="s">
        <v>652</v>
      </c>
      <c r="J1756" s="5">
        <v>8</v>
      </c>
      <c r="K1756" t="s">
        <v>38</v>
      </c>
      <c r="M1756">
        <v>59680</v>
      </c>
      <c r="N1756" t="s">
        <v>131</v>
      </c>
      <c r="O1756" t="s">
        <v>132</v>
      </c>
      <c r="P1756" t="s">
        <v>38</v>
      </c>
      <c r="Q1756" t="s">
        <v>88</v>
      </c>
      <c r="R1756">
        <v>2</v>
      </c>
      <c r="S1756" t="s">
        <v>45</v>
      </c>
      <c r="T1756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56">
        <v>59681</v>
      </c>
      <c r="V1756" t="s">
        <v>38</v>
      </c>
      <c r="W1756" t="s">
        <v>88</v>
      </c>
      <c r="X1756">
        <v>2</v>
      </c>
      <c r="Y1756">
        <v>0</v>
      </c>
      <c r="Z1756" t="s">
        <v>46</v>
      </c>
      <c r="AA1756">
        <v>59690</v>
      </c>
      <c r="AB1756" t="s">
        <v>1384</v>
      </c>
      <c r="AC1756" t="s">
        <v>48</v>
      </c>
      <c r="AD1756" t="s">
        <v>38</v>
      </c>
      <c r="AE1756" t="s">
        <v>49</v>
      </c>
      <c r="AF1756" t="s">
        <v>50</v>
      </c>
      <c r="AG1756">
        <v>0</v>
      </c>
      <c r="AH1756">
        <v>0</v>
      </c>
      <c r="AI1756" t="s">
        <v>51</v>
      </c>
      <c r="AJ1756" t="s">
        <v>51</v>
      </c>
      <c r="AK1756" t="s">
        <v>51</v>
      </c>
    </row>
    <row r="1757" spans="1:37" x14ac:dyDescent="0.2">
      <c r="A1757">
        <v>59653</v>
      </c>
      <c r="B1757" t="s">
        <v>37</v>
      </c>
      <c r="C1757" t="s">
        <v>38</v>
      </c>
      <c r="D1757" t="s">
        <v>130</v>
      </c>
      <c r="E1757" t="s">
        <v>40</v>
      </c>
      <c r="G1757" s="4">
        <v>43946.698819444444</v>
      </c>
      <c r="H1757" s="4">
        <v>43946.698912037037</v>
      </c>
      <c r="I1757" t="s">
        <v>652</v>
      </c>
      <c r="J1757" s="5">
        <v>8</v>
      </c>
      <c r="K1757" t="s">
        <v>38</v>
      </c>
      <c r="M1757">
        <v>59680</v>
      </c>
      <c r="N1757" t="s">
        <v>131</v>
      </c>
      <c r="O1757" t="s">
        <v>132</v>
      </c>
      <c r="P1757" t="s">
        <v>38</v>
      </c>
      <c r="Q1757" t="s">
        <v>88</v>
      </c>
      <c r="R1757">
        <v>2</v>
      </c>
      <c r="S1757" t="s">
        <v>45</v>
      </c>
      <c r="T1757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57">
        <v>59681</v>
      </c>
      <c r="V1757" t="s">
        <v>38</v>
      </c>
      <c r="W1757" t="s">
        <v>88</v>
      </c>
      <c r="X1757">
        <v>2</v>
      </c>
      <c r="Y1757">
        <v>0</v>
      </c>
      <c r="Z1757" t="s">
        <v>46</v>
      </c>
      <c r="AA1757">
        <v>59689</v>
      </c>
      <c r="AB1757" t="s">
        <v>1385</v>
      </c>
      <c r="AC1757" t="s">
        <v>48</v>
      </c>
      <c r="AD1757" t="s">
        <v>38</v>
      </c>
      <c r="AE1757" t="s">
        <v>49</v>
      </c>
      <c r="AF1757" t="s">
        <v>50</v>
      </c>
      <c r="AG1757">
        <v>0</v>
      </c>
      <c r="AH1757">
        <v>0</v>
      </c>
      <c r="AI1757" t="s">
        <v>51</v>
      </c>
      <c r="AJ1757" t="s">
        <v>51</v>
      </c>
      <c r="AK1757" t="s">
        <v>51</v>
      </c>
    </row>
    <row r="1758" spans="1:37" x14ac:dyDescent="0.2">
      <c r="A1758">
        <v>59653</v>
      </c>
      <c r="B1758" t="s">
        <v>37</v>
      </c>
      <c r="C1758" t="s">
        <v>38</v>
      </c>
      <c r="D1758" t="s">
        <v>130</v>
      </c>
      <c r="E1758" t="s">
        <v>40</v>
      </c>
      <c r="G1758" s="4">
        <v>43946.698819444444</v>
      </c>
      <c r="H1758" s="4">
        <v>43946.698912037037</v>
      </c>
      <c r="I1758" t="s">
        <v>652</v>
      </c>
      <c r="J1758" s="5">
        <v>8</v>
      </c>
      <c r="K1758" t="s">
        <v>38</v>
      </c>
      <c r="M1758">
        <v>59680</v>
      </c>
      <c r="N1758" t="s">
        <v>131</v>
      </c>
      <c r="O1758" t="s">
        <v>132</v>
      </c>
      <c r="P1758" t="s">
        <v>38</v>
      </c>
      <c r="Q1758" t="s">
        <v>88</v>
      </c>
      <c r="R1758">
        <v>2</v>
      </c>
      <c r="S1758" t="s">
        <v>45</v>
      </c>
      <c r="T1758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58">
        <v>59681</v>
      </c>
      <c r="V1758" t="s">
        <v>38</v>
      </c>
      <c r="W1758" t="s">
        <v>88</v>
      </c>
      <c r="X1758">
        <v>2</v>
      </c>
      <c r="Y1758">
        <v>0</v>
      </c>
      <c r="Z1758" t="s">
        <v>46</v>
      </c>
      <c r="AA1758">
        <v>59688</v>
      </c>
      <c r="AB1758" t="s">
        <v>1386</v>
      </c>
      <c r="AC1758" t="s">
        <v>48</v>
      </c>
      <c r="AD1758" t="s">
        <v>38</v>
      </c>
      <c r="AE1758" t="s">
        <v>49</v>
      </c>
      <c r="AF1758" t="s">
        <v>50</v>
      </c>
      <c r="AG1758">
        <v>0</v>
      </c>
      <c r="AH1758">
        <v>0</v>
      </c>
      <c r="AI1758" t="s">
        <v>51</v>
      </c>
      <c r="AJ1758" t="s">
        <v>51</v>
      </c>
      <c r="AK1758" t="s">
        <v>51</v>
      </c>
    </row>
    <row r="1759" spans="1:37" x14ac:dyDescent="0.2">
      <c r="A1759">
        <v>59653</v>
      </c>
      <c r="B1759" t="s">
        <v>37</v>
      </c>
      <c r="C1759" t="s">
        <v>38</v>
      </c>
      <c r="D1759" t="s">
        <v>130</v>
      </c>
      <c r="E1759" t="s">
        <v>40</v>
      </c>
      <c r="G1759" s="4">
        <v>43946.698819444444</v>
      </c>
      <c r="H1759" s="4">
        <v>43946.698912037037</v>
      </c>
      <c r="I1759" t="s">
        <v>652</v>
      </c>
      <c r="J1759" s="5">
        <v>8</v>
      </c>
      <c r="K1759" t="s">
        <v>38</v>
      </c>
      <c r="M1759">
        <v>59680</v>
      </c>
      <c r="N1759" t="s">
        <v>131</v>
      </c>
      <c r="O1759" t="s">
        <v>132</v>
      </c>
      <c r="P1759" t="s">
        <v>38</v>
      </c>
      <c r="Q1759" t="s">
        <v>88</v>
      </c>
      <c r="R1759">
        <v>2</v>
      </c>
      <c r="S1759" t="s">
        <v>45</v>
      </c>
      <c r="T1759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59">
        <v>59681</v>
      </c>
      <c r="V1759" t="s">
        <v>38</v>
      </c>
      <c r="W1759" t="s">
        <v>88</v>
      </c>
      <c r="X1759">
        <v>2</v>
      </c>
      <c r="Y1759">
        <v>0</v>
      </c>
      <c r="Z1759" t="s">
        <v>46</v>
      </c>
      <c r="AA1759">
        <v>59687</v>
      </c>
      <c r="AB1759" t="s">
        <v>1387</v>
      </c>
      <c r="AC1759" t="s">
        <v>48</v>
      </c>
      <c r="AD1759" t="s">
        <v>38</v>
      </c>
      <c r="AE1759" t="s">
        <v>49</v>
      </c>
      <c r="AF1759" t="s">
        <v>50</v>
      </c>
      <c r="AG1759">
        <v>0</v>
      </c>
      <c r="AH1759">
        <v>0</v>
      </c>
      <c r="AI1759" t="s">
        <v>51</v>
      </c>
      <c r="AJ1759" t="s">
        <v>51</v>
      </c>
      <c r="AK1759" t="s">
        <v>51</v>
      </c>
    </row>
    <row r="1760" spans="1:37" x14ac:dyDescent="0.2">
      <c r="A1760">
        <v>59653</v>
      </c>
      <c r="B1760" t="s">
        <v>37</v>
      </c>
      <c r="C1760" t="s">
        <v>38</v>
      </c>
      <c r="D1760" t="s">
        <v>130</v>
      </c>
      <c r="E1760" t="s">
        <v>40</v>
      </c>
      <c r="G1760" s="4">
        <v>43946.698819444444</v>
      </c>
      <c r="H1760" s="4">
        <v>43946.698912037037</v>
      </c>
      <c r="I1760" t="s">
        <v>652</v>
      </c>
      <c r="J1760" s="5">
        <v>8</v>
      </c>
      <c r="K1760" t="s">
        <v>38</v>
      </c>
      <c r="M1760">
        <v>59680</v>
      </c>
      <c r="N1760" t="s">
        <v>131</v>
      </c>
      <c r="O1760" t="s">
        <v>132</v>
      </c>
      <c r="P1760" t="s">
        <v>38</v>
      </c>
      <c r="Q1760" t="s">
        <v>88</v>
      </c>
      <c r="R1760">
        <v>2</v>
      </c>
      <c r="S1760" t="s">
        <v>45</v>
      </c>
      <c r="T1760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0">
        <v>59681</v>
      </c>
      <c r="V1760" t="s">
        <v>38</v>
      </c>
      <c r="W1760" t="s">
        <v>88</v>
      </c>
      <c r="X1760">
        <v>2</v>
      </c>
      <c r="Y1760">
        <v>0</v>
      </c>
      <c r="Z1760" t="s">
        <v>46</v>
      </c>
      <c r="AA1760">
        <v>59686</v>
      </c>
      <c r="AB1760" t="s">
        <v>1388</v>
      </c>
      <c r="AC1760" t="s">
        <v>60</v>
      </c>
      <c r="AD1760" t="s">
        <v>38</v>
      </c>
      <c r="AE1760" t="s">
        <v>49</v>
      </c>
      <c r="AF1760" t="s">
        <v>50</v>
      </c>
      <c r="AG1760">
        <v>0</v>
      </c>
      <c r="AH1760">
        <v>0</v>
      </c>
      <c r="AI1760" t="s">
        <v>51</v>
      </c>
      <c r="AJ1760" t="s">
        <v>51</v>
      </c>
      <c r="AK1760" t="s">
        <v>51</v>
      </c>
    </row>
    <row r="1761" spans="1:37" x14ac:dyDescent="0.2">
      <c r="A1761">
        <v>59653</v>
      </c>
      <c r="B1761" t="s">
        <v>37</v>
      </c>
      <c r="C1761" t="s">
        <v>38</v>
      </c>
      <c r="D1761" t="s">
        <v>130</v>
      </c>
      <c r="E1761" t="s">
        <v>40</v>
      </c>
      <c r="G1761" s="4">
        <v>43946.698819444444</v>
      </c>
      <c r="H1761" s="4">
        <v>43946.698912037037</v>
      </c>
      <c r="I1761" t="s">
        <v>652</v>
      </c>
      <c r="J1761" s="5">
        <v>8</v>
      </c>
      <c r="K1761" t="s">
        <v>38</v>
      </c>
      <c r="M1761">
        <v>59680</v>
      </c>
      <c r="N1761" t="s">
        <v>131</v>
      </c>
      <c r="O1761" t="s">
        <v>132</v>
      </c>
      <c r="P1761" t="s">
        <v>38</v>
      </c>
      <c r="Q1761" t="s">
        <v>88</v>
      </c>
      <c r="R1761">
        <v>2</v>
      </c>
      <c r="S1761" t="s">
        <v>45</v>
      </c>
      <c r="T1761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1">
        <v>59681</v>
      </c>
      <c r="V1761" t="s">
        <v>38</v>
      </c>
      <c r="W1761" t="s">
        <v>88</v>
      </c>
      <c r="X1761">
        <v>2</v>
      </c>
      <c r="Y1761">
        <v>0</v>
      </c>
      <c r="Z1761" t="s">
        <v>46</v>
      </c>
      <c r="AA1761">
        <v>59685</v>
      </c>
      <c r="AB1761" t="s">
        <v>1389</v>
      </c>
      <c r="AC1761" t="s">
        <v>60</v>
      </c>
      <c r="AD1761" t="s">
        <v>38</v>
      </c>
      <c r="AE1761" t="s">
        <v>49</v>
      </c>
      <c r="AF1761" t="s">
        <v>50</v>
      </c>
      <c r="AG1761">
        <v>.9999999999999999999999999999999999999996</v>
      </c>
      <c r="AH1761">
        <v>0</v>
      </c>
      <c r="AI1761" t="s">
        <v>51</v>
      </c>
      <c r="AJ1761" t="s">
        <v>51</v>
      </c>
      <c r="AK1761" t="s">
        <v>51</v>
      </c>
    </row>
    <row r="1762" spans="1:37" x14ac:dyDescent="0.2">
      <c r="A1762">
        <v>59653</v>
      </c>
      <c r="B1762" t="s">
        <v>37</v>
      </c>
      <c r="C1762" t="s">
        <v>38</v>
      </c>
      <c r="D1762" t="s">
        <v>130</v>
      </c>
      <c r="E1762" t="s">
        <v>40</v>
      </c>
      <c r="G1762" s="4">
        <v>43946.698819444444</v>
      </c>
      <c r="H1762" s="4">
        <v>43946.698912037037</v>
      </c>
      <c r="I1762" t="s">
        <v>652</v>
      </c>
      <c r="J1762" s="5">
        <v>8</v>
      </c>
      <c r="K1762" t="s">
        <v>38</v>
      </c>
      <c r="M1762">
        <v>59680</v>
      </c>
      <c r="N1762" t="s">
        <v>131</v>
      </c>
      <c r="O1762" t="s">
        <v>132</v>
      </c>
      <c r="P1762" t="s">
        <v>38</v>
      </c>
      <c r="Q1762" t="s">
        <v>88</v>
      </c>
      <c r="R1762">
        <v>2</v>
      </c>
      <c r="S1762" t="s">
        <v>45</v>
      </c>
      <c r="T1762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2">
        <v>59681</v>
      </c>
      <c r="V1762" t="s">
        <v>38</v>
      </c>
      <c r="W1762" t="s">
        <v>88</v>
      </c>
      <c r="X1762">
        <v>2</v>
      </c>
      <c r="Y1762">
        <v>0</v>
      </c>
      <c r="Z1762" t="s">
        <v>46</v>
      </c>
      <c r="AA1762">
        <v>59684</v>
      </c>
      <c r="AB1762" t="s">
        <v>1390</v>
      </c>
      <c r="AC1762" t="s">
        <v>56</v>
      </c>
      <c r="AD1762" t="s">
        <v>38</v>
      </c>
      <c r="AE1762" t="s">
        <v>49</v>
      </c>
      <c r="AF1762" t="s">
        <v>50</v>
      </c>
      <c r="AG1762">
        <v>0</v>
      </c>
      <c r="AH1762">
        <v>0</v>
      </c>
      <c r="AI1762" t="s">
        <v>51</v>
      </c>
      <c r="AJ1762" t="s">
        <v>51</v>
      </c>
      <c r="AK1762" t="s">
        <v>51</v>
      </c>
    </row>
    <row r="1763" spans="1:37" x14ac:dyDescent="0.2">
      <c r="A1763">
        <v>59653</v>
      </c>
      <c r="B1763" t="s">
        <v>37</v>
      </c>
      <c r="C1763" t="s">
        <v>38</v>
      </c>
      <c r="D1763" t="s">
        <v>130</v>
      </c>
      <c r="E1763" t="s">
        <v>40</v>
      </c>
      <c r="G1763" s="4">
        <v>43946.698819444444</v>
      </c>
      <c r="H1763" s="4">
        <v>43946.698912037037</v>
      </c>
      <c r="I1763" t="s">
        <v>652</v>
      </c>
      <c r="J1763" s="5">
        <v>8</v>
      </c>
      <c r="K1763" t="s">
        <v>38</v>
      </c>
      <c r="M1763">
        <v>59680</v>
      </c>
      <c r="N1763" t="s">
        <v>131</v>
      </c>
      <c r="O1763" t="s">
        <v>132</v>
      </c>
      <c r="P1763" t="s">
        <v>38</v>
      </c>
      <c r="Q1763" t="s">
        <v>88</v>
      </c>
      <c r="R1763">
        <v>2</v>
      </c>
      <c r="S1763" t="s">
        <v>45</v>
      </c>
      <c r="T1763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3">
        <v>59681</v>
      </c>
      <c r="V1763" t="s">
        <v>38</v>
      </c>
      <c r="W1763" t="s">
        <v>88</v>
      </c>
      <c r="X1763">
        <v>2</v>
      </c>
      <c r="Y1763">
        <v>0</v>
      </c>
      <c r="Z1763" t="s">
        <v>46</v>
      </c>
      <c r="AA1763">
        <v>59683</v>
      </c>
      <c r="AB1763" t="s">
        <v>1391</v>
      </c>
      <c r="AC1763" t="s">
        <v>60</v>
      </c>
      <c r="AD1763" t="s">
        <v>38</v>
      </c>
      <c r="AE1763" t="s">
        <v>49</v>
      </c>
      <c r="AF1763" t="s">
        <v>50</v>
      </c>
      <c r="AG1763">
        <v>0</v>
      </c>
      <c r="AH1763">
        <v>0</v>
      </c>
      <c r="AI1763" t="s">
        <v>51</v>
      </c>
      <c r="AJ1763" t="s">
        <v>51</v>
      </c>
      <c r="AK1763" t="s">
        <v>51</v>
      </c>
    </row>
    <row r="1764" spans="1:37" x14ac:dyDescent="0.2">
      <c r="A1764">
        <v>59653</v>
      </c>
      <c r="B1764" t="s">
        <v>37</v>
      </c>
      <c r="C1764" t="s">
        <v>38</v>
      </c>
      <c r="D1764" t="s">
        <v>130</v>
      </c>
      <c r="E1764" t="s">
        <v>40</v>
      </c>
      <c r="G1764" s="4">
        <v>43946.698819444444</v>
      </c>
      <c r="H1764" s="4">
        <v>43946.698912037037</v>
      </c>
      <c r="I1764" t="s">
        <v>652</v>
      </c>
      <c r="J1764" s="5">
        <v>8</v>
      </c>
      <c r="K1764" t="s">
        <v>38</v>
      </c>
      <c r="M1764">
        <v>59680</v>
      </c>
      <c r="N1764" t="s">
        <v>131</v>
      </c>
      <c r="O1764" t="s">
        <v>132</v>
      </c>
      <c r="P1764" t="s">
        <v>38</v>
      </c>
      <c r="Q1764" t="s">
        <v>88</v>
      </c>
      <c r="R1764">
        <v>2</v>
      </c>
      <c r="S1764" t="s">
        <v>45</v>
      </c>
      <c r="T1764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4">
        <v>59681</v>
      </c>
      <c r="V1764" t="s">
        <v>38</v>
      </c>
      <c r="W1764" t="s">
        <v>88</v>
      </c>
      <c r="X1764">
        <v>2</v>
      </c>
      <c r="Y1764">
        <v>0</v>
      </c>
      <c r="Z1764" t="s">
        <v>46</v>
      </c>
      <c r="AA1764">
        <v>59682</v>
      </c>
      <c r="AB1764" t="s">
        <v>1392</v>
      </c>
      <c r="AC1764" t="s">
        <v>56</v>
      </c>
      <c r="AD1764" t="s">
        <v>38</v>
      </c>
      <c r="AE1764" t="s">
        <v>49</v>
      </c>
      <c r="AF1764" t="s">
        <v>50</v>
      </c>
      <c r="AG1764">
        <v>0</v>
      </c>
      <c r="AH1764">
        <v>0</v>
      </c>
      <c r="AI1764" t="s">
        <v>51</v>
      </c>
      <c r="AJ1764" t="s">
        <v>51</v>
      </c>
      <c r="AK1764" t="s">
        <v>51</v>
      </c>
    </row>
    <row r="1765" spans="1:37" x14ac:dyDescent="0.2">
      <c r="A1765">
        <v>59653</v>
      </c>
      <c r="B1765" t="s">
        <v>37</v>
      </c>
      <c r="C1765" t="s">
        <v>38</v>
      </c>
      <c r="D1765" t="s">
        <v>130</v>
      </c>
      <c r="E1765" t="s">
        <v>40</v>
      </c>
      <c r="G1765" s="4">
        <v>43946.698819444444</v>
      </c>
      <c r="H1765" s="4">
        <v>43946.698912037037</v>
      </c>
      <c r="I1765" t="s">
        <v>652</v>
      </c>
      <c r="J1765" s="5">
        <v>8</v>
      </c>
      <c r="K1765" t="s">
        <v>38</v>
      </c>
      <c r="M1765">
        <v>59673</v>
      </c>
      <c r="N1765" t="s">
        <v>143</v>
      </c>
      <c r="O1765" t="s">
        <v>144</v>
      </c>
      <c r="P1765" t="s">
        <v>38</v>
      </c>
      <c r="Q1765" t="s">
        <v>88</v>
      </c>
      <c r="R1765">
        <v>2</v>
      </c>
      <c r="S1765" t="s">
        <v>45</v>
      </c>
      <c r="T1765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5">
        <v>59674</v>
      </c>
      <c r="V1765" t="s">
        <v>38</v>
      </c>
      <c r="W1765" t="s">
        <v>88</v>
      </c>
      <c r="X1765">
        <v>2</v>
      </c>
      <c r="Y1765">
        <v>0</v>
      </c>
      <c r="Z1765" t="s">
        <v>46</v>
      </c>
      <c r="AA1765">
        <v>59679</v>
      </c>
      <c r="AB1765" t="s">
        <v>145</v>
      </c>
      <c r="AC1765" t="s">
        <v>56</v>
      </c>
      <c r="AD1765" t="s">
        <v>38</v>
      </c>
      <c r="AE1765" t="s">
        <v>49</v>
      </c>
      <c r="AF1765" t="s">
        <v>50</v>
      </c>
      <c r="AG1765">
        <v>0</v>
      </c>
      <c r="AH1765">
        <v>0</v>
      </c>
      <c r="AI1765" t="s">
        <v>51</v>
      </c>
      <c r="AJ1765" t="s">
        <v>51</v>
      </c>
      <c r="AK1765" t="s">
        <v>51</v>
      </c>
    </row>
    <row r="1766" spans="1:37" x14ac:dyDescent="0.2">
      <c r="A1766">
        <v>59653</v>
      </c>
      <c r="B1766" t="s">
        <v>37</v>
      </c>
      <c r="C1766" t="s">
        <v>38</v>
      </c>
      <c r="D1766" t="s">
        <v>130</v>
      </c>
      <c r="E1766" t="s">
        <v>40</v>
      </c>
      <c r="G1766" s="4">
        <v>43946.698819444444</v>
      </c>
      <c r="H1766" s="4">
        <v>43946.698912037037</v>
      </c>
      <c r="I1766" t="s">
        <v>652</v>
      </c>
      <c r="J1766" s="5">
        <v>8</v>
      </c>
      <c r="K1766" t="s">
        <v>38</v>
      </c>
      <c r="M1766">
        <v>59673</v>
      </c>
      <c r="N1766" t="s">
        <v>143</v>
      </c>
      <c r="O1766" t="s">
        <v>144</v>
      </c>
      <c r="P1766" t="s">
        <v>38</v>
      </c>
      <c r="Q1766" t="s">
        <v>88</v>
      </c>
      <c r="R1766">
        <v>2</v>
      </c>
      <c r="S1766" t="s">
        <v>45</v>
      </c>
      <c r="T1766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6">
        <v>59674</v>
      </c>
      <c r="V1766" t="s">
        <v>38</v>
      </c>
      <c r="W1766" t="s">
        <v>88</v>
      </c>
      <c r="X1766">
        <v>2</v>
      </c>
      <c r="Y1766">
        <v>0</v>
      </c>
      <c r="Z1766" t="s">
        <v>46</v>
      </c>
      <c r="AA1766">
        <v>59678</v>
      </c>
      <c r="AB1766" t="s">
        <v>146</v>
      </c>
      <c r="AC1766" t="s">
        <v>68</v>
      </c>
      <c r="AD1766" t="s">
        <v>38</v>
      </c>
      <c r="AE1766" t="s">
        <v>49</v>
      </c>
      <c r="AF1766" t="s">
        <v>50</v>
      </c>
      <c r="AG1766">
        <v>0</v>
      </c>
      <c r="AH1766">
        <v>0</v>
      </c>
      <c r="AI1766" t="s">
        <v>51</v>
      </c>
      <c r="AJ1766" t="s">
        <v>51</v>
      </c>
      <c r="AK1766" t="s">
        <v>51</v>
      </c>
    </row>
    <row r="1767" spans="1:37" x14ac:dyDescent="0.2">
      <c r="A1767">
        <v>59653</v>
      </c>
      <c r="B1767" t="s">
        <v>37</v>
      </c>
      <c r="C1767" t="s">
        <v>38</v>
      </c>
      <c r="D1767" t="s">
        <v>130</v>
      </c>
      <c r="E1767" t="s">
        <v>40</v>
      </c>
      <c r="G1767" s="4">
        <v>43946.698819444444</v>
      </c>
      <c r="H1767" s="4">
        <v>43946.698912037037</v>
      </c>
      <c r="I1767" t="s">
        <v>652</v>
      </c>
      <c r="J1767" s="5">
        <v>8</v>
      </c>
      <c r="K1767" t="s">
        <v>38</v>
      </c>
      <c r="M1767">
        <v>59673</v>
      </c>
      <c r="N1767" t="s">
        <v>143</v>
      </c>
      <c r="O1767" t="s">
        <v>144</v>
      </c>
      <c r="P1767" t="s">
        <v>38</v>
      </c>
      <c r="Q1767" t="s">
        <v>88</v>
      </c>
      <c r="R1767">
        <v>2</v>
      </c>
      <c r="S1767" t="s">
        <v>45</v>
      </c>
      <c r="T1767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7">
        <v>59674</v>
      </c>
      <c r="V1767" t="s">
        <v>38</v>
      </c>
      <c r="W1767" t="s">
        <v>88</v>
      </c>
      <c r="X1767">
        <v>2</v>
      </c>
      <c r="Y1767">
        <v>0</v>
      </c>
      <c r="Z1767" t="s">
        <v>46</v>
      </c>
      <c r="AA1767">
        <v>59677</v>
      </c>
      <c r="AB1767" t="s">
        <v>147</v>
      </c>
      <c r="AC1767" t="s">
        <v>68</v>
      </c>
      <c r="AD1767" t="s">
        <v>38</v>
      </c>
      <c r="AE1767" t="s">
        <v>49</v>
      </c>
      <c r="AF1767" t="s">
        <v>50</v>
      </c>
      <c r="AG1767">
        <v>0</v>
      </c>
      <c r="AH1767">
        <v>0</v>
      </c>
      <c r="AI1767" t="s">
        <v>51</v>
      </c>
      <c r="AJ1767" t="s">
        <v>51</v>
      </c>
      <c r="AK1767" t="s">
        <v>51</v>
      </c>
    </row>
    <row r="1768" spans="1:37" x14ac:dyDescent="0.2">
      <c r="A1768">
        <v>59653</v>
      </c>
      <c r="B1768" t="s">
        <v>37</v>
      </c>
      <c r="C1768" t="s">
        <v>38</v>
      </c>
      <c r="D1768" t="s">
        <v>130</v>
      </c>
      <c r="E1768" t="s">
        <v>40</v>
      </c>
      <c r="G1768" s="4">
        <v>43946.698819444444</v>
      </c>
      <c r="H1768" s="4">
        <v>43946.698912037037</v>
      </c>
      <c r="I1768" t="s">
        <v>652</v>
      </c>
      <c r="J1768" s="5">
        <v>8</v>
      </c>
      <c r="K1768" t="s">
        <v>38</v>
      </c>
      <c r="M1768">
        <v>59673</v>
      </c>
      <c r="N1768" t="s">
        <v>143</v>
      </c>
      <c r="O1768" t="s">
        <v>144</v>
      </c>
      <c r="P1768" t="s">
        <v>38</v>
      </c>
      <c r="Q1768" t="s">
        <v>88</v>
      </c>
      <c r="R1768">
        <v>2</v>
      </c>
      <c r="S1768" t="s">
        <v>45</v>
      </c>
      <c r="T1768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8">
        <v>59674</v>
      </c>
      <c r="V1768" t="s">
        <v>38</v>
      </c>
      <c r="W1768" t="s">
        <v>88</v>
      </c>
      <c r="X1768">
        <v>2</v>
      </c>
      <c r="Y1768">
        <v>0</v>
      </c>
      <c r="Z1768" t="s">
        <v>46</v>
      </c>
      <c r="AA1768">
        <v>59676</v>
      </c>
      <c r="AB1768" t="s">
        <v>148</v>
      </c>
      <c r="AC1768" t="s">
        <v>68</v>
      </c>
      <c r="AD1768" t="s">
        <v>38</v>
      </c>
      <c r="AE1768" t="s">
        <v>49</v>
      </c>
      <c r="AF1768" t="s">
        <v>50</v>
      </c>
      <c r="AG1768">
        <v>0</v>
      </c>
      <c r="AH1768">
        <v>0</v>
      </c>
      <c r="AI1768" t="s">
        <v>51</v>
      </c>
      <c r="AJ1768" t="s">
        <v>51</v>
      </c>
      <c r="AK1768" t="s">
        <v>51</v>
      </c>
    </row>
    <row r="1769" spans="1:37" x14ac:dyDescent="0.2">
      <c r="A1769">
        <v>59653</v>
      </c>
      <c r="B1769" t="s">
        <v>37</v>
      </c>
      <c r="C1769" t="s">
        <v>38</v>
      </c>
      <c r="D1769" t="s">
        <v>130</v>
      </c>
      <c r="E1769" t="s">
        <v>40</v>
      </c>
      <c r="G1769" s="4">
        <v>43946.698819444444</v>
      </c>
      <c r="H1769" s="4">
        <v>43946.698912037037</v>
      </c>
      <c r="I1769" t="s">
        <v>652</v>
      </c>
      <c r="J1769" s="5">
        <v>8</v>
      </c>
      <c r="K1769" t="s">
        <v>38</v>
      </c>
      <c r="M1769">
        <v>59673</v>
      </c>
      <c r="N1769" t="s">
        <v>143</v>
      </c>
      <c r="O1769" t="s">
        <v>144</v>
      </c>
      <c r="P1769" t="s">
        <v>38</v>
      </c>
      <c r="Q1769" t="s">
        <v>88</v>
      </c>
      <c r="R1769">
        <v>2</v>
      </c>
      <c r="S1769" t="s">
        <v>45</v>
      </c>
      <c r="T1769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69">
        <v>59674</v>
      </c>
      <c r="V1769" t="s">
        <v>38</v>
      </c>
      <c r="W1769" t="s">
        <v>88</v>
      </c>
      <c r="X1769">
        <v>2</v>
      </c>
      <c r="Y1769">
        <v>0</v>
      </c>
      <c r="Z1769" t="s">
        <v>46</v>
      </c>
      <c r="AA1769">
        <v>59675</v>
      </c>
      <c r="AB1769" t="s">
        <v>149</v>
      </c>
      <c r="AC1769" t="s">
        <v>68</v>
      </c>
      <c r="AD1769" t="s">
        <v>38</v>
      </c>
      <c r="AE1769" t="s">
        <v>49</v>
      </c>
      <c r="AF1769" t="s">
        <v>88</v>
      </c>
      <c r="AG1769">
        <v>2</v>
      </c>
      <c r="AH1769">
        <v>0</v>
      </c>
      <c r="AI1769" t="s">
        <v>51</v>
      </c>
      <c r="AJ1769" t="s">
        <v>51</v>
      </c>
      <c r="AK1769" t="s">
        <v>51</v>
      </c>
    </row>
    <row r="1770" spans="1:37" x14ac:dyDescent="0.2">
      <c r="A1770">
        <v>59653</v>
      </c>
      <c r="B1770" t="s">
        <v>37</v>
      </c>
      <c r="C1770" t="s">
        <v>38</v>
      </c>
      <c r="D1770" t="s">
        <v>130</v>
      </c>
      <c r="E1770" t="s">
        <v>40</v>
      </c>
      <c r="G1770" s="4">
        <v>43946.698819444444</v>
      </c>
      <c r="H1770" s="4">
        <v>43946.698912037037</v>
      </c>
      <c r="I1770" t="s">
        <v>652</v>
      </c>
      <c r="J1770" s="5">
        <v>8</v>
      </c>
      <c r="K1770" t="s">
        <v>38</v>
      </c>
      <c r="M1770">
        <v>59668</v>
      </c>
      <c r="N1770" t="s">
        <v>150</v>
      </c>
      <c r="O1770" t="s">
        <v>151</v>
      </c>
      <c r="P1770" t="s">
        <v>38</v>
      </c>
      <c r="Q1770" t="s">
        <v>50</v>
      </c>
      <c r="R1770">
        <v>.9999999999999999999999999999999999999996</v>
      </c>
      <c r="S1770" t="s">
        <v>45</v>
      </c>
      <c r="T1770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0">
        <v>59669</v>
      </c>
      <c r="V1770" t="s">
        <v>38</v>
      </c>
      <c r="W1770" t="s">
        <v>50</v>
      </c>
      <c r="X1770">
        <v>.9999999999999999999999999999999999999996</v>
      </c>
      <c r="Y1770">
        <v>0</v>
      </c>
      <c r="Z1770" t="s">
        <v>46</v>
      </c>
      <c r="AA1770">
        <v>59672</v>
      </c>
      <c r="AB1770" t="s">
        <v>152</v>
      </c>
      <c r="AC1770" t="s">
        <v>56</v>
      </c>
      <c r="AD1770" t="s">
        <v>38</v>
      </c>
      <c r="AE1770" t="s">
        <v>49</v>
      </c>
      <c r="AF1770" t="s">
        <v>50</v>
      </c>
      <c r="AG1770">
        <v>0</v>
      </c>
      <c r="AH1770">
        <v>0</v>
      </c>
      <c r="AI1770" t="s">
        <v>51</v>
      </c>
      <c r="AJ1770" t="s">
        <v>51</v>
      </c>
      <c r="AK1770" t="s">
        <v>51</v>
      </c>
    </row>
    <row r="1771" spans="1:37" x14ac:dyDescent="0.2">
      <c r="A1771">
        <v>59653</v>
      </c>
      <c r="B1771" t="s">
        <v>37</v>
      </c>
      <c r="C1771" t="s">
        <v>38</v>
      </c>
      <c r="D1771" t="s">
        <v>130</v>
      </c>
      <c r="E1771" t="s">
        <v>40</v>
      </c>
      <c r="G1771" s="4">
        <v>43946.698819444444</v>
      </c>
      <c r="H1771" s="4">
        <v>43946.698912037037</v>
      </c>
      <c r="I1771" t="s">
        <v>652</v>
      </c>
      <c r="J1771" s="5">
        <v>8</v>
      </c>
      <c r="K1771" t="s">
        <v>38</v>
      </c>
      <c r="M1771">
        <v>59668</v>
      </c>
      <c r="N1771" t="s">
        <v>150</v>
      </c>
      <c r="O1771" t="s">
        <v>151</v>
      </c>
      <c r="P1771" t="s">
        <v>38</v>
      </c>
      <c r="Q1771" t="s">
        <v>50</v>
      </c>
      <c r="R1771">
        <v>.9999999999999999999999999999999999999996</v>
      </c>
      <c r="S1771" t="s">
        <v>45</v>
      </c>
      <c r="T1771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1">
        <v>59669</v>
      </c>
      <c r="V1771" t="s">
        <v>38</v>
      </c>
      <c r="W1771" t="s">
        <v>50</v>
      </c>
      <c r="X1771">
        <v>.9999999999999999999999999999999999999996</v>
      </c>
      <c r="Y1771">
        <v>0</v>
      </c>
      <c r="Z1771" t="s">
        <v>46</v>
      </c>
      <c r="AA1771">
        <v>59671</v>
      </c>
      <c r="AB1771" t="s">
        <v>153</v>
      </c>
      <c r="AC1771" t="s">
        <v>56</v>
      </c>
      <c r="AD1771" t="s">
        <v>38</v>
      </c>
      <c r="AE1771" t="s">
        <v>49</v>
      </c>
      <c r="AF1771" t="s">
        <v>50</v>
      </c>
      <c r="AG1771">
        <v>0</v>
      </c>
      <c r="AH1771">
        <v>0</v>
      </c>
      <c r="AI1771" t="s">
        <v>51</v>
      </c>
      <c r="AJ1771" t="s">
        <v>51</v>
      </c>
      <c r="AK1771" t="s">
        <v>51</v>
      </c>
    </row>
    <row r="1772" spans="1:37" x14ac:dyDescent="0.2">
      <c r="A1772">
        <v>59653</v>
      </c>
      <c r="B1772" t="s">
        <v>37</v>
      </c>
      <c r="C1772" t="s">
        <v>38</v>
      </c>
      <c r="D1772" t="s">
        <v>130</v>
      </c>
      <c r="E1772" t="s">
        <v>40</v>
      </c>
      <c r="G1772" s="4">
        <v>43946.698819444444</v>
      </c>
      <c r="H1772" s="4">
        <v>43946.698912037037</v>
      </c>
      <c r="I1772" t="s">
        <v>652</v>
      </c>
      <c r="J1772" s="5">
        <v>8</v>
      </c>
      <c r="K1772" t="s">
        <v>38</v>
      </c>
      <c r="M1772">
        <v>59668</v>
      </c>
      <c r="N1772" t="s">
        <v>150</v>
      </c>
      <c r="O1772" t="s">
        <v>151</v>
      </c>
      <c r="P1772" t="s">
        <v>38</v>
      </c>
      <c r="Q1772" t="s">
        <v>50</v>
      </c>
      <c r="R1772">
        <v>.9999999999999999999999999999999999999996</v>
      </c>
      <c r="S1772" t="s">
        <v>45</v>
      </c>
      <c r="T1772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2">
        <v>59669</v>
      </c>
      <c r="V1772" t="s">
        <v>38</v>
      </c>
      <c r="W1772" t="s">
        <v>50</v>
      </c>
      <c r="X1772">
        <v>.9999999999999999999999999999999999999996</v>
      </c>
      <c r="Y1772">
        <v>0</v>
      </c>
      <c r="Z1772" t="s">
        <v>46</v>
      </c>
      <c r="AA1772">
        <v>59670</v>
      </c>
      <c r="AB1772" t="s">
        <v>154</v>
      </c>
      <c r="AC1772" t="s">
        <v>68</v>
      </c>
      <c r="AD1772" t="s">
        <v>38</v>
      </c>
      <c r="AE1772" t="s">
        <v>49</v>
      </c>
      <c r="AF1772" t="s">
        <v>50</v>
      </c>
      <c r="AG1772">
        <v>0</v>
      </c>
      <c r="AH1772">
        <v>0</v>
      </c>
      <c r="AI1772" t="s">
        <v>51</v>
      </c>
      <c r="AJ1772" t="s">
        <v>51</v>
      </c>
      <c r="AK1772" t="s">
        <v>51</v>
      </c>
    </row>
    <row r="1773" spans="1:37" x14ac:dyDescent="0.2">
      <c r="A1773">
        <v>59653</v>
      </c>
      <c r="B1773" t="s">
        <v>37</v>
      </c>
      <c r="C1773" t="s">
        <v>38</v>
      </c>
      <c r="D1773" t="s">
        <v>130</v>
      </c>
      <c r="E1773" t="s">
        <v>40</v>
      </c>
      <c r="G1773" s="4">
        <v>43946.698819444444</v>
      </c>
      <c r="H1773" s="4">
        <v>43946.698912037037</v>
      </c>
      <c r="I1773" t="s">
        <v>652</v>
      </c>
      <c r="J1773" s="5">
        <v>8</v>
      </c>
      <c r="K1773" t="s">
        <v>38</v>
      </c>
      <c r="M1773">
        <v>59665</v>
      </c>
      <c r="N1773" t="s">
        <v>155</v>
      </c>
      <c r="O1773" t="s">
        <v>156</v>
      </c>
      <c r="P1773" t="s">
        <v>38</v>
      </c>
      <c r="Q1773" t="s">
        <v>88</v>
      </c>
      <c r="R1773">
        <v>2</v>
      </c>
      <c r="S1773" t="s">
        <v>45</v>
      </c>
      <c r="T1773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3">
        <v>59666</v>
      </c>
      <c r="V1773" t="s">
        <v>38</v>
      </c>
      <c r="W1773" t="s">
        <v>88</v>
      </c>
      <c r="X1773">
        <v>2</v>
      </c>
      <c r="Y1773">
        <v>0</v>
      </c>
      <c r="Z1773" t="s">
        <v>46</v>
      </c>
      <c r="AA1773">
        <v>59667</v>
      </c>
      <c r="AB1773" t="s">
        <v>1393</v>
      </c>
      <c r="AC1773" t="s">
        <v>68</v>
      </c>
      <c r="AD1773" t="s">
        <v>38</v>
      </c>
      <c r="AE1773" t="s">
        <v>49</v>
      </c>
      <c r="AF1773" t="s">
        <v>88</v>
      </c>
      <c r="AG1773">
        <v>2</v>
      </c>
      <c r="AH1773">
        <v>1</v>
      </c>
      <c r="AI1773" t="s">
        <v>51</v>
      </c>
      <c r="AJ1773" t="s">
        <v>51</v>
      </c>
      <c r="AK1773" t="s">
        <v>51</v>
      </c>
    </row>
    <row r="1774" spans="1:37" x14ac:dyDescent="0.2">
      <c r="A1774">
        <v>59653</v>
      </c>
      <c r="B1774" t="s">
        <v>37</v>
      </c>
      <c r="C1774" t="s">
        <v>38</v>
      </c>
      <c r="D1774" t="s">
        <v>130</v>
      </c>
      <c r="E1774" t="s">
        <v>40</v>
      </c>
      <c r="G1774" s="4">
        <v>43946.698819444444</v>
      </c>
      <c r="H1774" s="4">
        <v>43946.698912037037</v>
      </c>
      <c r="I1774" t="s">
        <v>652</v>
      </c>
      <c r="J1774" s="5">
        <v>8</v>
      </c>
      <c r="K1774" t="s">
        <v>38</v>
      </c>
      <c r="M1774">
        <v>59660</v>
      </c>
      <c r="N1774" t="s">
        <v>158</v>
      </c>
      <c r="O1774" t="s">
        <v>159</v>
      </c>
      <c r="P1774" t="s">
        <v>38</v>
      </c>
      <c r="Q1774" t="s">
        <v>50</v>
      </c>
      <c r="R1774">
        <v>0</v>
      </c>
      <c r="S1774" t="s">
        <v>45</v>
      </c>
      <c r="T1774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4">
        <v>59661</v>
      </c>
      <c r="V1774" t="s">
        <v>38</v>
      </c>
      <c r="W1774" t="s">
        <v>50</v>
      </c>
      <c r="X1774">
        <v>0</v>
      </c>
      <c r="Y1774">
        <v>0</v>
      </c>
      <c r="Z1774" t="s">
        <v>46</v>
      </c>
      <c r="AA1774">
        <v>59664</v>
      </c>
      <c r="AB1774" t="s">
        <v>160</v>
      </c>
      <c r="AC1774" t="s">
        <v>56</v>
      </c>
      <c r="AD1774" t="s">
        <v>38</v>
      </c>
      <c r="AE1774" t="s">
        <v>49</v>
      </c>
      <c r="AF1774" t="s">
        <v>50</v>
      </c>
      <c r="AG1774">
        <v>0</v>
      </c>
      <c r="AH1774">
        <v>0</v>
      </c>
      <c r="AI1774" t="s">
        <v>51</v>
      </c>
      <c r="AJ1774" t="s">
        <v>51</v>
      </c>
      <c r="AK1774" t="s">
        <v>51</v>
      </c>
    </row>
    <row r="1775" spans="1:37" x14ac:dyDescent="0.2">
      <c r="A1775">
        <v>59653</v>
      </c>
      <c r="B1775" t="s">
        <v>37</v>
      </c>
      <c r="C1775" t="s">
        <v>38</v>
      </c>
      <c r="D1775" t="s">
        <v>130</v>
      </c>
      <c r="E1775" t="s">
        <v>40</v>
      </c>
      <c r="G1775" s="4">
        <v>43946.698819444444</v>
      </c>
      <c r="H1775" s="4">
        <v>43946.698912037037</v>
      </c>
      <c r="I1775" t="s">
        <v>652</v>
      </c>
      <c r="J1775" s="5">
        <v>8</v>
      </c>
      <c r="K1775" t="s">
        <v>38</v>
      </c>
      <c r="M1775">
        <v>59660</v>
      </c>
      <c r="N1775" t="s">
        <v>158</v>
      </c>
      <c r="O1775" t="s">
        <v>159</v>
      </c>
      <c r="P1775" t="s">
        <v>38</v>
      </c>
      <c r="Q1775" t="s">
        <v>50</v>
      </c>
      <c r="R1775">
        <v>0</v>
      </c>
      <c r="S1775" t="s">
        <v>45</v>
      </c>
      <c r="T1775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5">
        <v>59661</v>
      </c>
      <c r="V1775" t="s">
        <v>38</v>
      </c>
      <c r="W1775" t="s">
        <v>50</v>
      </c>
      <c r="X1775">
        <v>0</v>
      </c>
      <c r="Y1775">
        <v>0</v>
      </c>
      <c r="Z1775" t="s">
        <v>46</v>
      </c>
      <c r="AA1775">
        <v>59663</v>
      </c>
      <c r="AB1775" t="s">
        <v>161</v>
      </c>
      <c r="AC1775" t="s">
        <v>68</v>
      </c>
      <c r="AD1775" t="s">
        <v>38</v>
      </c>
      <c r="AE1775" t="s">
        <v>49</v>
      </c>
      <c r="AF1775" t="s">
        <v>50</v>
      </c>
      <c r="AG1775">
        <v>0</v>
      </c>
      <c r="AH1775">
        <v>0</v>
      </c>
      <c r="AI1775" t="s">
        <v>51</v>
      </c>
      <c r="AJ1775" t="s">
        <v>51</v>
      </c>
      <c r="AK1775" t="s">
        <v>51</v>
      </c>
    </row>
    <row r="1776" spans="1:37" x14ac:dyDescent="0.2">
      <c r="A1776">
        <v>59653</v>
      </c>
      <c r="B1776" t="s">
        <v>37</v>
      </c>
      <c r="C1776" t="s">
        <v>38</v>
      </c>
      <c r="D1776" t="s">
        <v>130</v>
      </c>
      <c r="E1776" t="s">
        <v>40</v>
      </c>
      <c r="G1776" s="4">
        <v>43946.698819444444</v>
      </c>
      <c r="H1776" s="4">
        <v>43946.698912037037</v>
      </c>
      <c r="I1776" t="s">
        <v>652</v>
      </c>
      <c r="J1776" s="5">
        <v>8</v>
      </c>
      <c r="K1776" t="s">
        <v>38</v>
      </c>
      <c r="M1776">
        <v>59660</v>
      </c>
      <c r="N1776" t="s">
        <v>158</v>
      </c>
      <c r="O1776" t="s">
        <v>159</v>
      </c>
      <c r="P1776" t="s">
        <v>38</v>
      </c>
      <c r="Q1776" t="s">
        <v>50</v>
      </c>
      <c r="R1776">
        <v>0</v>
      </c>
      <c r="S1776" t="s">
        <v>45</v>
      </c>
      <c r="T1776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6">
        <v>59661</v>
      </c>
      <c r="V1776" t="s">
        <v>38</v>
      </c>
      <c r="W1776" t="s">
        <v>50</v>
      </c>
      <c r="X1776">
        <v>0</v>
      </c>
      <c r="Y1776">
        <v>0</v>
      </c>
      <c r="Z1776" t="s">
        <v>46</v>
      </c>
      <c r="AA1776">
        <v>59662</v>
      </c>
      <c r="AB1776" t="s">
        <v>162</v>
      </c>
      <c r="AC1776" t="s">
        <v>68</v>
      </c>
      <c r="AD1776" t="s">
        <v>38</v>
      </c>
      <c r="AE1776" t="s">
        <v>49</v>
      </c>
      <c r="AF1776" t="s">
        <v>50</v>
      </c>
      <c r="AG1776">
        <v>0</v>
      </c>
      <c r="AH1776">
        <v>0</v>
      </c>
      <c r="AI1776" t="s">
        <v>51</v>
      </c>
      <c r="AJ1776" t="s">
        <v>51</v>
      </c>
      <c r="AK1776" t="s">
        <v>51</v>
      </c>
    </row>
    <row r="1777" spans="1:37" x14ac:dyDescent="0.2">
      <c r="A1777">
        <v>59653</v>
      </c>
      <c r="B1777" t="s">
        <v>37</v>
      </c>
      <c r="C1777" t="s">
        <v>38</v>
      </c>
      <c r="D1777" t="s">
        <v>130</v>
      </c>
      <c r="E1777" t="s">
        <v>40</v>
      </c>
      <c r="G1777" s="4">
        <v>43946.698819444444</v>
      </c>
      <c r="H1777" s="4">
        <v>43946.698912037037</v>
      </c>
      <c r="I1777" t="s">
        <v>652</v>
      </c>
      <c r="J1777" s="5">
        <v>8</v>
      </c>
      <c r="K1777" t="s">
        <v>38</v>
      </c>
      <c r="M1777">
        <v>59654</v>
      </c>
      <c r="N1777" t="s">
        <v>163</v>
      </c>
      <c r="O1777" t="s">
        <v>164</v>
      </c>
      <c r="P1777" t="s">
        <v>38</v>
      </c>
      <c r="Q1777" t="s">
        <v>50</v>
      </c>
      <c r="R1777">
        <v>.9999999999999999999999999999999999999996</v>
      </c>
      <c r="S1777" t="s">
        <v>45</v>
      </c>
      <c r="T1777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7">
        <v>59655</v>
      </c>
      <c r="V1777" t="s">
        <v>38</v>
      </c>
      <c r="W1777" t="s">
        <v>50</v>
      </c>
      <c r="X1777">
        <v>.9999999999999999999999999999999999999996</v>
      </c>
      <c r="Y1777">
        <v>0</v>
      </c>
      <c r="Z1777" t="s">
        <v>46</v>
      </c>
      <c r="AA1777">
        <v>59659</v>
      </c>
      <c r="AB1777" t="s">
        <v>165</v>
      </c>
      <c r="AC1777" t="s">
        <v>56</v>
      </c>
      <c r="AD1777" t="s">
        <v>38</v>
      </c>
      <c r="AE1777" t="s">
        <v>49</v>
      </c>
      <c r="AF1777" t="s">
        <v>50</v>
      </c>
      <c r="AG1777">
        <v>0</v>
      </c>
      <c r="AH1777">
        <v>0</v>
      </c>
      <c r="AI1777" t="s">
        <v>51</v>
      </c>
      <c r="AJ1777" t="s">
        <v>51</v>
      </c>
      <c r="AK1777" t="s">
        <v>51</v>
      </c>
    </row>
    <row r="1778" spans="1:37" x14ac:dyDescent="0.2">
      <c r="A1778">
        <v>59653</v>
      </c>
      <c r="B1778" t="s">
        <v>37</v>
      </c>
      <c r="C1778" t="s">
        <v>38</v>
      </c>
      <c r="D1778" t="s">
        <v>130</v>
      </c>
      <c r="E1778" t="s">
        <v>40</v>
      </c>
      <c r="G1778" s="4">
        <v>43946.698819444444</v>
      </c>
      <c r="H1778" s="4">
        <v>43946.698912037037</v>
      </c>
      <c r="I1778" t="s">
        <v>652</v>
      </c>
      <c r="J1778" s="5">
        <v>8</v>
      </c>
      <c r="K1778" t="s">
        <v>38</v>
      </c>
      <c r="M1778">
        <v>59654</v>
      </c>
      <c r="N1778" t="s">
        <v>163</v>
      </c>
      <c r="O1778" t="s">
        <v>164</v>
      </c>
      <c r="P1778" t="s">
        <v>38</v>
      </c>
      <c r="Q1778" t="s">
        <v>50</v>
      </c>
      <c r="R1778">
        <v>.9999999999999999999999999999999999999996</v>
      </c>
      <c r="S1778" t="s">
        <v>45</v>
      </c>
      <c r="T1778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8">
        <v>59655</v>
      </c>
      <c r="V1778" t="s">
        <v>38</v>
      </c>
      <c r="W1778" t="s">
        <v>50</v>
      </c>
      <c r="X1778">
        <v>.9999999999999999999999999999999999999996</v>
      </c>
      <c r="Y1778">
        <v>0</v>
      </c>
      <c r="Z1778" t="s">
        <v>46</v>
      </c>
      <c r="AA1778">
        <v>59658</v>
      </c>
      <c r="AB1778" t="s">
        <v>1394</v>
      </c>
      <c r="AC1778" t="s">
        <v>48</v>
      </c>
      <c r="AD1778" t="s">
        <v>38</v>
      </c>
      <c r="AE1778" t="s">
        <v>49</v>
      </c>
      <c r="AF1778" t="s">
        <v>50</v>
      </c>
      <c r="AG1778">
        <v>0</v>
      </c>
      <c r="AH1778">
        <v>0</v>
      </c>
      <c r="AI1778" t="s">
        <v>51</v>
      </c>
      <c r="AJ1778" t="s">
        <v>51</v>
      </c>
      <c r="AK1778" t="s">
        <v>51</v>
      </c>
    </row>
    <row r="1779" spans="1:37" x14ac:dyDescent="0.2">
      <c r="A1779">
        <v>59653</v>
      </c>
      <c r="B1779" t="s">
        <v>37</v>
      </c>
      <c r="C1779" t="s">
        <v>38</v>
      </c>
      <c r="D1779" t="s">
        <v>130</v>
      </c>
      <c r="E1779" t="s">
        <v>40</v>
      </c>
      <c r="G1779" s="4">
        <v>43946.698819444444</v>
      </c>
      <c r="H1779" s="4">
        <v>43946.698912037037</v>
      </c>
      <c r="I1779" t="s">
        <v>652</v>
      </c>
      <c r="J1779" s="5">
        <v>8</v>
      </c>
      <c r="K1779" t="s">
        <v>38</v>
      </c>
      <c r="M1779">
        <v>59654</v>
      </c>
      <c r="N1779" t="s">
        <v>163</v>
      </c>
      <c r="O1779" t="s">
        <v>164</v>
      </c>
      <c r="P1779" t="s">
        <v>38</v>
      </c>
      <c r="Q1779" t="s">
        <v>50</v>
      </c>
      <c r="R1779">
        <v>.9999999999999999999999999999999999999996</v>
      </c>
      <c r="S1779" t="s">
        <v>45</v>
      </c>
      <c r="T1779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79">
        <v>59655</v>
      </c>
      <c r="V1779" t="s">
        <v>38</v>
      </c>
      <c r="W1779" t="s">
        <v>50</v>
      </c>
      <c r="X1779">
        <v>.9999999999999999999999999999999999999996</v>
      </c>
      <c r="Y1779">
        <v>0</v>
      </c>
      <c r="Z1779" t="s">
        <v>46</v>
      </c>
      <c r="AA1779">
        <v>59657</v>
      </c>
      <c r="AB1779" t="s">
        <v>167</v>
      </c>
      <c r="AC1779" t="s">
        <v>68</v>
      </c>
      <c r="AD1779" t="s">
        <v>38</v>
      </c>
      <c r="AE1779" t="s">
        <v>49</v>
      </c>
      <c r="AF1779" t="s">
        <v>50</v>
      </c>
      <c r="AG1779">
        <v>0</v>
      </c>
      <c r="AH1779">
        <v>0</v>
      </c>
      <c r="AI1779" t="s">
        <v>51</v>
      </c>
      <c r="AJ1779" t="s">
        <v>51</v>
      </c>
      <c r="AK1779" t="s">
        <v>51</v>
      </c>
    </row>
    <row r="1780" spans="1:37" x14ac:dyDescent="0.2">
      <c r="A1780">
        <v>59653</v>
      </c>
      <c r="B1780" t="s">
        <v>37</v>
      </c>
      <c r="C1780" t="s">
        <v>38</v>
      </c>
      <c r="D1780" t="s">
        <v>130</v>
      </c>
      <c r="E1780" t="s">
        <v>40</v>
      </c>
      <c r="G1780" s="4">
        <v>43946.698819444444</v>
      </c>
      <c r="H1780" s="4">
        <v>43946.698912037037</v>
      </c>
      <c r="I1780" t="s">
        <v>652</v>
      </c>
      <c r="J1780" s="5">
        <v>8</v>
      </c>
      <c r="K1780" t="s">
        <v>38</v>
      </c>
      <c r="M1780">
        <v>59654</v>
      </c>
      <c r="N1780" t="s">
        <v>163</v>
      </c>
      <c r="O1780" t="s">
        <v>164</v>
      </c>
      <c r="P1780" t="s">
        <v>38</v>
      </c>
      <c r="Q1780" t="s">
        <v>50</v>
      </c>
      <c r="R1780">
        <v>.9999999999999999999999999999999999999996</v>
      </c>
      <c r="S1780" t="s">
        <v>45</v>
      </c>
      <c r="T1780" t="str" s="2">
        <f>=HYPERLINK("http://demo.enginatics.com:80/ecc/user/applications/log/59653.log","http://demo.enginatics.com:80/ecc/user/applications/log/59653.log")</f>
        <v>"http://demo.enginatics.com:80/ecc/user/applications/log/59653.log")</v>
      </c>
      <c r="U1780">
        <v>59655</v>
      </c>
      <c r="V1780" t="s">
        <v>38</v>
      </c>
      <c r="W1780" t="s">
        <v>50</v>
      </c>
      <c r="X1780">
        <v>.9999999999999999999999999999999999999996</v>
      </c>
      <c r="Y1780">
        <v>0</v>
      </c>
      <c r="Z1780" t="s">
        <v>46</v>
      </c>
      <c r="AA1780">
        <v>59656</v>
      </c>
      <c r="AB1780" t="s">
        <v>168</v>
      </c>
      <c r="AC1780" t="s">
        <v>68</v>
      </c>
      <c r="AD1780" t="s">
        <v>38</v>
      </c>
      <c r="AE1780" t="s">
        <v>49</v>
      </c>
      <c r="AF1780" t="s">
        <v>50</v>
      </c>
      <c r="AG1780">
        <v>0</v>
      </c>
      <c r="AH1780">
        <v>0</v>
      </c>
      <c r="AI1780" t="s">
        <v>51</v>
      </c>
      <c r="AJ1780" t="s">
        <v>51</v>
      </c>
      <c r="AK1780" t="s">
        <v>51</v>
      </c>
    </row>
    <row r="1781" spans="1:37" x14ac:dyDescent="0.2">
      <c r="A1781">
        <v>59649</v>
      </c>
      <c r="B1781" t="s">
        <v>37</v>
      </c>
      <c r="C1781" t="s">
        <v>38</v>
      </c>
      <c r="D1781" t="s">
        <v>169</v>
      </c>
      <c r="E1781" t="s">
        <v>170</v>
      </c>
      <c r="G1781" s="4">
        <v>43946.677199074074</v>
      </c>
      <c r="H1781" s="4">
        <v>43946.677210648148</v>
      </c>
      <c r="I1781" t="s">
        <v>50</v>
      </c>
      <c r="J1781" s="5">
        <v>.9999999999999999999999999999999999999996</v>
      </c>
      <c r="K1781" t="s">
        <v>38</v>
      </c>
      <c r="M1781">
        <v>59650</v>
      </c>
      <c r="N1781" t="s">
        <v>170</v>
      </c>
      <c r="O1781" t="s">
        <v>171</v>
      </c>
      <c r="P1781" t="s">
        <v>38</v>
      </c>
      <c r="Q1781" t="s">
        <v>50</v>
      </c>
      <c r="R1781">
        <v>0</v>
      </c>
      <c r="S1781" t="s">
        <v>45</v>
      </c>
      <c r="T1781" t="str" s="2">
        <f>=HYPERLINK("http://demo.enginatics.com:80/ecc/user/applications/log/59649.log","http://demo.enginatics.com:80/ecc/user/applications/log/59649.log")</f>
        <v>"http://demo.enginatics.com:80/ecc/user/applications/log/59649.log")</v>
      </c>
      <c r="U1781">
        <v>59651</v>
      </c>
      <c r="V1781" t="s">
        <v>38</v>
      </c>
      <c r="W1781" t="s">
        <v>50</v>
      </c>
      <c r="X1781">
        <v>0</v>
      </c>
      <c r="Y1781">
        <v>0</v>
      </c>
      <c r="Z1781" t="s">
        <v>46</v>
      </c>
      <c r="AA1781">
        <v>59652</v>
      </c>
      <c r="AB1781" t="s">
        <v>172</v>
      </c>
      <c r="AC1781" t="s">
        <v>68</v>
      </c>
      <c r="AD1781" t="s">
        <v>38</v>
      </c>
      <c r="AE1781" t="s">
        <v>49</v>
      </c>
      <c r="AF1781" t="s">
        <v>50</v>
      </c>
      <c r="AG1781">
        <v>0</v>
      </c>
      <c r="AH1781">
        <v>0</v>
      </c>
      <c r="AI1781" t="s">
        <v>51</v>
      </c>
      <c r="AJ1781" t="s">
        <v>51</v>
      </c>
      <c r="AK1781" t="s">
        <v>51</v>
      </c>
    </row>
    <row r="1782" spans="1:37" x14ac:dyDescent="0.2">
      <c r="A1782">
        <v>59645</v>
      </c>
      <c r="B1782" t="s">
        <v>37</v>
      </c>
      <c r="C1782" t="s">
        <v>38</v>
      </c>
      <c r="D1782" t="s">
        <v>169</v>
      </c>
      <c r="E1782" t="s">
        <v>173</v>
      </c>
      <c r="G1782" s="4">
        <v>43946.677025462963</v>
      </c>
      <c r="H1782" s="4">
        <v>43946.677048611111</v>
      </c>
      <c r="I1782" t="s">
        <v>88</v>
      </c>
      <c r="J1782" s="5">
        <v>2</v>
      </c>
      <c r="K1782" t="s">
        <v>38</v>
      </c>
      <c r="M1782">
        <v>59646</v>
      </c>
      <c r="N1782" t="s">
        <v>173</v>
      </c>
      <c r="O1782" t="s">
        <v>174</v>
      </c>
      <c r="P1782" t="s">
        <v>38</v>
      </c>
      <c r="Q1782" t="s">
        <v>50</v>
      </c>
      <c r="R1782">
        <v>.9999999999999999999999999999999999999996</v>
      </c>
      <c r="S1782" t="s">
        <v>45</v>
      </c>
      <c r="T1782" t="str" s="2">
        <f>=HYPERLINK("http://demo.enginatics.com:80/ecc/user/applications/log/59645.log","http://demo.enginatics.com:80/ecc/user/applications/log/59645.log")</f>
        <v>"http://demo.enginatics.com:80/ecc/user/applications/log/59645.log")</v>
      </c>
      <c r="U1782">
        <v>59647</v>
      </c>
      <c r="V1782" t="s">
        <v>38</v>
      </c>
      <c r="W1782" t="s">
        <v>50</v>
      </c>
      <c r="X1782">
        <v>0</v>
      </c>
      <c r="Y1782">
        <v>0</v>
      </c>
      <c r="Z1782" t="s">
        <v>46</v>
      </c>
      <c r="AA1782">
        <v>59648</v>
      </c>
      <c r="AB1782" t="s">
        <v>175</v>
      </c>
      <c r="AC1782" t="s">
        <v>68</v>
      </c>
      <c r="AD1782" t="s">
        <v>38</v>
      </c>
      <c r="AE1782" t="s">
        <v>49</v>
      </c>
      <c r="AF1782" t="s">
        <v>50</v>
      </c>
      <c r="AG1782">
        <v>0</v>
      </c>
      <c r="AH1782">
        <v>0</v>
      </c>
      <c r="AI1782" t="s">
        <v>51</v>
      </c>
      <c r="AJ1782" t="s">
        <v>51</v>
      </c>
      <c r="AK1782" t="s">
        <v>51</v>
      </c>
    </row>
    <row r="1783" spans="1:37" x14ac:dyDescent="0.2">
      <c r="A1783">
        <v>59641</v>
      </c>
      <c r="B1783" t="s">
        <v>37</v>
      </c>
      <c r="C1783" t="s">
        <v>38</v>
      </c>
      <c r="D1783" t="s">
        <v>169</v>
      </c>
      <c r="E1783" t="s">
        <v>176</v>
      </c>
      <c r="G1783" s="4">
        <v>43946.676898148148</v>
      </c>
      <c r="H1783" s="4">
        <v>43946.676898148148</v>
      </c>
      <c r="I1783" t="s">
        <v>50</v>
      </c>
      <c r="J1783" s="5">
        <v>0</v>
      </c>
      <c r="K1783" t="s">
        <v>38</v>
      </c>
      <c r="M1783">
        <v>59642</v>
      </c>
      <c r="N1783" t="s">
        <v>176</v>
      </c>
      <c r="O1783" t="s">
        <v>177</v>
      </c>
      <c r="P1783" t="s">
        <v>38</v>
      </c>
      <c r="Q1783" t="s">
        <v>50</v>
      </c>
      <c r="R1783">
        <v>0</v>
      </c>
      <c r="S1783" t="s">
        <v>45</v>
      </c>
      <c r="T1783" t="str" s="2">
        <f>=HYPERLINK("http://demo.enginatics.com:80/ecc/user/applications/log/59641.log","http://demo.enginatics.com:80/ecc/user/applications/log/59641.log")</f>
        <v>"http://demo.enginatics.com:80/ecc/user/applications/log/59641.log")</v>
      </c>
      <c r="U1783">
        <v>59643</v>
      </c>
      <c r="V1783" t="s">
        <v>38</v>
      </c>
      <c r="W1783" t="s">
        <v>50</v>
      </c>
      <c r="X1783">
        <v>0</v>
      </c>
      <c r="Y1783">
        <v>0</v>
      </c>
      <c r="Z1783" t="s">
        <v>46</v>
      </c>
      <c r="AA1783">
        <v>59644</v>
      </c>
      <c r="AB1783" t="s">
        <v>178</v>
      </c>
      <c r="AC1783" t="s">
        <v>68</v>
      </c>
      <c r="AD1783" t="s">
        <v>38</v>
      </c>
      <c r="AE1783" t="s">
        <v>49</v>
      </c>
      <c r="AF1783" t="s">
        <v>50</v>
      </c>
      <c r="AG1783">
        <v>0</v>
      </c>
      <c r="AH1783">
        <v>0</v>
      </c>
      <c r="AI1783" t="s">
        <v>51</v>
      </c>
      <c r="AJ1783" t="s">
        <v>51</v>
      </c>
      <c r="AK1783" t="s">
        <v>51</v>
      </c>
    </row>
    <row r="1784" spans="1:37" x14ac:dyDescent="0.2">
      <c r="A1784">
        <v>59637</v>
      </c>
      <c r="B1784" t="s">
        <v>37</v>
      </c>
      <c r="C1784" t="s">
        <v>38</v>
      </c>
      <c r="D1784" t="s">
        <v>169</v>
      </c>
      <c r="E1784" t="s">
        <v>179</v>
      </c>
      <c r="G1784" s="4">
        <v>43946.676550925926</v>
      </c>
      <c r="H1784" s="4">
        <v>43946.676828703704</v>
      </c>
      <c r="I1784" t="s">
        <v>1153</v>
      </c>
      <c r="J1784" s="5">
        <v>24.00000000000000000000000000000000000002</v>
      </c>
      <c r="K1784" t="s">
        <v>38</v>
      </c>
      <c r="M1784">
        <v>59638</v>
      </c>
      <c r="N1784" t="s">
        <v>179</v>
      </c>
      <c r="O1784" t="s">
        <v>181</v>
      </c>
      <c r="P1784" t="s">
        <v>38</v>
      </c>
      <c r="Q1784" t="s">
        <v>183</v>
      </c>
      <c r="R1784">
        <v>23.00000000000000000000000000000000000003</v>
      </c>
      <c r="S1784" t="s">
        <v>45</v>
      </c>
      <c r="T1784" t="str" s="2">
        <f>=HYPERLINK("http://demo.enginatics.com:80/ecc/user/applications/log/59637.log","http://demo.enginatics.com:80/ecc/user/applications/log/59637.log")</f>
        <v>"http://demo.enginatics.com:80/ecc/user/applications/log/59637.log")</v>
      </c>
      <c r="U1784">
        <v>59639</v>
      </c>
      <c r="V1784" t="s">
        <v>38</v>
      </c>
      <c r="W1784" t="s">
        <v>183</v>
      </c>
      <c r="X1784">
        <v>23.00000000000000000000000000000000000003</v>
      </c>
      <c r="Y1784">
        <v>0</v>
      </c>
      <c r="Z1784" t="s">
        <v>46</v>
      </c>
      <c r="AA1784">
        <v>59640</v>
      </c>
      <c r="AB1784" t="s">
        <v>182</v>
      </c>
      <c r="AC1784" t="s">
        <v>68</v>
      </c>
      <c r="AD1784" t="s">
        <v>38</v>
      </c>
      <c r="AE1784" t="s">
        <v>49</v>
      </c>
      <c r="AF1784" t="s">
        <v>183</v>
      </c>
      <c r="AG1784">
        <v>23.00000000000000000000000000000000000003</v>
      </c>
      <c r="AH1784">
        <v>23</v>
      </c>
      <c r="AI1784" t="s">
        <v>51</v>
      </c>
      <c r="AJ1784" t="s">
        <v>51</v>
      </c>
      <c r="AK1784" t="s">
        <v>51</v>
      </c>
    </row>
    <row r="1785" spans="1:37" x14ac:dyDescent="0.2">
      <c r="A1785">
        <v>59633</v>
      </c>
      <c r="B1785" t="s">
        <v>37</v>
      </c>
      <c r="C1785" t="s">
        <v>38</v>
      </c>
      <c r="D1785" t="s">
        <v>169</v>
      </c>
      <c r="E1785" t="s">
        <v>184</v>
      </c>
      <c r="G1785" s="4">
        <v>43946.676423611111</v>
      </c>
      <c r="H1785" s="4">
        <v>43946.676435185185</v>
      </c>
      <c r="I1785" t="s">
        <v>50</v>
      </c>
      <c r="J1785" s="5">
        <v>.9999999999999999999999999999999999999996</v>
      </c>
      <c r="K1785" t="s">
        <v>38</v>
      </c>
      <c r="M1785">
        <v>59634</v>
      </c>
      <c r="N1785" t="s">
        <v>184</v>
      </c>
      <c r="O1785" t="s">
        <v>185</v>
      </c>
      <c r="P1785" t="s">
        <v>38</v>
      </c>
      <c r="Q1785" t="s">
        <v>50</v>
      </c>
      <c r="R1785">
        <v>.9999999999999999999999999999999999999996</v>
      </c>
      <c r="S1785" t="s">
        <v>45</v>
      </c>
      <c r="T1785" t="str" s="2">
        <f>=HYPERLINK("http://demo.enginatics.com:80/ecc/user/applications/log/59633.log","http://demo.enginatics.com:80/ecc/user/applications/log/59633.log")</f>
        <v>"http://demo.enginatics.com:80/ecc/user/applications/log/59633.log")</v>
      </c>
      <c r="U1785">
        <v>59635</v>
      </c>
      <c r="V1785" t="s">
        <v>38</v>
      </c>
      <c r="W1785" t="s">
        <v>50</v>
      </c>
      <c r="X1785">
        <v>.9999999999999999999999999999999999999996</v>
      </c>
      <c r="Y1785">
        <v>0</v>
      </c>
      <c r="Z1785" t="s">
        <v>46</v>
      </c>
      <c r="AA1785">
        <v>59636</v>
      </c>
      <c r="AB1785" t="s">
        <v>186</v>
      </c>
      <c r="AC1785" t="s">
        <v>68</v>
      </c>
      <c r="AD1785" t="s">
        <v>38</v>
      </c>
      <c r="AE1785" t="s">
        <v>49</v>
      </c>
      <c r="AF1785" t="s">
        <v>50</v>
      </c>
      <c r="AG1785">
        <v>0</v>
      </c>
      <c r="AH1785">
        <v>0</v>
      </c>
      <c r="AI1785" t="s">
        <v>51</v>
      </c>
      <c r="AJ1785" t="s">
        <v>51</v>
      </c>
      <c r="AK1785" t="s">
        <v>51</v>
      </c>
    </row>
    <row r="1786" spans="1:37" x14ac:dyDescent="0.2">
      <c r="A1786">
        <v>59629</v>
      </c>
      <c r="B1786" t="s">
        <v>37</v>
      </c>
      <c r="C1786" t="s">
        <v>38</v>
      </c>
      <c r="D1786" t="s">
        <v>169</v>
      </c>
      <c r="E1786" t="s">
        <v>187</v>
      </c>
      <c r="G1786" s="4">
        <v>43946.676261574074</v>
      </c>
      <c r="H1786" s="4">
        <v>43946.676331018519</v>
      </c>
      <c r="I1786" t="s">
        <v>75</v>
      </c>
      <c r="J1786" s="5">
        <v>6</v>
      </c>
      <c r="K1786" t="s">
        <v>38</v>
      </c>
      <c r="M1786">
        <v>59630</v>
      </c>
      <c r="N1786" t="s">
        <v>187</v>
      </c>
      <c r="O1786" t="s">
        <v>188</v>
      </c>
      <c r="P1786" t="s">
        <v>38</v>
      </c>
      <c r="Q1786" t="s">
        <v>78</v>
      </c>
      <c r="R1786">
        <v>5</v>
      </c>
      <c r="S1786" t="s">
        <v>45</v>
      </c>
      <c r="T1786" t="str" s="2">
        <f>=HYPERLINK("http://demo.enginatics.com:80/ecc/user/applications/log/59629.log","http://demo.enginatics.com:80/ecc/user/applications/log/59629.log")</f>
        <v>"http://demo.enginatics.com:80/ecc/user/applications/log/59629.log")</v>
      </c>
      <c r="U1786">
        <v>59631</v>
      </c>
      <c r="V1786" t="s">
        <v>38</v>
      </c>
      <c r="W1786" t="s">
        <v>85</v>
      </c>
      <c r="X1786">
        <v>3</v>
      </c>
      <c r="Y1786">
        <v>0</v>
      </c>
      <c r="Z1786" t="s">
        <v>46</v>
      </c>
      <c r="AA1786">
        <v>59632</v>
      </c>
      <c r="AB1786" t="s">
        <v>189</v>
      </c>
      <c r="AC1786" t="s">
        <v>68</v>
      </c>
      <c r="AD1786" t="s">
        <v>38</v>
      </c>
      <c r="AE1786" t="s">
        <v>49</v>
      </c>
      <c r="AF1786" t="s">
        <v>85</v>
      </c>
      <c r="AG1786">
        <v>3</v>
      </c>
      <c r="AH1786">
        <v>3</v>
      </c>
      <c r="AI1786" t="s">
        <v>51</v>
      </c>
      <c r="AJ1786" t="s">
        <v>51</v>
      </c>
      <c r="AK1786" t="s">
        <v>51</v>
      </c>
    </row>
    <row r="1787" spans="1:37" x14ac:dyDescent="0.2">
      <c r="A1787">
        <v>59625</v>
      </c>
      <c r="B1787" t="s">
        <v>37</v>
      </c>
      <c r="C1787" t="s">
        <v>38</v>
      </c>
      <c r="D1787" t="s">
        <v>169</v>
      </c>
      <c r="E1787" t="s">
        <v>190</v>
      </c>
      <c r="G1787" s="4">
        <v>43946.676145833333</v>
      </c>
      <c r="H1787" s="4">
        <v>43946.676145833333</v>
      </c>
      <c r="I1787" t="s">
        <v>50</v>
      </c>
      <c r="J1787" s="5">
        <v>0</v>
      </c>
      <c r="K1787" t="s">
        <v>38</v>
      </c>
      <c r="M1787">
        <v>59626</v>
      </c>
      <c r="N1787" t="s">
        <v>190</v>
      </c>
      <c r="O1787" t="s">
        <v>191</v>
      </c>
      <c r="P1787" t="s">
        <v>38</v>
      </c>
      <c r="Q1787" t="s">
        <v>50</v>
      </c>
      <c r="R1787">
        <v>0</v>
      </c>
      <c r="S1787" t="s">
        <v>45</v>
      </c>
      <c r="T1787" t="str" s="2">
        <f>=HYPERLINK("http://demo.enginatics.com:80/ecc/user/applications/log/59625.log","http://demo.enginatics.com:80/ecc/user/applications/log/59625.log")</f>
        <v>"http://demo.enginatics.com:80/ecc/user/applications/log/59625.log")</v>
      </c>
      <c r="U1787">
        <v>59627</v>
      </c>
      <c r="V1787" t="s">
        <v>38</v>
      </c>
      <c r="W1787" t="s">
        <v>50</v>
      </c>
      <c r="X1787">
        <v>0</v>
      </c>
      <c r="Y1787">
        <v>0</v>
      </c>
      <c r="Z1787" t="s">
        <v>46</v>
      </c>
      <c r="AA1787">
        <v>59628</v>
      </c>
      <c r="AB1787" t="s">
        <v>192</v>
      </c>
      <c r="AC1787" t="s">
        <v>68</v>
      </c>
      <c r="AD1787" t="s">
        <v>38</v>
      </c>
      <c r="AE1787" t="s">
        <v>49</v>
      </c>
      <c r="AF1787" t="s">
        <v>50</v>
      </c>
      <c r="AG1787">
        <v>0</v>
      </c>
      <c r="AH1787">
        <v>0</v>
      </c>
      <c r="AI1787" t="s">
        <v>51</v>
      </c>
      <c r="AJ1787" t="s">
        <v>51</v>
      </c>
      <c r="AK1787" t="s">
        <v>51</v>
      </c>
    </row>
    <row r="1788" spans="1:37" x14ac:dyDescent="0.2">
      <c r="A1788">
        <v>59621</v>
      </c>
      <c r="B1788" t="s">
        <v>37</v>
      </c>
      <c r="C1788" t="s">
        <v>38</v>
      </c>
      <c r="D1788" t="s">
        <v>169</v>
      </c>
      <c r="E1788" t="s">
        <v>193</v>
      </c>
      <c r="G1788" s="4">
        <v>43946.676041666667</v>
      </c>
      <c r="H1788" s="4">
        <v>43946.676053240741</v>
      </c>
      <c r="I1788" t="s">
        <v>50</v>
      </c>
      <c r="J1788" s="5">
        <v>.9999999999999999999999999999999999999996</v>
      </c>
      <c r="K1788" t="s">
        <v>38</v>
      </c>
      <c r="M1788">
        <v>59622</v>
      </c>
      <c r="N1788" t="s">
        <v>193</v>
      </c>
      <c r="O1788" t="s">
        <v>194</v>
      </c>
      <c r="P1788" t="s">
        <v>38</v>
      </c>
      <c r="Q1788" t="s">
        <v>50</v>
      </c>
      <c r="R1788">
        <v>0</v>
      </c>
      <c r="S1788" t="s">
        <v>45</v>
      </c>
      <c r="T1788" t="str" s="2">
        <f>=HYPERLINK("http://demo.enginatics.com:80/ecc/user/applications/log/59621.log","http://demo.enginatics.com:80/ecc/user/applications/log/59621.log")</f>
        <v>"http://demo.enginatics.com:80/ecc/user/applications/log/59621.log")</v>
      </c>
      <c r="U1788">
        <v>59623</v>
      </c>
      <c r="V1788" t="s">
        <v>38</v>
      </c>
      <c r="W1788" t="s">
        <v>50</v>
      </c>
      <c r="X1788">
        <v>0</v>
      </c>
      <c r="Y1788">
        <v>0</v>
      </c>
      <c r="Z1788" t="s">
        <v>46</v>
      </c>
      <c r="AA1788">
        <v>59624</v>
      </c>
      <c r="AB1788" t="s">
        <v>195</v>
      </c>
      <c r="AC1788" t="s">
        <v>68</v>
      </c>
      <c r="AD1788" t="s">
        <v>38</v>
      </c>
      <c r="AE1788" t="s">
        <v>49</v>
      </c>
      <c r="AF1788" t="s">
        <v>50</v>
      </c>
      <c r="AG1788">
        <v>0</v>
      </c>
      <c r="AH1788">
        <v>0</v>
      </c>
      <c r="AI1788" t="s">
        <v>51</v>
      </c>
      <c r="AJ1788" t="s">
        <v>51</v>
      </c>
      <c r="AK1788" t="s">
        <v>51</v>
      </c>
    </row>
    <row r="1789" spans="1:37" x14ac:dyDescent="0.2">
      <c r="A1789">
        <v>59618</v>
      </c>
      <c r="B1789" t="s">
        <v>37</v>
      </c>
      <c r="C1789" t="s">
        <v>196</v>
      </c>
      <c r="D1789" t="s">
        <v>169</v>
      </c>
      <c r="E1789" t="s">
        <v>197</v>
      </c>
      <c r="G1789" s="4">
        <v>43946.67587962963</v>
      </c>
      <c r="H1789" s="4">
        <v>43946.675891203704</v>
      </c>
      <c r="I1789" t="s">
        <v>50</v>
      </c>
      <c r="J1789" s="5">
        <v>.9999999999999999999999999999999999999996</v>
      </c>
      <c r="K1789" t="s">
        <v>196</v>
      </c>
      <c r="M1789">
        <v>59619</v>
      </c>
      <c r="N1789" t="s">
        <v>197</v>
      </c>
      <c r="O1789" t="s">
        <v>198</v>
      </c>
      <c r="P1789" t="s">
        <v>196</v>
      </c>
      <c r="Q1789" t="s">
        <v>50</v>
      </c>
      <c r="R1789">
        <v>0</v>
      </c>
      <c r="S1789" t="s">
        <v>199</v>
      </c>
      <c r="T1789" t="str" s="2">
        <f>=HYPERLINK("http://demo.enginatics.com:80/ecc/user/applications/log/59618.log","http://demo.enginatics.com:80/ecc/user/applications/log/59618.log")</f>
        <v>"http://demo.enginatics.com:80/ecc/user/applications/log/59618.log")</v>
      </c>
      <c r="U1789">
        <v>59620</v>
      </c>
      <c r="V1789" t="s">
        <v>196</v>
      </c>
      <c r="W1789" t="s">
        <v>50</v>
      </c>
      <c r="X1789">
        <v>0</v>
      </c>
      <c r="Y1789">
        <v>0</v>
      </c>
      <c r="Z1789" t="s">
        <v>1639</v>
      </c>
    </row>
    <row r="1790" spans="1:37" x14ac:dyDescent="0.2">
      <c r="A1790">
        <v>59614</v>
      </c>
      <c r="B1790" t="s">
        <v>37</v>
      </c>
      <c r="C1790" t="s">
        <v>38</v>
      </c>
      <c r="D1790" t="s">
        <v>169</v>
      </c>
      <c r="E1790" t="s">
        <v>201</v>
      </c>
      <c r="G1790" s="4">
        <v>43946.672534722222</v>
      </c>
      <c r="H1790" s="4">
        <v>43946.672546296296</v>
      </c>
      <c r="I1790" t="s">
        <v>50</v>
      </c>
      <c r="J1790" s="5">
        <v>.9999999999999999999999999999999999999996</v>
      </c>
      <c r="K1790" t="s">
        <v>38</v>
      </c>
      <c r="M1790">
        <v>59615</v>
      </c>
      <c r="N1790" t="s">
        <v>201</v>
      </c>
      <c r="O1790" t="s">
        <v>202</v>
      </c>
      <c r="P1790" t="s">
        <v>38</v>
      </c>
      <c r="Q1790" t="s">
        <v>50</v>
      </c>
      <c r="R1790">
        <v>.9999999999999999999999999999999999999996</v>
      </c>
      <c r="S1790" t="s">
        <v>45</v>
      </c>
      <c r="T1790" t="str" s="2">
        <f>=HYPERLINK("http://demo.enginatics.com:80/ecc/user/applications/log/59614.log","http://demo.enginatics.com:80/ecc/user/applications/log/59614.log")</f>
        <v>"http://demo.enginatics.com:80/ecc/user/applications/log/59614.log")</v>
      </c>
      <c r="U1790">
        <v>59616</v>
      </c>
      <c r="V1790" t="s">
        <v>38</v>
      </c>
      <c r="W1790" t="s">
        <v>50</v>
      </c>
      <c r="X1790">
        <v>.9999999999999999999999999999999999999996</v>
      </c>
      <c r="Y1790">
        <v>0</v>
      </c>
      <c r="Z1790" t="s">
        <v>46</v>
      </c>
      <c r="AA1790">
        <v>59617</v>
      </c>
      <c r="AB1790" t="s">
        <v>1396</v>
      </c>
      <c r="AC1790" t="s">
        <v>68</v>
      </c>
      <c r="AD1790" t="s">
        <v>38</v>
      </c>
      <c r="AE1790" t="s">
        <v>49</v>
      </c>
      <c r="AF1790" t="s">
        <v>50</v>
      </c>
      <c r="AG1790">
        <v>.9999999999999999999999999999999999999996</v>
      </c>
      <c r="AH1790">
        <v>0</v>
      </c>
      <c r="AI1790" t="s">
        <v>51</v>
      </c>
      <c r="AJ1790" t="s">
        <v>51</v>
      </c>
      <c r="AK1790" t="s">
        <v>51</v>
      </c>
    </row>
    <row r="1791" spans="1:37" x14ac:dyDescent="0.2">
      <c r="A1791">
        <v>59609</v>
      </c>
      <c r="B1791" t="s">
        <v>37</v>
      </c>
      <c r="C1791" t="s">
        <v>38</v>
      </c>
      <c r="D1791" t="s">
        <v>169</v>
      </c>
      <c r="E1791" t="s">
        <v>204</v>
      </c>
      <c r="G1791" s="4">
        <v>43946.672372685185</v>
      </c>
      <c r="H1791" s="4">
        <v>43946.67244212963</v>
      </c>
      <c r="I1791" t="s">
        <v>75</v>
      </c>
      <c r="J1791" s="5">
        <v>6</v>
      </c>
      <c r="K1791" t="s">
        <v>38</v>
      </c>
      <c r="M1791">
        <v>59610</v>
      </c>
      <c r="N1791" t="s">
        <v>204</v>
      </c>
      <c r="O1791" t="s">
        <v>205</v>
      </c>
      <c r="P1791" t="s">
        <v>38</v>
      </c>
      <c r="Q1791" t="s">
        <v>75</v>
      </c>
      <c r="R1791">
        <v>6</v>
      </c>
      <c r="S1791" t="s">
        <v>45</v>
      </c>
      <c r="T1791" t="str" s="2">
        <f>=HYPERLINK("http://demo.enginatics.com:80/ecc/user/applications/log/59609.log","http://demo.enginatics.com:80/ecc/user/applications/log/59609.log")</f>
        <v>"http://demo.enginatics.com:80/ecc/user/applications/log/59609.log")</v>
      </c>
      <c r="U1791">
        <v>59611</v>
      </c>
      <c r="V1791" t="s">
        <v>38</v>
      </c>
      <c r="W1791" t="s">
        <v>75</v>
      </c>
      <c r="X1791">
        <v>6</v>
      </c>
      <c r="Y1791">
        <v>1</v>
      </c>
      <c r="Z1791" t="s">
        <v>46</v>
      </c>
      <c r="AA1791">
        <v>59613</v>
      </c>
      <c r="AB1791" t="s">
        <v>206</v>
      </c>
      <c r="AC1791" t="s">
        <v>68</v>
      </c>
      <c r="AD1791" t="s">
        <v>38</v>
      </c>
      <c r="AE1791" t="s">
        <v>49</v>
      </c>
      <c r="AF1791" t="s">
        <v>50</v>
      </c>
      <c r="AG1791">
        <v>.9999999999999999999999999999999999999996</v>
      </c>
      <c r="AH1791">
        <v>0</v>
      </c>
      <c r="AI1791" t="s">
        <v>51</v>
      </c>
      <c r="AJ1791" t="s">
        <v>51</v>
      </c>
      <c r="AK1791" t="s">
        <v>51</v>
      </c>
    </row>
    <row r="1792" spans="1:37" x14ac:dyDescent="0.2">
      <c r="A1792">
        <v>59609</v>
      </c>
      <c r="B1792" t="s">
        <v>37</v>
      </c>
      <c r="C1792" t="s">
        <v>38</v>
      </c>
      <c r="D1792" t="s">
        <v>169</v>
      </c>
      <c r="E1792" t="s">
        <v>204</v>
      </c>
      <c r="G1792" s="4">
        <v>43946.672372685185</v>
      </c>
      <c r="H1792" s="4">
        <v>43946.67244212963</v>
      </c>
      <c r="I1792" t="s">
        <v>75</v>
      </c>
      <c r="J1792" s="5">
        <v>6</v>
      </c>
      <c r="K1792" t="s">
        <v>38</v>
      </c>
      <c r="M1792">
        <v>59610</v>
      </c>
      <c r="N1792" t="s">
        <v>204</v>
      </c>
      <c r="O1792" t="s">
        <v>205</v>
      </c>
      <c r="P1792" t="s">
        <v>38</v>
      </c>
      <c r="Q1792" t="s">
        <v>75</v>
      </c>
      <c r="R1792">
        <v>6</v>
      </c>
      <c r="S1792" t="s">
        <v>45</v>
      </c>
      <c r="T1792" t="str" s="2">
        <f>=HYPERLINK("http://demo.enginatics.com:80/ecc/user/applications/log/59609.log","http://demo.enginatics.com:80/ecc/user/applications/log/59609.log")</f>
        <v>"http://demo.enginatics.com:80/ecc/user/applications/log/59609.log")</v>
      </c>
      <c r="U1792">
        <v>59611</v>
      </c>
      <c r="V1792" t="s">
        <v>38</v>
      </c>
      <c r="W1792" t="s">
        <v>75</v>
      </c>
      <c r="X1792">
        <v>6</v>
      </c>
      <c r="Y1792">
        <v>1</v>
      </c>
      <c r="Z1792" t="s">
        <v>46</v>
      </c>
      <c r="AA1792">
        <v>59612</v>
      </c>
      <c r="AB1792" t="s">
        <v>207</v>
      </c>
      <c r="AC1792" t="s">
        <v>56</v>
      </c>
      <c r="AD1792" t="s">
        <v>38</v>
      </c>
      <c r="AE1792" t="s">
        <v>49</v>
      </c>
      <c r="AF1792" t="s">
        <v>44</v>
      </c>
      <c r="AG1792">
        <v>4</v>
      </c>
      <c r="AH1792">
        <v>1</v>
      </c>
      <c r="AI1792" t="s">
        <v>51</v>
      </c>
      <c r="AJ1792" t="s">
        <v>51</v>
      </c>
      <c r="AK1792" t="s">
        <v>51</v>
      </c>
    </row>
    <row r="1793" spans="1:37" x14ac:dyDescent="0.2">
      <c r="A1793">
        <v>59604</v>
      </c>
      <c r="B1793" t="s">
        <v>37</v>
      </c>
      <c r="C1793" t="s">
        <v>38</v>
      </c>
      <c r="D1793" t="s">
        <v>169</v>
      </c>
      <c r="E1793" t="s">
        <v>208</v>
      </c>
      <c r="G1793" s="4">
        <v>43946.67224537037</v>
      </c>
      <c r="H1793" s="4">
        <v>43946.672256944444</v>
      </c>
      <c r="I1793" t="s">
        <v>50</v>
      </c>
      <c r="J1793" s="5">
        <v>.9999999999999999999999999999999999999996</v>
      </c>
      <c r="K1793" t="s">
        <v>38</v>
      </c>
      <c r="M1793">
        <v>59605</v>
      </c>
      <c r="N1793" t="s">
        <v>208</v>
      </c>
      <c r="O1793" t="s">
        <v>209</v>
      </c>
      <c r="P1793" t="s">
        <v>38</v>
      </c>
      <c r="Q1793" t="s">
        <v>50</v>
      </c>
      <c r="R1793">
        <v>.9999999999999999999999999999999999999996</v>
      </c>
      <c r="S1793" t="s">
        <v>45</v>
      </c>
      <c r="T1793" t="str" s="2">
        <f>=HYPERLINK("http://demo.enginatics.com:80/ecc/user/applications/log/59604.log","http://demo.enginatics.com:80/ecc/user/applications/log/59604.log")</f>
        <v>"http://demo.enginatics.com:80/ecc/user/applications/log/59604.log")</v>
      </c>
      <c r="U1793">
        <v>59606</v>
      </c>
      <c r="V1793" t="s">
        <v>38</v>
      </c>
      <c r="W1793" t="s">
        <v>50</v>
      </c>
      <c r="X1793">
        <v>.9999999999999999999999999999999999999996</v>
      </c>
      <c r="Y1793">
        <v>0</v>
      </c>
      <c r="Z1793" t="s">
        <v>46</v>
      </c>
      <c r="AA1793">
        <v>59608</v>
      </c>
      <c r="AB1793" t="s">
        <v>210</v>
      </c>
      <c r="AC1793" t="s">
        <v>48</v>
      </c>
      <c r="AD1793" t="s">
        <v>38</v>
      </c>
      <c r="AE1793" t="s">
        <v>49</v>
      </c>
      <c r="AF1793" t="s">
        <v>50</v>
      </c>
      <c r="AG1793">
        <v>0</v>
      </c>
      <c r="AH1793">
        <v>0</v>
      </c>
      <c r="AI1793" t="s">
        <v>51</v>
      </c>
      <c r="AJ1793" t="s">
        <v>51</v>
      </c>
      <c r="AK1793" t="s">
        <v>51</v>
      </c>
    </row>
    <row r="1794" spans="1:37" x14ac:dyDescent="0.2">
      <c r="A1794">
        <v>59604</v>
      </c>
      <c r="B1794" t="s">
        <v>37</v>
      </c>
      <c r="C1794" t="s">
        <v>38</v>
      </c>
      <c r="D1794" t="s">
        <v>169</v>
      </c>
      <c r="E1794" t="s">
        <v>208</v>
      </c>
      <c r="G1794" s="4">
        <v>43946.67224537037</v>
      </c>
      <c r="H1794" s="4">
        <v>43946.672256944444</v>
      </c>
      <c r="I1794" t="s">
        <v>50</v>
      </c>
      <c r="J1794" s="5">
        <v>.9999999999999999999999999999999999999996</v>
      </c>
      <c r="K1794" t="s">
        <v>38</v>
      </c>
      <c r="M1794">
        <v>59605</v>
      </c>
      <c r="N1794" t="s">
        <v>208</v>
      </c>
      <c r="O1794" t="s">
        <v>209</v>
      </c>
      <c r="P1794" t="s">
        <v>38</v>
      </c>
      <c r="Q1794" t="s">
        <v>50</v>
      </c>
      <c r="R1794">
        <v>.9999999999999999999999999999999999999996</v>
      </c>
      <c r="S1794" t="s">
        <v>45</v>
      </c>
      <c r="T1794" t="str" s="2">
        <f>=HYPERLINK("http://demo.enginatics.com:80/ecc/user/applications/log/59604.log","http://demo.enginatics.com:80/ecc/user/applications/log/59604.log")</f>
        <v>"http://demo.enginatics.com:80/ecc/user/applications/log/59604.log")</v>
      </c>
      <c r="U1794">
        <v>59606</v>
      </c>
      <c r="V1794" t="s">
        <v>38</v>
      </c>
      <c r="W1794" t="s">
        <v>50</v>
      </c>
      <c r="X1794">
        <v>.9999999999999999999999999999999999999996</v>
      </c>
      <c r="Y1794">
        <v>0</v>
      </c>
      <c r="Z1794" t="s">
        <v>46</v>
      </c>
      <c r="AA1794">
        <v>59607</v>
      </c>
      <c r="AB1794" t="s">
        <v>211</v>
      </c>
      <c r="AC1794" t="s">
        <v>56</v>
      </c>
      <c r="AD1794" t="s">
        <v>38</v>
      </c>
      <c r="AE1794" t="s">
        <v>49</v>
      </c>
      <c r="AF1794" t="s">
        <v>50</v>
      </c>
      <c r="AG1794">
        <v>0</v>
      </c>
      <c r="AH1794">
        <v>0</v>
      </c>
      <c r="AI1794" t="s">
        <v>51</v>
      </c>
      <c r="AJ1794" t="s">
        <v>51</v>
      </c>
      <c r="AK1794" t="s">
        <v>51</v>
      </c>
    </row>
    <row r="1795" spans="1:37" x14ac:dyDescent="0.2">
      <c r="A1795">
        <v>59600</v>
      </c>
      <c r="B1795" t="s">
        <v>37</v>
      </c>
      <c r="C1795" t="s">
        <v>38</v>
      </c>
      <c r="D1795" t="s">
        <v>169</v>
      </c>
      <c r="E1795" t="s">
        <v>212</v>
      </c>
      <c r="G1795" s="4">
        <v>43946.67212962963</v>
      </c>
      <c r="H1795" s="4">
        <v>43946.672141203704</v>
      </c>
      <c r="I1795" t="s">
        <v>50</v>
      </c>
      <c r="J1795" s="5">
        <v>.9999999999999999999999999999999999999996</v>
      </c>
      <c r="K1795" t="s">
        <v>38</v>
      </c>
      <c r="M1795">
        <v>59601</v>
      </c>
      <c r="N1795" t="s">
        <v>212</v>
      </c>
      <c r="O1795" t="s">
        <v>213</v>
      </c>
      <c r="P1795" t="s">
        <v>38</v>
      </c>
      <c r="Q1795" t="s">
        <v>50</v>
      </c>
      <c r="R1795">
        <v>.9999999999999999999999999999999999999996</v>
      </c>
      <c r="S1795" t="s">
        <v>45</v>
      </c>
      <c r="T1795" t="str" s="2">
        <f>=HYPERLINK("http://demo.enginatics.com:80/ecc/user/applications/log/59600.log","http://demo.enginatics.com:80/ecc/user/applications/log/59600.log")</f>
        <v>"http://demo.enginatics.com:80/ecc/user/applications/log/59600.log")</v>
      </c>
      <c r="U1795">
        <v>59602</v>
      </c>
      <c r="V1795" t="s">
        <v>38</v>
      </c>
      <c r="W1795" t="s">
        <v>50</v>
      </c>
      <c r="X1795">
        <v>.9999999999999999999999999999999999999996</v>
      </c>
      <c r="Y1795">
        <v>0</v>
      </c>
      <c r="Z1795" t="s">
        <v>46</v>
      </c>
      <c r="AA1795">
        <v>59603</v>
      </c>
      <c r="AB1795" t="s">
        <v>1397</v>
      </c>
      <c r="AC1795" t="s">
        <v>68</v>
      </c>
      <c r="AD1795" t="s">
        <v>38</v>
      </c>
      <c r="AE1795" t="s">
        <v>49</v>
      </c>
      <c r="AF1795" t="s">
        <v>50</v>
      </c>
      <c r="AG1795">
        <v>0</v>
      </c>
      <c r="AH1795">
        <v>0</v>
      </c>
      <c r="AI1795" t="s">
        <v>51</v>
      </c>
      <c r="AJ1795" t="s">
        <v>51</v>
      </c>
      <c r="AK1795" t="s">
        <v>51</v>
      </c>
    </row>
    <row r="1796" spans="1:37" x14ac:dyDescent="0.2">
      <c r="A1796">
        <v>59595</v>
      </c>
      <c r="B1796" t="s">
        <v>37</v>
      </c>
      <c r="C1796" t="s">
        <v>38</v>
      </c>
      <c r="D1796" t="s">
        <v>169</v>
      </c>
      <c r="E1796" t="s">
        <v>215</v>
      </c>
      <c r="G1796" s="4">
        <v>43946.671979166667</v>
      </c>
      <c r="H1796" s="4">
        <v>43946.671990740741</v>
      </c>
      <c r="I1796" t="s">
        <v>50</v>
      </c>
      <c r="J1796" s="5">
        <v>.9999999999999999999999999999999999999996</v>
      </c>
      <c r="K1796" t="s">
        <v>38</v>
      </c>
      <c r="M1796">
        <v>59596</v>
      </c>
      <c r="N1796" t="s">
        <v>215</v>
      </c>
      <c r="O1796" t="s">
        <v>216</v>
      </c>
      <c r="P1796" t="s">
        <v>38</v>
      </c>
      <c r="Q1796" t="s">
        <v>50</v>
      </c>
      <c r="R1796">
        <v>.9999999999999999999999999999999999999996</v>
      </c>
      <c r="S1796" t="s">
        <v>45</v>
      </c>
      <c r="T1796" t="str" s="2">
        <f>=HYPERLINK("http://demo.enginatics.com:80/ecc/user/applications/log/59595.log","http://demo.enginatics.com:80/ecc/user/applications/log/59595.log")</f>
        <v>"http://demo.enginatics.com:80/ecc/user/applications/log/59595.log")</v>
      </c>
      <c r="U1796">
        <v>59597</v>
      </c>
      <c r="V1796" t="s">
        <v>38</v>
      </c>
      <c r="W1796" t="s">
        <v>50</v>
      </c>
      <c r="X1796">
        <v>.9999999999999999999999999999999999999996</v>
      </c>
      <c r="Y1796">
        <v>0</v>
      </c>
      <c r="Z1796" t="s">
        <v>46</v>
      </c>
      <c r="AA1796">
        <v>59599</v>
      </c>
      <c r="AB1796" t="s">
        <v>217</v>
      </c>
      <c r="AC1796" t="s">
        <v>48</v>
      </c>
      <c r="AD1796" t="s">
        <v>38</v>
      </c>
      <c r="AE1796" t="s">
        <v>49</v>
      </c>
      <c r="AF1796" t="s">
        <v>50</v>
      </c>
      <c r="AG1796">
        <v>0</v>
      </c>
      <c r="AH1796">
        <v>0</v>
      </c>
      <c r="AI1796" t="s">
        <v>51</v>
      </c>
      <c r="AJ1796" t="s">
        <v>51</v>
      </c>
      <c r="AK1796" t="s">
        <v>51</v>
      </c>
    </row>
    <row r="1797" spans="1:37" x14ac:dyDescent="0.2">
      <c r="A1797">
        <v>59595</v>
      </c>
      <c r="B1797" t="s">
        <v>37</v>
      </c>
      <c r="C1797" t="s">
        <v>38</v>
      </c>
      <c r="D1797" t="s">
        <v>169</v>
      </c>
      <c r="E1797" t="s">
        <v>215</v>
      </c>
      <c r="G1797" s="4">
        <v>43946.671979166667</v>
      </c>
      <c r="H1797" s="4">
        <v>43946.671990740741</v>
      </c>
      <c r="I1797" t="s">
        <v>50</v>
      </c>
      <c r="J1797" s="5">
        <v>.9999999999999999999999999999999999999996</v>
      </c>
      <c r="K1797" t="s">
        <v>38</v>
      </c>
      <c r="M1797">
        <v>59596</v>
      </c>
      <c r="N1797" t="s">
        <v>215</v>
      </c>
      <c r="O1797" t="s">
        <v>216</v>
      </c>
      <c r="P1797" t="s">
        <v>38</v>
      </c>
      <c r="Q1797" t="s">
        <v>50</v>
      </c>
      <c r="R1797">
        <v>.9999999999999999999999999999999999999996</v>
      </c>
      <c r="S1797" t="s">
        <v>45</v>
      </c>
      <c r="T1797" t="str" s="2">
        <f>=HYPERLINK("http://demo.enginatics.com:80/ecc/user/applications/log/59595.log","http://demo.enginatics.com:80/ecc/user/applications/log/59595.log")</f>
        <v>"http://demo.enginatics.com:80/ecc/user/applications/log/59595.log")</v>
      </c>
      <c r="U1797">
        <v>59597</v>
      </c>
      <c r="V1797" t="s">
        <v>38</v>
      </c>
      <c r="W1797" t="s">
        <v>50</v>
      </c>
      <c r="X1797">
        <v>.9999999999999999999999999999999999999996</v>
      </c>
      <c r="Y1797">
        <v>0</v>
      </c>
      <c r="Z1797" t="s">
        <v>46</v>
      </c>
      <c r="AA1797">
        <v>59598</v>
      </c>
      <c r="AB1797" t="s">
        <v>218</v>
      </c>
      <c r="AC1797" t="s">
        <v>56</v>
      </c>
      <c r="AD1797" t="s">
        <v>38</v>
      </c>
      <c r="AE1797" t="s">
        <v>49</v>
      </c>
      <c r="AF1797" t="s">
        <v>50</v>
      </c>
      <c r="AG1797">
        <v>0</v>
      </c>
      <c r="AH1797">
        <v>0</v>
      </c>
      <c r="AI1797" t="s">
        <v>51</v>
      </c>
      <c r="AJ1797" t="s">
        <v>51</v>
      </c>
      <c r="AK1797" t="s">
        <v>51</v>
      </c>
    </row>
    <row r="1798" spans="1:37" x14ac:dyDescent="0.2">
      <c r="A1798">
        <v>59590</v>
      </c>
      <c r="B1798" t="s">
        <v>37</v>
      </c>
      <c r="C1798" t="s">
        <v>38</v>
      </c>
      <c r="D1798" t="s">
        <v>169</v>
      </c>
      <c r="E1798" t="s">
        <v>219</v>
      </c>
      <c r="G1798" s="4">
        <v>43946.671597222222</v>
      </c>
      <c r="H1798" s="4">
        <v>43946.671875</v>
      </c>
      <c r="I1798" t="s">
        <v>1153</v>
      </c>
      <c r="J1798" s="5">
        <v>24.00000000000000000000000000000000000002</v>
      </c>
      <c r="K1798" t="s">
        <v>38</v>
      </c>
      <c r="M1798">
        <v>59591</v>
      </c>
      <c r="N1798" t="s">
        <v>219</v>
      </c>
      <c r="O1798" t="s">
        <v>220</v>
      </c>
      <c r="P1798" t="s">
        <v>38</v>
      </c>
      <c r="Q1798" t="s">
        <v>1153</v>
      </c>
      <c r="R1798">
        <v>24.00000000000000000000000000000000000002</v>
      </c>
      <c r="S1798" t="s">
        <v>45</v>
      </c>
      <c r="T1798" t="str" s="2">
        <f>=HYPERLINK("http://demo.enginatics.com:80/ecc/user/applications/log/59590.log","http://demo.enginatics.com:80/ecc/user/applications/log/59590.log")</f>
        <v>"http://demo.enginatics.com:80/ecc/user/applications/log/59590.log")</v>
      </c>
      <c r="U1798">
        <v>59592</v>
      </c>
      <c r="V1798" t="s">
        <v>38</v>
      </c>
      <c r="W1798" t="s">
        <v>1153</v>
      </c>
      <c r="X1798">
        <v>24.00000000000000000000000000000000000002</v>
      </c>
      <c r="Y1798">
        <v>22</v>
      </c>
      <c r="Z1798" t="s">
        <v>46</v>
      </c>
      <c r="AA1798">
        <v>59594</v>
      </c>
      <c r="AB1798" t="s">
        <v>221</v>
      </c>
      <c r="AC1798" t="s">
        <v>48</v>
      </c>
      <c r="AD1798" t="s">
        <v>38</v>
      </c>
      <c r="AE1798" t="s">
        <v>49</v>
      </c>
      <c r="AF1798" t="s">
        <v>50</v>
      </c>
      <c r="AG1798">
        <v>.9999999999999999999999999999999999999996</v>
      </c>
      <c r="AH1798">
        <v>1</v>
      </c>
      <c r="AI1798" t="s">
        <v>51</v>
      </c>
      <c r="AJ1798" t="s">
        <v>51</v>
      </c>
      <c r="AK1798" t="s">
        <v>51</v>
      </c>
    </row>
    <row r="1799" spans="1:37" x14ac:dyDescent="0.2">
      <c r="A1799">
        <v>59590</v>
      </c>
      <c r="B1799" t="s">
        <v>37</v>
      </c>
      <c r="C1799" t="s">
        <v>38</v>
      </c>
      <c r="D1799" t="s">
        <v>169</v>
      </c>
      <c r="E1799" t="s">
        <v>219</v>
      </c>
      <c r="G1799" s="4">
        <v>43946.671597222222</v>
      </c>
      <c r="H1799" s="4">
        <v>43946.671875</v>
      </c>
      <c r="I1799" t="s">
        <v>1153</v>
      </c>
      <c r="J1799" s="5">
        <v>24.00000000000000000000000000000000000002</v>
      </c>
      <c r="K1799" t="s">
        <v>38</v>
      </c>
      <c r="M1799">
        <v>59591</v>
      </c>
      <c r="N1799" t="s">
        <v>219</v>
      </c>
      <c r="O1799" t="s">
        <v>220</v>
      </c>
      <c r="P1799" t="s">
        <v>38</v>
      </c>
      <c r="Q1799" t="s">
        <v>1153</v>
      </c>
      <c r="R1799">
        <v>24.00000000000000000000000000000000000002</v>
      </c>
      <c r="S1799" t="s">
        <v>45</v>
      </c>
      <c r="T1799" t="str" s="2">
        <f>=HYPERLINK("http://demo.enginatics.com:80/ecc/user/applications/log/59590.log","http://demo.enginatics.com:80/ecc/user/applications/log/59590.log")</f>
        <v>"http://demo.enginatics.com:80/ecc/user/applications/log/59590.log")</v>
      </c>
      <c r="U1799">
        <v>59592</v>
      </c>
      <c r="V1799" t="s">
        <v>38</v>
      </c>
      <c r="W1799" t="s">
        <v>1153</v>
      </c>
      <c r="X1799">
        <v>24.00000000000000000000000000000000000002</v>
      </c>
      <c r="Y1799">
        <v>22</v>
      </c>
      <c r="Z1799" t="s">
        <v>46</v>
      </c>
      <c r="AA1799">
        <v>59593</v>
      </c>
      <c r="AB1799" t="s">
        <v>222</v>
      </c>
      <c r="AC1799" t="s">
        <v>56</v>
      </c>
      <c r="AD1799" t="s">
        <v>38</v>
      </c>
      <c r="AE1799" t="s">
        <v>49</v>
      </c>
      <c r="AF1799" t="s">
        <v>50</v>
      </c>
      <c r="AG1799">
        <v>0</v>
      </c>
      <c r="AH1799">
        <v>0</v>
      </c>
      <c r="AI1799" t="s">
        <v>51</v>
      </c>
      <c r="AJ1799" t="s">
        <v>51</v>
      </c>
      <c r="AK1799" t="s">
        <v>51</v>
      </c>
    </row>
    <row r="1800" spans="1:37" x14ac:dyDescent="0.2">
      <c r="A1800">
        <v>59586</v>
      </c>
      <c r="B1800" t="s">
        <v>37</v>
      </c>
      <c r="C1800" t="s">
        <v>38</v>
      </c>
      <c r="D1800" t="s">
        <v>169</v>
      </c>
      <c r="E1800" t="s">
        <v>223</v>
      </c>
      <c r="G1800" s="4">
        <v>43946.67130787037</v>
      </c>
      <c r="H1800" s="4">
        <v>43946.671319444444</v>
      </c>
      <c r="I1800" t="s">
        <v>50</v>
      </c>
      <c r="J1800" s="5">
        <v>.9999999999999999999999999999999999999996</v>
      </c>
      <c r="K1800" t="s">
        <v>38</v>
      </c>
      <c r="M1800">
        <v>59587</v>
      </c>
      <c r="N1800" t="s">
        <v>223</v>
      </c>
      <c r="O1800" t="s">
        <v>224</v>
      </c>
      <c r="P1800" t="s">
        <v>38</v>
      </c>
      <c r="Q1800" t="s">
        <v>50</v>
      </c>
      <c r="R1800">
        <v>0</v>
      </c>
      <c r="S1800" t="s">
        <v>45</v>
      </c>
      <c r="T1800" t="str" s="2">
        <f>=HYPERLINK("http://demo.enginatics.com:80/ecc/user/applications/log/59586.log","http://demo.enginatics.com:80/ecc/user/applications/log/59586.log")</f>
        <v>"http://demo.enginatics.com:80/ecc/user/applications/log/59586.log")</v>
      </c>
      <c r="U1800">
        <v>59588</v>
      </c>
      <c r="V1800" t="s">
        <v>38</v>
      </c>
      <c r="W1800" t="s">
        <v>50</v>
      </c>
      <c r="X1800">
        <v>0</v>
      </c>
      <c r="Y1800">
        <v>0</v>
      </c>
      <c r="Z1800" t="s">
        <v>46</v>
      </c>
      <c r="AA1800">
        <v>59589</v>
      </c>
      <c r="AB1800" t="s">
        <v>225</v>
      </c>
      <c r="AC1800" t="s">
        <v>68</v>
      </c>
      <c r="AD1800" t="s">
        <v>38</v>
      </c>
      <c r="AE1800" t="s">
        <v>49</v>
      </c>
      <c r="AF1800" t="s">
        <v>50</v>
      </c>
      <c r="AG1800">
        <v>0</v>
      </c>
      <c r="AH1800">
        <v>0</v>
      </c>
      <c r="AI1800" t="s">
        <v>51</v>
      </c>
      <c r="AJ1800" t="s">
        <v>51</v>
      </c>
      <c r="AK1800" t="s">
        <v>51</v>
      </c>
    </row>
    <row r="1801" spans="1:37" x14ac:dyDescent="0.2">
      <c r="A1801">
        <v>59582</v>
      </c>
      <c r="B1801" t="s">
        <v>37</v>
      </c>
      <c r="C1801" t="s">
        <v>38</v>
      </c>
      <c r="D1801" t="s">
        <v>169</v>
      </c>
      <c r="E1801" t="s">
        <v>226</v>
      </c>
      <c r="G1801" s="4">
        <v>43946.671122685185</v>
      </c>
      <c r="H1801" s="4">
        <v>43946.671134259259</v>
      </c>
      <c r="I1801" t="s">
        <v>50</v>
      </c>
      <c r="J1801" s="5">
        <v>.9999999999999999999999999999999999999996</v>
      </c>
      <c r="K1801" t="s">
        <v>38</v>
      </c>
      <c r="M1801">
        <v>59583</v>
      </c>
      <c r="N1801" t="s">
        <v>226</v>
      </c>
      <c r="O1801" t="s">
        <v>227</v>
      </c>
      <c r="P1801" t="s">
        <v>38</v>
      </c>
      <c r="Q1801" t="s">
        <v>50</v>
      </c>
      <c r="R1801">
        <v>.9999999999999999999999999999999999999996</v>
      </c>
      <c r="S1801" t="s">
        <v>45</v>
      </c>
      <c r="T1801" t="str" s="2">
        <f>=HYPERLINK("http://demo.enginatics.com:80/ecc/user/applications/log/59582.log","http://demo.enginatics.com:80/ecc/user/applications/log/59582.log")</f>
        <v>"http://demo.enginatics.com:80/ecc/user/applications/log/59582.log")</v>
      </c>
      <c r="U1801">
        <v>59584</v>
      </c>
      <c r="V1801" t="s">
        <v>38</v>
      </c>
      <c r="W1801" t="s">
        <v>50</v>
      </c>
      <c r="X1801">
        <v>0</v>
      </c>
      <c r="Y1801">
        <v>0</v>
      </c>
      <c r="Z1801" t="s">
        <v>46</v>
      </c>
      <c r="AA1801">
        <v>59585</v>
      </c>
      <c r="AB1801" t="s">
        <v>228</v>
      </c>
      <c r="AC1801" t="s">
        <v>68</v>
      </c>
      <c r="AD1801" t="s">
        <v>38</v>
      </c>
      <c r="AE1801" t="s">
        <v>49</v>
      </c>
      <c r="AF1801" t="s">
        <v>50</v>
      </c>
      <c r="AG1801">
        <v>0</v>
      </c>
      <c r="AH1801">
        <v>0</v>
      </c>
      <c r="AI1801" t="s">
        <v>51</v>
      </c>
      <c r="AJ1801" t="s">
        <v>51</v>
      </c>
      <c r="AK1801" t="s">
        <v>51</v>
      </c>
    </row>
    <row r="1802" spans="1:37" x14ac:dyDescent="0.2">
      <c r="A1802">
        <v>59578</v>
      </c>
      <c r="B1802" t="s">
        <v>37</v>
      </c>
      <c r="C1802" t="s">
        <v>38</v>
      </c>
      <c r="D1802" t="s">
        <v>169</v>
      </c>
      <c r="E1802" t="s">
        <v>229</v>
      </c>
      <c r="G1802" s="4">
        <v>43946.671018518519</v>
      </c>
      <c r="H1802" s="4">
        <v>43946.671018518519</v>
      </c>
      <c r="I1802" t="s">
        <v>50</v>
      </c>
      <c r="J1802" s="5">
        <v>0</v>
      </c>
      <c r="K1802" t="s">
        <v>38</v>
      </c>
      <c r="M1802">
        <v>59579</v>
      </c>
      <c r="N1802" t="s">
        <v>229</v>
      </c>
      <c r="O1802" t="s">
        <v>230</v>
      </c>
      <c r="P1802" t="s">
        <v>38</v>
      </c>
      <c r="Q1802" t="s">
        <v>50</v>
      </c>
      <c r="R1802">
        <v>0</v>
      </c>
      <c r="S1802" t="s">
        <v>45</v>
      </c>
      <c r="T1802" t="str" s="2">
        <f>=HYPERLINK("http://demo.enginatics.com:80/ecc/user/applications/log/59578.log","http://demo.enginatics.com:80/ecc/user/applications/log/59578.log")</f>
        <v>"http://demo.enginatics.com:80/ecc/user/applications/log/59578.log")</v>
      </c>
      <c r="U1802">
        <v>59580</v>
      </c>
      <c r="V1802" t="s">
        <v>38</v>
      </c>
      <c r="W1802" t="s">
        <v>50</v>
      </c>
      <c r="X1802">
        <v>0</v>
      </c>
      <c r="Y1802">
        <v>0</v>
      </c>
      <c r="Z1802" t="s">
        <v>46</v>
      </c>
      <c r="AA1802">
        <v>59581</v>
      </c>
      <c r="AB1802" t="s">
        <v>231</v>
      </c>
      <c r="AC1802" t="s">
        <v>68</v>
      </c>
      <c r="AD1802" t="s">
        <v>38</v>
      </c>
      <c r="AE1802" t="s">
        <v>49</v>
      </c>
      <c r="AF1802" t="s">
        <v>50</v>
      </c>
      <c r="AG1802">
        <v>0</v>
      </c>
      <c r="AH1802">
        <v>0</v>
      </c>
      <c r="AI1802" t="s">
        <v>51</v>
      </c>
      <c r="AJ1802" t="s">
        <v>51</v>
      </c>
      <c r="AK1802" t="s">
        <v>51</v>
      </c>
    </row>
    <row r="1803" spans="1:37" x14ac:dyDescent="0.2">
      <c r="A1803">
        <v>59574</v>
      </c>
      <c r="B1803" t="s">
        <v>37</v>
      </c>
      <c r="C1803" t="s">
        <v>38</v>
      </c>
      <c r="D1803" t="s">
        <v>169</v>
      </c>
      <c r="E1803" t="s">
        <v>232</v>
      </c>
      <c r="G1803" s="4">
        <v>43946.670902777778</v>
      </c>
      <c r="H1803" s="4">
        <v>43946.670925925926</v>
      </c>
      <c r="I1803" t="s">
        <v>88</v>
      </c>
      <c r="J1803" s="5">
        <v>2</v>
      </c>
      <c r="K1803" t="s">
        <v>38</v>
      </c>
      <c r="M1803">
        <v>59575</v>
      </c>
      <c r="N1803" t="s">
        <v>232</v>
      </c>
      <c r="O1803" t="s">
        <v>233</v>
      </c>
      <c r="P1803" t="s">
        <v>38</v>
      </c>
      <c r="Q1803" t="s">
        <v>88</v>
      </c>
      <c r="R1803">
        <v>2</v>
      </c>
      <c r="S1803" t="s">
        <v>45</v>
      </c>
      <c r="T1803" t="str" s="2">
        <f>=HYPERLINK("http://demo.enginatics.com:80/ecc/user/applications/log/59574.log","http://demo.enginatics.com:80/ecc/user/applications/log/59574.log")</f>
        <v>"http://demo.enginatics.com:80/ecc/user/applications/log/59574.log")</v>
      </c>
      <c r="U1803">
        <v>59576</v>
      </c>
      <c r="V1803" t="s">
        <v>38</v>
      </c>
      <c r="W1803" t="s">
        <v>88</v>
      </c>
      <c r="X1803">
        <v>2</v>
      </c>
      <c r="Y1803">
        <v>0</v>
      </c>
      <c r="Z1803" t="s">
        <v>46</v>
      </c>
      <c r="AA1803">
        <v>59577</v>
      </c>
      <c r="AB1803" t="s">
        <v>234</v>
      </c>
      <c r="AC1803" t="s">
        <v>68</v>
      </c>
      <c r="AD1803" t="s">
        <v>38</v>
      </c>
      <c r="AE1803" t="s">
        <v>49</v>
      </c>
      <c r="AF1803" t="s">
        <v>50</v>
      </c>
      <c r="AG1803">
        <v>0</v>
      </c>
      <c r="AH1803">
        <v>0</v>
      </c>
      <c r="AI1803" t="s">
        <v>51</v>
      </c>
      <c r="AJ1803" t="s">
        <v>51</v>
      </c>
      <c r="AK1803" t="s">
        <v>51</v>
      </c>
    </row>
    <row r="1804" spans="1:37" x14ac:dyDescent="0.2">
      <c r="A1804">
        <v>59570</v>
      </c>
      <c r="B1804" t="s">
        <v>37</v>
      </c>
      <c r="C1804" t="s">
        <v>38</v>
      </c>
      <c r="D1804" t="s">
        <v>169</v>
      </c>
      <c r="E1804" t="s">
        <v>235</v>
      </c>
      <c r="G1804" s="4">
        <v>43946.670671296296</v>
      </c>
      <c r="H1804" s="4">
        <v>43946.670763888889</v>
      </c>
      <c r="I1804" t="s">
        <v>652</v>
      </c>
      <c r="J1804" s="5">
        <v>8</v>
      </c>
      <c r="K1804" t="s">
        <v>38</v>
      </c>
      <c r="M1804">
        <v>59571</v>
      </c>
      <c r="N1804" t="s">
        <v>235</v>
      </c>
      <c r="O1804" t="s">
        <v>237</v>
      </c>
      <c r="P1804" t="s">
        <v>38</v>
      </c>
      <c r="Q1804" t="s">
        <v>652</v>
      </c>
      <c r="R1804">
        <v>8</v>
      </c>
      <c r="S1804" t="s">
        <v>45</v>
      </c>
      <c r="T1804" t="str" s="2">
        <f>=HYPERLINK("http://demo.enginatics.com:80/ecc/user/applications/log/59570.log","http://demo.enginatics.com:80/ecc/user/applications/log/59570.log")</f>
        <v>"http://demo.enginatics.com:80/ecc/user/applications/log/59570.log")</v>
      </c>
      <c r="U1804">
        <v>59572</v>
      </c>
      <c r="V1804" t="s">
        <v>38</v>
      </c>
      <c r="W1804" t="s">
        <v>652</v>
      </c>
      <c r="X1804">
        <v>8</v>
      </c>
      <c r="Y1804">
        <v>1</v>
      </c>
      <c r="Z1804" t="s">
        <v>46</v>
      </c>
      <c r="AA1804">
        <v>59573</v>
      </c>
      <c r="AB1804" t="s">
        <v>239</v>
      </c>
      <c r="AC1804" t="s">
        <v>68</v>
      </c>
      <c r="AD1804" t="s">
        <v>38</v>
      </c>
      <c r="AE1804" t="s">
        <v>240</v>
      </c>
      <c r="AF1804" t="s">
        <v>44</v>
      </c>
      <c r="AG1804">
        <v>4</v>
      </c>
      <c r="AH1804">
        <v>0</v>
      </c>
      <c r="AI1804" t="s">
        <v>241</v>
      </c>
      <c r="AJ1804" t="s">
        <v>51</v>
      </c>
      <c r="AK1804" t="s">
        <v>241</v>
      </c>
    </row>
    <row r="1805" spans="1:37" x14ac:dyDescent="0.2">
      <c r="A1805">
        <v>59565</v>
      </c>
      <c r="B1805" t="s">
        <v>37</v>
      </c>
      <c r="C1805" t="s">
        <v>38</v>
      </c>
      <c r="D1805" t="s">
        <v>169</v>
      </c>
      <c r="E1805" t="s">
        <v>242</v>
      </c>
      <c r="G1805" s="4">
        <v>43946.670509259259</v>
      </c>
      <c r="H1805" s="4">
        <v>43946.670520833333</v>
      </c>
      <c r="I1805" t="s">
        <v>50</v>
      </c>
      <c r="J1805" s="5">
        <v>.9999999999999999999999999999999999999996</v>
      </c>
      <c r="K1805" t="s">
        <v>38</v>
      </c>
      <c r="M1805">
        <v>59566</v>
      </c>
      <c r="N1805" t="s">
        <v>242</v>
      </c>
      <c r="O1805" t="s">
        <v>243</v>
      </c>
      <c r="P1805" t="s">
        <v>38</v>
      </c>
      <c r="Q1805" t="s">
        <v>50</v>
      </c>
      <c r="R1805">
        <v>.9999999999999999999999999999999999999996</v>
      </c>
      <c r="S1805" t="s">
        <v>45</v>
      </c>
      <c r="T1805" t="str" s="2">
        <f>=HYPERLINK("http://demo.enginatics.com:80/ecc/user/applications/log/59565.log","http://demo.enginatics.com:80/ecc/user/applications/log/59565.log")</f>
        <v>"http://demo.enginatics.com:80/ecc/user/applications/log/59565.log")</v>
      </c>
      <c r="U1805">
        <v>59567</v>
      </c>
      <c r="V1805" t="s">
        <v>38</v>
      </c>
      <c r="W1805" t="s">
        <v>50</v>
      </c>
      <c r="X1805">
        <v>.9999999999999999999999999999999999999996</v>
      </c>
      <c r="Y1805">
        <v>0</v>
      </c>
      <c r="Z1805" t="s">
        <v>46</v>
      </c>
      <c r="AA1805">
        <v>59569</v>
      </c>
      <c r="AB1805" t="s">
        <v>244</v>
      </c>
      <c r="AC1805" t="s">
        <v>56</v>
      </c>
      <c r="AD1805" t="s">
        <v>38</v>
      </c>
      <c r="AE1805" t="s">
        <v>49</v>
      </c>
      <c r="AF1805" t="s">
        <v>50</v>
      </c>
      <c r="AG1805">
        <v>0</v>
      </c>
      <c r="AH1805">
        <v>0</v>
      </c>
      <c r="AI1805" t="s">
        <v>51</v>
      </c>
      <c r="AJ1805" t="s">
        <v>51</v>
      </c>
      <c r="AK1805" t="s">
        <v>51</v>
      </c>
    </row>
    <row r="1806" spans="1:37" x14ac:dyDescent="0.2">
      <c r="A1806">
        <v>59565</v>
      </c>
      <c r="B1806" t="s">
        <v>37</v>
      </c>
      <c r="C1806" t="s">
        <v>38</v>
      </c>
      <c r="D1806" t="s">
        <v>169</v>
      </c>
      <c r="E1806" t="s">
        <v>242</v>
      </c>
      <c r="G1806" s="4">
        <v>43946.670509259259</v>
      </c>
      <c r="H1806" s="4">
        <v>43946.670520833333</v>
      </c>
      <c r="I1806" t="s">
        <v>50</v>
      </c>
      <c r="J1806" s="5">
        <v>.9999999999999999999999999999999999999996</v>
      </c>
      <c r="K1806" t="s">
        <v>38</v>
      </c>
      <c r="M1806">
        <v>59566</v>
      </c>
      <c r="N1806" t="s">
        <v>242</v>
      </c>
      <c r="O1806" t="s">
        <v>243</v>
      </c>
      <c r="P1806" t="s">
        <v>38</v>
      </c>
      <c r="Q1806" t="s">
        <v>50</v>
      </c>
      <c r="R1806">
        <v>.9999999999999999999999999999999999999996</v>
      </c>
      <c r="S1806" t="s">
        <v>45</v>
      </c>
      <c r="T1806" t="str" s="2">
        <f>=HYPERLINK("http://demo.enginatics.com:80/ecc/user/applications/log/59565.log","http://demo.enginatics.com:80/ecc/user/applications/log/59565.log")</f>
        <v>"http://demo.enginatics.com:80/ecc/user/applications/log/59565.log")</v>
      </c>
      <c r="U1806">
        <v>59567</v>
      </c>
      <c r="V1806" t="s">
        <v>38</v>
      </c>
      <c r="W1806" t="s">
        <v>50</v>
      </c>
      <c r="X1806">
        <v>.9999999999999999999999999999999999999996</v>
      </c>
      <c r="Y1806">
        <v>0</v>
      </c>
      <c r="Z1806" t="s">
        <v>46</v>
      </c>
      <c r="AA1806">
        <v>59568</v>
      </c>
      <c r="AB1806" t="s">
        <v>245</v>
      </c>
      <c r="AC1806" t="s">
        <v>68</v>
      </c>
      <c r="AD1806" t="s">
        <v>38</v>
      </c>
      <c r="AE1806" t="s">
        <v>49</v>
      </c>
      <c r="AF1806" t="s">
        <v>50</v>
      </c>
      <c r="AG1806">
        <v>0</v>
      </c>
      <c r="AH1806">
        <v>0</v>
      </c>
      <c r="AI1806" t="s">
        <v>51</v>
      </c>
      <c r="AJ1806" t="s">
        <v>51</v>
      </c>
      <c r="AK1806" t="s">
        <v>51</v>
      </c>
    </row>
    <row r="1807" spans="1:37" x14ac:dyDescent="0.2">
      <c r="A1807">
        <v>59561</v>
      </c>
      <c r="B1807" t="s">
        <v>37</v>
      </c>
      <c r="C1807" t="s">
        <v>38</v>
      </c>
      <c r="D1807" t="s">
        <v>169</v>
      </c>
      <c r="E1807" t="s">
        <v>246</v>
      </c>
      <c r="G1807" s="4">
        <v>43946.669606481481</v>
      </c>
      <c r="H1807" s="4">
        <v>43946.669722222222</v>
      </c>
      <c r="I1807" t="s">
        <v>300</v>
      </c>
      <c r="J1807" s="5">
        <v>10.00000000000000000000000000000000000002</v>
      </c>
      <c r="K1807" t="s">
        <v>38</v>
      </c>
      <c r="M1807">
        <v>59562</v>
      </c>
      <c r="N1807" t="s">
        <v>246</v>
      </c>
      <c r="O1807" t="s">
        <v>248</v>
      </c>
      <c r="P1807" t="s">
        <v>38</v>
      </c>
      <c r="Q1807" t="s">
        <v>300</v>
      </c>
      <c r="R1807">
        <v>10.00000000000000000000000000000000000002</v>
      </c>
      <c r="S1807" t="s">
        <v>45</v>
      </c>
      <c r="T1807" t="str" s="2">
        <f>=HYPERLINK("http://demo.enginatics.com:80/ecc/user/applications/log/59561.log","http://demo.enginatics.com:80/ecc/user/applications/log/59561.log")</f>
        <v>"http://demo.enginatics.com:80/ecc/user/applications/log/59561.log")</v>
      </c>
      <c r="U1807">
        <v>59563</v>
      </c>
      <c r="V1807" t="s">
        <v>38</v>
      </c>
      <c r="W1807" t="s">
        <v>300</v>
      </c>
      <c r="X1807">
        <v>10.00000000000000000000000000000000000002</v>
      </c>
      <c r="Y1807">
        <v>8</v>
      </c>
      <c r="Z1807" t="s">
        <v>46</v>
      </c>
      <c r="AA1807">
        <v>59564</v>
      </c>
      <c r="AB1807" t="s">
        <v>249</v>
      </c>
      <c r="AC1807" t="s">
        <v>68</v>
      </c>
      <c r="AD1807" t="s">
        <v>38</v>
      </c>
      <c r="AE1807" t="s">
        <v>49</v>
      </c>
      <c r="AF1807" t="s">
        <v>50</v>
      </c>
      <c r="AG1807">
        <v>.9999999999999999999999999999999999999996</v>
      </c>
      <c r="AH1807">
        <v>0</v>
      </c>
      <c r="AI1807" t="s">
        <v>51</v>
      </c>
      <c r="AJ1807" t="s">
        <v>51</v>
      </c>
      <c r="AK1807" t="s">
        <v>51</v>
      </c>
    </row>
    <row r="1808" spans="1:37" x14ac:dyDescent="0.2">
      <c r="A1808">
        <v>59557</v>
      </c>
      <c r="B1808" t="s">
        <v>37</v>
      </c>
      <c r="C1808" t="s">
        <v>38</v>
      </c>
      <c r="D1808" t="s">
        <v>169</v>
      </c>
      <c r="E1808" t="s">
        <v>250</v>
      </c>
      <c r="G1808" s="4">
        <v>43946.669467592593</v>
      </c>
      <c r="H1808" s="4">
        <v>43946.669502314815</v>
      </c>
      <c r="I1808" t="s">
        <v>85</v>
      </c>
      <c r="J1808" s="5">
        <v>3</v>
      </c>
      <c r="K1808" t="s">
        <v>38</v>
      </c>
      <c r="M1808">
        <v>59558</v>
      </c>
      <c r="N1808" t="s">
        <v>250</v>
      </c>
      <c r="O1808" t="s">
        <v>251</v>
      </c>
      <c r="P1808" t="s">
        <v>38</v>
      </c>
      <c r="Q1808" t="s">
        <v>85</v>
      </c>
      <c r="R1808">
        <v>3</v>
      </c>
      <c r="S1808" t="s">
        <v>45</v>
      </c>
      <c r="T1808" t="str" s="2">
        <f>=HYPERLINK("http://demo.enginatics.com:80/ecc/user/applications/log/59557.log","http://demo.enginatics.com:80/ecc/user/applications/log/59557.log")</f>
        <v>"http://demo.enginatics.com:80/ecc/user/applications/log/59557.log")</v>
      </c>
      <c r="U1808">
        <v>59559</v>
      </c>
      <c r="V1808" t="s">
        <v>38</v>
      </c>
      <c r="W1808" t="s">
        <v>85</v>
      </c>
      <c r="X1808">
        <v>3</v>
      </c>
      <c r="Y1808">
        <v>0</v>
      </c>
      <c r="Z1808" t="s">
        <v>46</v>
      </c>
      <c r="AA1808">
        <v>59560</v>
      </c>
      <c r="AB1808" t="s">
        <v>252</v>
      </c>
      <c r="AC1808" t="s">
        <v>68</v>
      </c>
      <c r="AD1808" t="s">
        <v>38</v>
      </c>
      <c r="AE1808" t="s">
        <v>49</v>
      </c>
      <c r="AF1808" t="s">
        <v>50</v>
      </c>
      <c r="AG1808">
        <v>0</v>
      </c>
      <c r="AH1808">
        <v>0</v>
      </c>
      <c r="AI1808" t="s">
        <v>51</v>
      </c>
      <c r="AJ1808" t="s">
        <v>51</v>
      </c>
      <c r="AK1808" t="s">
        <v>51</v>
      </c>
    </row>
    <row r="1809" spans="1:37" x14ac:dyDescent="0.2">
      <c r="A1809">
        <v>59532</v>
      </c>
      <c r="B1809" t="s">
        <v>37</v>
      </c>
      <c r="C1809" t="s">
        <v>38</v>
      </c>
      <c r="D1809" t="s">
        <v>270</v>
      </c>
      <c r="E1809" t="s">
        <v>40</v>
      </c>
      <c r="G1809" s="4">
        <v>43946.665034722222</v>
      </c>
      <c r="H1809" s="4">
        <v>43946.665115740741</v>
      </c>
      <c r="I1809" t="s">
        <v>247</v>
      </c>
      <c r="J1809" s="5">
        <v>7</v>
      </c>
      <c r="K1809" t="s">
        <v>38</v>
      </c>
      <c r="M1809">
        <v>59554</v>
      </c>
      <c r="N1809" t="s">
        <v>271</v>
      </c>
      <c r="O1809" t="s">
        <v>272</v>
      </c>
      <c r="P1809" t="s">
        <v>38</v>
      </c>
      <c r="Q1809" t="s">
        <v>50</v>
      </c>
      <c r="R1809">
        <v>0</v>
      </c>
      <c r="S1809" t="s">
        <v>45</v>
      </c>
      <c r="T1809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09">
        <v>59555</v>
      </c>
      <c r="V1809" t="s">
        <v>38</v>
      </c>
      <c r="W1809" t="s">
        <v>50</v>
      </c>
      <c r="X1809">
        <v>0</v>
      </c>
      <c r="Y1809">
        <v>0</v>
      </c>
      <c r="Z1809" t="s">
        <v>46</v>
      </c>
      <c r="AA1809">
        <v>59556</v>
      </c>
      <c r="AB1809" t="s">
        <v>273</v>
      </c>
      <c r="AC1809" t="s">
        <v>68</v>
      </c>
      <c r="AD1809" t="s">
        <v>38</v>
      </c>
      <c r="AE1809" t="s">
        <v>49</v>
      </c>
      <c r="AF1809" t="s">
        <v>50</v>
      </c>
      <c r="AG1809">
        <v>0</v>
      </c>
      <c r="AH1809">
        <v>0</v>
      </c>
      <c r="AI1809" t="s">
        <v>51</v>
      </c>
      <c r="AJ1809" t="s">
        <v>51</v>
      </c>
      <c r="AK1809" t="s">
        <v>51</v>
      </c>
    </row>
    <row r="1810" spans="1:37" x14ac:dyDescent="0.2">
      <c r="A1810">
        <v>59532</v>
      </c>
      <c r="B1810" t="s">
        <v>37</v>
      </c>
      <c r="C1810" t="s">
        <v>38</v>
      </c>
      <c r="D1810" t="s">
        <v>270</v>
      </c>
      <c r="E1810" t="s">
        <v>40</v>
      </c>
      <c r="G1810" s="4">
        <v>43946.665034722222</v>
      </c>
      <c r="H1810" s="4">
        <v>43946.665115740741</v>
      </c>
      <c r="I1810" t="s">
        <v>247</v>
      </c>
      <c r="J1810" s="5">
        <v>7</v>
      </c>
      <c r="K1810" t="s">
        <v>38</v>
      </c>
      <c r="M1810">
        <v>59551</v>
      </c>
      <c r="N1810" t="s">
        <v>274</v>
      </c>
      <c r="O1810" t="s">
        <v>275</v>
      </c>
      <c r="P1810" t="s">
        <v>38</v>
      </c>
      <c r="Q1810" t="s">
        <v>50</v>
      </c>
      <c r="R1810">
        <v>0</v>
      </c>
      <c r="S1810" t="s">
        <v>45</v>
      </c>
      <c r="T1810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0">
        <v>59552</v>
      </c>
      <c r="V1810" t="s">
        <v>38</v>
      </c>
      <c r="W1810" t="s">
        <v>50</v>
      </c>
      <c r="X1810">
        <v>0</v>
      </c>
      <c r="Y1810">
        <v>0</v>
      </c>
      <c r="Z1810" t="s">
        <v>46</v>
      </c>
      <c r="AA1810">
        <v>59553</v>
      </c>
      <c r="AB1810" t="s">
        <v>276</v>
      </c>
      <c r="AC1810" t="s">
        <v>68</v>
      </c>
      <c r="AD1810" t="s">
        <v>38</v>
      </c>
      <c r="AE1810" t="s">
        <v>49</v>
      </c>
      <c r="AF1810" t="s">
        <v>50</v>
      </c>
      <c r="AG1810">
        <v>0</v>
      </c>
      <c r="AH1810">
        <v>0</v>
      </c>
      <c r="AI1810" t="s">
        <v>51</v>
      </c>
      <c r="AJ1810" t="s">
        <v>51</v>
      </c>
      <c r="AK1810" t="s">
        <v>51</v>
      </c>
    </row>
    <row r="1811" spans="1:37" x14ac:dyDescent="0.2">
      <c r="A1811">
        <v>59532</v>
      </c>
      <c r="B1811" t="s">
        <v>37</v>
      </c>
      <c r="C1811" t="s">
        <v>38</v>
      </c>
      <c r="D1811" t="s">
        <v>270</v>
      </c>
      <c r="E1811" t="s">
        <v>40</v>
      </c>
      <c r="G1811" s="4">
        <v>43946.665034722222</v>
      </c>
      <c r="H1811" s="4">
        <v>43946.665115740741</v>
      </c>
      <c r="I1811" t="s">
        <v>247</v>
      </c>
      <c r="J1811" s="5">
        <v>7</v>
      </c>
      <c r="K1811" t="s">
        <v>38</v>
      </c>
      <c r="M1811">
        <v>59548</v>
      </c>
      <c r="N1811" t="s">
        <v>277</v>
      </c>
      <c r="O1811" t="s">
        <v>278</v>
      </c>
      <c r="P1811" t="s">
        <v>38</v>
      </c>
      <c r="Q1811" t="s">
        <v>50</v>
      </c>
      <c r="R1811">
        <v>0</v>
      </c>
      <c r="S1811" t="s">
        <v>45</v>
      </c>
      <c r="T1811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1">
        <v>59549</v>
      </c>
      <c r="V1811" t="s">
        <v>38</v>
      </c>
      <c r="W1811" t="s">
        <v>50</v>
      </c>
      <c r="X1811">
        <v>0</v>
      </c>
      <c r="Y1811">
        <v>0</v>
      </c>
      <c r="Z1811" t="s">
        <v>46</v>
      </c>
      <c r="AA1811">
        <v>59550</v>
      </c>
      <c r="AB1811" t="s">
        <v>279</v>
      </c>
      <c r="AC1811" t="s">
        <v>68</v>
      </c>
      <c r="AD1811" t="s">
        <v>38</v>
      </c>
      <c r="AE1811" t="s">
        <v>49</v>
      </c>
      <c r="AF1811" t="s">
        <v>50</v>
      </c>
      <c r="AG1811">
        <v>0</v>
      </c>
      <c r="AH1811">
        <v>0</v>
      </c>
      <c r="AI1811" t="s">
        <v>51</v>
      </c>
      <c r="AJ1811" t="s">
        <v>51</v>
      </c>
      <c r="AK1811" t="s">
        <v>51</v>
      </c>
    </row>
    <row r="1812" spans="1:37" x14ac:dyDescent="0.2">
      <c r="A1812">
        <v>59532</v>
      </c>
      <c r="B1812" t="s">
        <v>37</v>
      </c>
      <c r="C1812" t="s">
        <v>38</v>
      </c>
      <c r="D1812" t="s">
        <v>270</v>
      </c>
      <c r="E1812" t="s">
        <v>40</v>
      </c>
      <c r="G1812" s="4">
        <v>43946.665034722222</v>
      </c>
      <c r="H1812" s="4">
        <v>43946.665115740741</v>
      </c>
      <c r="I1812" t="s">
        <v>247</v>
      </c>
      <c r="J1812" s="5">
        <v>7</v>
      </c>
      <c r="K1812" t="s">
        <v>38</v>
      </c>
      <c r="M1812">
        <v>59545</v>
      </c>
      <c r="N1812" t="s">
        <v>280</v>
      </c>
      <c r="O1812" t="s">
        <v>281</v>
      </c>
      <c r="P1812" t="s">
        <v>38</v>
      </c>
      <c r="Q1812" t="s">
        <v>50</v>
      </c>
      <c r="R1812">
        <v>0</v>
      </c>
      <c r="S1812" t="s">
        <v>45</v>
      </c>
      <c r="T1812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2">
        <v>59546</v>
      </c>
      <c r="V1812" t="s">
        <v>38</v>
      </c>
      <c r="W1812" t="s">
        <v>50</v>
      </c>
      <c r="X1812">
        <v>0</v>
      </c>
      <c r="Y1812">
        <v>0</v>
      </c>
      <c r="Z1812" t="s">
        <v>46</v>
      </c>
      <c r="AA1812">
        <v>59547</v>
      </c>
      <c r="AB1812" t="s">
        <v>282</v>
      </c>
      <c r="AC1812" t="s">
        <v>68</v>
      </c>
      <c r="AD1812" t="s">
        <v>38</v>
      </c>
      <c r="AE1812" t="s">
        <v>49</v>
      </c>
      <c r="AF1812" t="s">
        <v>50</v>
      </c>
      <c r="AG1812">
        <v>0</v>
      </c>
      <c r="AH1812">
        <v>0</v>
      </c>
      <c r="AI1812" t="s">
        <v>51</v>
      </c>
      <c r="AJ1812" t="s">
        <v>51</v>
      </c>
      <c r="AK1812" t="s">
        <v>51</v>
      </c>
    </row>
    <row r="1813" spans="1:37" x14ac:dyDescent="0.2">
      <c r="A1813">
        <v>59532</v>
      </c>
      <c r="B1813" t="s">
        <v>37</v>
      </c>
      <c r="C1813" t="s">
        <v>38</v>
      </c>
      <c r="D1813" t="s">
        <v>270</v>
      </c>
      <c r="E1813" t="s">
        <v>40</v>
      </c>
      <c r="G1813" s="4">
        <v>43946.665034722222</v>
      </c>
      <c r="H1813" s="4">
        <v>43946.665115740741</v>
      </c>
      <c r="I1813" t="s">
        <v>247</v>
      </c>
      <c r="J1813" s="5">
        <v>7</v>
      </c>
      <c r="K1813" t="s">
        <v>38</v>
      </c>
      <c r="M1813">
        <v>59542</v>
      </c>
      <c r="N1813" t="s">
        <v>283</v>
      </c>
      <c r="O1813" t="s">
        <v>284</v>
      </c>
      <c r="P1813" t="s">
        <v>38</v>
      </c>
      <c r="Q1813" t="s">
        <v>247</v>
      </c>
      <c r="R1813">
        <v>7</v>
      </c>
      <c r="S1813" t="s">
        <v>45</v>
      </c>
      <c r="T1813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3">
        <v>59543</v>
      </c>
      <c r="V1813" t="s">
        <v>38</v>
      </c>
      <c r="W1813" t="s">
        <v>75</v>
      </c>
      <c r="X1813">
        <v>6</v>
      </c>
      <c r="Y1813">
        <v>0</v>
      </c>
      <c r="Z1813" t="s">
        <v>46</v>
      </c>
      <c r="AA1813">
        <v>59544</v>
      </c>
      <c r="AB1813" t="s">
        <v>285</v>
      </c>
      <c r="AC1813" t="s">
        <v>68</v>
      </c>
      <c r="AD1813" t="s">
        <v>38</v>
      </c>
      <c r="AE1813" t="s">
        <v>49</v>
      </c>
      <c r="AF1813" t="s">
        <v>78</v>
      </c>
      <c r="AG1813">
        <v>5</v>
      </c>
      <c r="AH1813">
        <v>5</v>
      </c>
      <c r="AI1813" t="s">
        <v>51</v>
      </c>
      <c r="AJ1813" t="s">
        <v>51</v>
      </c>
      <c r="AK1813" t="s">
        <v>51</v>
      </c>
    </row>
    <row r="1814" spans="1:37" x14ac:dyDescent="0.2">
      <c r="A1814">
        <v>59532</v>
      </c>
      <c r="B1814" t="s">
        <v>37</v>
      </c>
      <c r="C1814" t="s">
        <v>38</v>
      </c>
      <c r="D1814" t="s">
        <v>270</v>
      </c>
      <c r="E1814" t="s">
        <v>40</v>
      </c>
      <c r="G1814" s="4">
        <v>43946.665034722222</v>
      </c>
      <c r="H1814" s="4">
        <v>43946.665115740741</v>
      </c>
      <c r="I1814" t="s">
        <v>247</v>
      </c>
      <c r="J1814" s="5">
        <v>7</v>
      </c>
      <c r="K1814" t="s">
        <v>38</v>
      </c>
      <c r="M1814">
        <v>59539</v>
      </c>
      <c r="N1814" t="s">
        <v>286</v>
      </c>
      <c r="O1814" t="s">
        <v>287</v>
      </c>
      <c r="P1814" t="s">
        <v>38</v>
      </c>
      <c r="Q1814" t="s">
        <v>50</v>
      </c>
      <c r="R1814">
        <v>0</v>
      </c>
      <c r="S1814" t="s">
        <v>45</v>
      </c>
      <c r="T1814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4">
        <v>59540</v>
      </c>
      <c r="V1814" t="s">
        <v>38</v>
      </c>
      <c r="W1814" t="s">
        <v>50</v>
      </c>
      <c r="X1814">
        <v>0</v>
      </c>
      <c r="Y1814">
        <v>0</v>
      </c>
      <c r="Z1814" t="s">
        <v>46</v>
      </c>
      <c r="AA1814">
        <v>59541</v>
      </c>
      <c r="AB1814" t="s">
        <v>288</v>
      </c>
      <c r="AC1814" t="s">
        <v>68</v>
      </c>
      <c r="AD1814" t="s">
        <v>38</v>
      </c>
      <c r="AE1814" t="s">
        <v>49</v>
      </c>
      <c r="AF1814" t="s">
        <v>50</v>
      </c>
      <c r="AG1814">
        <v>0</v>
      </c>
      <c r="AH1814">
        <v>0</v>
      </c>
      <c r="AI1814" t="s">
        <v>51</v>
      </c>
      <c r="AJ1814" t="s">
        <v>51</v>
      </c>
      <c r="AK1814" t="s">
        <v>51</v>
      </c>
    </row>
    <row r="1815" spans="1:37" x14ac:dyDescent="0.2">
      <c r="A1815">
        <v>59532</v>
      </c>
      <c r="B1815" t="s">
        <v>37</v>
      </c>
      <c r="C1815" t="s">
        <v>38</v>
      </c>
      <c r="D1815" t="s">
        <v>270</v>
      </c>
      <c r="E1815" t="s">
        <v>40</v>
      </c>
      <c r="G1815" s="4">
        <v>43946.665034722222</v>
      </c>
      <c r="H1815" s="4">
        <v>43946.665115740741</v>
      </c>
      <c r="I1815" t="s">
        <v>247</v>
      </c>
      <c r="J1815" s="5">
        <v>7</v>
      </c>
      <c r="K1815" t="s">
        <v>38</v>
      </c>
      <c r="M1815">
        <v>59536</v>
      </c>
      <c r="N1815" t="s">
        <v>289</v>
      </c>
      <c r="O1815" t="s">
        <v>290</v>
      </c>
      <c r="P1815" t="s">
        <v>38</v>
      </c>
      <c r="Q1815" t="s">
        <v>50</v>
      </c>
      <c r="R1815">
        <v>0</v>
      </c>
      <c r="S1815" t="s">
        <v>45</v>
      </c>
      <c r="T1815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5">
        <v>59537</v>
      </c>
      <c r="V1815" t="s">
        <v>38</v>
      </c>
      <c r="W1815" t="s">
        <v>50</v>
      </c>
      <c r="X1815">
        <v>0</v>
      </c>
      <c r="Y1815">
        <v>0</v>
      </c>
      <c r="Z1815" t="s">
        <v>46</v>
      </c>
      <c r="AA1815">
        <v>59538</v>
      </c>
      <c r="AB1815" t="s">
        <v>291</v>
      </c>
      <c r="AC1815" t="s">
        <v>68</v>
      </c>
      <c r="AD1815" t="s">
        <v>38</v>
      </c>
      <c r="AE1815" t="s">
        <v>49</v>
      </c>
      <c r="AF1815" t="s">
        <v>50</v>
      </c>
      <c r="AG1815">
        <v>0</v>
      </c>
      <c r="AH1815">
        <v>0</v>
      </c>
      <c r="AI1815" t="s">
        <v>51</v>
      </c>
      <c r="AJ1815" t="s">
        <v>51</v>
      </c>
      <c r="AK1815" t="s">
        <v>51</v>
      </c>
    </row>
    <row r="1816" spans="1:37" x14ac:dyDescent="0.2">
      <c r="A1816">
        <v>59532</v>
      </c>
      <c r="B1816" t="s">
        <v>37</v>
      </c>
      <c r="C1816" t="s">
        <v>38</v>
      </c>
      <c r="D1816" t="s">
        <v>270</v>
      </c>
      <c r="E1816" t="s">
        <v>40</v>
      </c>
      <c r="G1816" s="4">
        <v>43946.665034722222</v>
      </c>
      <c r="H1816" s="4">
        <v>43946.665115740741</v>
      </c>
      <c r="I1816" t="s">
        <v>247</v>
      </c>
      <c r="J1816" s="5">
        <v>7</v>
      </c>
      <c r="K1816" t="s">
        <v>38</v>
      </c>
      <c r="M1816">
        <v>59533</v>
      </c>
      <c r="N1816" t="s">
        <v>292</v>
      </c>
      <c r="O1816" t="s">
        <v>293</v>
      </c>
      <c r="P1816" t="s">
        <v>38</v>
      </c>
      <c r="Q1816" t="s">
        <v>50</v>
      </c>
      <c r="R1816">
        <v>0</v>
      </c>
      <c r="S1816" t="s">
        <v>45</v>
      </c>
      <c r="T1816" t="str" s="2">
        <f>=HYPERLINK("http://demo.enginatics.com:80/ecc/user/applications/log/59532.log","http://demo.enginatics.com:80/ecc/user/applications/log/59532.log")</f>
        <v>"http://demo.enginatics.com:80/ecc/user/applications/log/59532.log")</v>
      </c>
      <c r="U1816">
        <v>59534</v>
      </c>
      <c r="V1816" t="s">
        <v>38</v>
      </c>
      <c r="W1816" t="s">
        <v>50</v>
      </c>
      <c r="X1816">
        <v>0</v>
      </c>
      <c r="Y1816">
        <v>0</v>
      </c>
      <c r="Z1816" t="s">
        <v>46</v>
      </c>
      <c r="AA1816">
        <v>59535</v>
      </c>
      <c r="AB1816" t="s">
        <v>294</v>
      </c>
      <c r="AC1816" t="s">
        <v>68</v>
      </c>
      <c r="AD1816" t="s">
        <v>38</v>
      </c>
      <c r="AE1816" t="s">
        <v>49</v>
      </c>
      <c r="AF1816" t="s">
        <v>50</v>
      </c>
      <c r="AG1816">
        <v>0</v>
      </c>
      <c r="AH1816">
        <v>0</v>
      </c>
      <c r="AI1816" t="s">
        <v>51</v>
      </c>
      <c r="AJ1816" t="s">
        <v>51</v>
      </c>
      <c r="AK1816" t="s">
        <v>51</v>
      </c>
    </row>
    <row r="1817" spans="1:37" x14ac:dyDescent="0.2">
      <c r="A1817">
        <v>59528</v>
      </c>
      <c r="B1817" t="s">
        <v>37</v>
      </c>
      <c r="C1817" t="s">
        <v>38</v>
      </c>
      <c r="D1817" t="s">
        <v>253</v>
      </c>
      <c r="E1817" t="s">
        <v>254</v>
      </c>
      <c r="G1817" s="4">
        <v>43946.663912037037</v>
      </c>
      <c r="H1817" s="4">
        <v>43946.663912037037</v>
      </c>
      <c r="I1817" t="s">
        <v>50</v>
      </c>
      <c r="J1817" s="5">
        <v>0</v>
      </c>
      <c r="K1817" t="s">
        <v>38</v>
      </c>
      <c r="M1817">
        <v>59529</v>
      </c>
      <c r="N1817" t="s">
        <v>254</v>
      </c>
      <c r="O1817" t="s">
        <v>255</v>
      </c>
      <c r="P1817" t="s">
        <v>38</v>
      </c>
      <c r="Q1817" t="s">
        <v>50</v>
      </c>
      <c r="R1817">
        <v>0</v>
      </c>
      <c r="S1817" t="s">
        <v>45</v>
      </c>
      <c r="T1817" t="str" s="2">
        <f>=HYPERLINK("http://demo.enginatics.com:80/ecc/user/applications/log/59528.log","http://demo.enginatics.com:80/ecc/user/applications/log/59528.log")</f>
        <v>"http://demo.enginatics.com:80/ecc/user/applications/log/59528.log")</v>
      </c>
      <c r="U1817">
        <v>59530</v>
      </c>
      <c r="V1817" t="s">
        <v>38</v>
      </c>
      <c r="W1817" t="s">
        <v>50</v>
      </c>
      <c r="X1817">
        <v>0</v>
      </c>
      <c r="Y1817">
        <v>0</v>
      </c>
      <c r="Z1817" t="s">
        <v>46</v>
      </c>
      <c r="AA1817">
        <v>59531</v>
      </c>
      <c r="AB1817" t="s">
        <v>1398</v>
      </c>
      <c r="AC1817" t="s">
        <v>68</v>
      </c>
      <c r="AD1817" t="s">
        <v>38</v>
      </c>
      <c r="AE1817" t="s">
        <v>49</v>
      </c>
      <c r="AF1817" t="s">
        <v>50</v>
      </c>
      <c r="AG1817">
        <v>0</v>
      </c>
      <c r="AH1817">
        <v>0</v>
      </c>
      <c r="AI1817" t="s">
        <v>51</v>
      </c>
      <c r="AJ1817" t="s">
        <v>51</v>
      </c>
      <c r="AK1817" t="s">
        <v>51</v>
      </c>
    </row>
    <row r="1818" spans="1:37" x14ac:dyDescent="0.2">
      <c r="A1818">
        <v>59524</v>
      </c>
      <c r="B1818" t="s">
        <v>37</v>
      </c>
      <c r="C1818" t="s">
        <v>38</v>
      </c>
      <c r="D1818" t="s">
        <v>253</v>
      </c>
      <c r="E1818" t="s">
        <v>257</v>
      </c>
      <c r="G1818" s="4">
        <v>43946.663726851852</v>
      </c>
      <c r="H1818" s="4">
        <v>43946.66380787037</v>
      </c>
      <c r="I1818" t="s">
        <v>247</v>
      </c>
      <c r="J1818" s="5">
        <v>7</v>
      </c>
      <c r="K1818" t="s">
        <v>38</v>
      </c>
      <c r="M1818">
        <v>59525</v>
      </c>
      <c r="N1818" t="s">
        <v>257</v>
      </c>
      <c r="O1818" t="s">
        <v>258</v>
      </c>
      <c r="P1818" t="s">
        <v>38</v>
      </c>
      <c r="Q1818" t="s">
        <v>247</v>
      </c>
      <c r="R1818">
        <v>7</v>
      </c>
      <c r="S1818" t="s">
        <v>45</v>
      </c>
      <c r="T1818" t="str" s="2">
        <f>=HYPERLINK("http://demo.enginatics.com:80/ecc/user/applications/log/59524.log","http://demo.enginatics.com:80/ecc/user/applications/log/59524.log")</f>
        <v>"http://demo.enginatics.com:80/ecc/user/applications/log/59524.log")</v>
      </c>
      <c r="U1818">
        <v>59526</v>
      </c>
      <c r="V1818" t="s">
        <v>38</v>
      </c>
      <c r="W1818" t="s">
        <v>78</v>
      </c>
      <c r="X1818">
        <v>5</v>
      </c>
      <c r="Y1818">
        <v>0</v>
      </c>
      <c r="Z1818" t="s">
        <v>46</v>
      </c>
      <c r="AA1818">
        <v>59527</v>
      </c>
      <c r="AB1818" t="s">
        <v>1640</v>
      </c>
      <c r="AC1818" t="s">
        <v>68</v>
      </c>
      <c r="AD1818" t="s">
        <v>38</v>
      </c>
      <c r="AE1818" t="s">
        <v>260</v>
      </c>
      <c r="AF1818" t="s">
        <v>78</v>
      </c>
      <c r="AG1818">
        <v>5</v>
      </c>
      <c r="AH1818">
        <v>2</v>
      </c>
      <c r="AI1818" t="s">
        <v>261</v>
      </c>
      <c r="AJ1818" t="s">
        <v>51</v>
      </c>
      <c r="AK1818" t="s">
        <v>261</v>
      </c>
    </row>
    <row r="1819" spans="1:37" x14ac:dyDescent="0.2">
      <c r="A1819">
        <v>59519</v>
      </c>
      <c r="B1819" t="s">
        <v>37</v>
      </c>
      <c r="C1819" t="s">
        <v>38</v>
      </c>
      <c r="D1819" t="s">
        <v>253</v>
      </c>
      <c r="E1819" t="s">
        <v>262</v>
      </c>
      <c r="G1819" s="4">
        <v>43946.663611111111</v>
      </c>
      <c r="H1819" s="4">
        <v>43946.663611111111</v>
      </c>
      <c r="I1819" t="s">
        <v>50</v>
      </c>
      <c r="J1819" s="5">
        <v>0</v>
      </c>
      <c r="K1819" t="s">
        <v>38</v>
      </c>
      <c r="M1819">
        <v>59520</v>
      </c>
      <c r="N1819" t="s">
        <v>262</v>
      </c>
      <c r="O1819" t="s">
        <v>263</v>
      </c>
      <c r="P1819" t="s">
        <v>38</v>
      </c>
      <c r="Q1819" t="s">
        <v>50</v>
      </c>
      <c r="R1819">
        <v>0</v>
      </c>
      <c r="S1819" t="s">
        <v>45</v>
      </c>
      <c r="T1819" t="str" s="2">
        <f>=HYPERLINK("http://demo.enginatics.com:80/ecc/user/applications/log/59519.log","http://demo.enginatics.com:80/ecc/user/applications/log/59519.log")</f>
        <v>"http://demo.enginatics.com:80/ecc/user/applications/log/59519.log")</v>
      </c>
      <c r="U1819">
        <v>59521</v>
      </c>
      <c r="V1819" t="s">
        <v>38</v>
      </c>
      <c r="W1819" t="s">
        <v>50</v>
      </c>
      <c r="X1819">
        <v>0</v>
      </c>
      <c r="Y1819">
        <v>0</v>
      </c>
      <c r="Z1819" t="s">
        <v>46</v>
      </c>
      <c r="AA1819">
        <v>59523</v>
      </c>
      <c r="AB1819" t="s">
        <v>264</v>
      </c>
      <c r="AC1819" t="s">
        <v>68</v>
      </c>
      <c r="AD1819" t="s">
        <v>38</v>
      </c>
      <c r="AE1819" t="s">
        <v>49</v>
      </c>
      <c r="AF1819" t="s">
        <v>50</v>
      </c>
      <c r="AG1819">
        <v>0</v>
      </c>
      <c r="AH1819">
        <v>0</v>
      </c>
      <c r="AI1819" t="s">
        <v>51</v>
      </c>
      <c r="AJ1819" t="s">
        <v>51</v>
      </c>
      <c r="AK1819" t="s">
        <v>51</v>
      </c>
    </row>
    <row r="1820" spans="1:37" x14ac:dyDescent="0.2">
      <c r="A1820">
        <v>59519</v>
      </c>
      <c r="B1820" t="s">
        <v>37</v>
      </c>
      <c r="C1820" t="s">
        <v>38</v>
      </c>
      <c r="D1820" t="s">
        <v>253</v>
      </c>
      <c r="E1820" t="s">
        <v>262</v>
      </c>
      <c r="G1820" s="4">
        <v>43946.663611111111</v>
      </c>
      <c r="H1820" s="4">
        <v>43946.663611111111</v>
      </c>
      <c r="I1820" t="s">
        <v>50</v>
      </c>
      <c r="J1820" s="5">
        <v>0</v>
      </c>
      <c r="K1820" t="s">
        <v>38</v>
      </c>
      <c r="M1820">
        <v>59520</v>
      </c>
      <c r="N1820" t="s">
        <v>262</v>
      </c>
      <c r="O1820" t="s">
        <v>263</v>
      </c>
      <c r="P1820" t="s">
        <v>38</v>
      </c>
      <c r="Q1820" t="s">
        <v>50</v>
      </c>
      <c r="R1820">
        <v>0</v>
      </c>
      <c r="S1820" t="s">
        <v>45</v>
      </c>
      <c r="T1820" t="str" s="2">
        <f>=HYPERLINK("http://demo.enginatics.com:80/ecc/user/applications/log/59519.log","http://demo.enginatics.com:80/ecc/user/applications/log/59519.log")</f>
        <v>"http://demo.enginatics.com:80/ecc/user/applications/log/59519.log")</v>
      </c>
      <c r="U1820">
        <v>59521</v>
      </c>
      <c r="V1820" t="s">
        <v>38</v>
      </c>
      <c r="W1820" t="s">
        <v>50</v>
      </c>
      <c r="X1820">
        <v>0</v>
      </c>
      <c r="Y1820">
        <v>0</v>
      </c>
      <c r="Z1820" t="s">
        <v>46</v>
      </c>
      <c r="AA1820">
        <v>59522</v>
      </c>
      <c r="AB1820" t="s">
        <v>1641</v>
      </c>
      <c r="AC1820" t="s">
        <v>56</v>
      </c>
      <c r="AD1820" t="s">
        <v>38</v>
      </c>
      <c r="AE1820" t="s">
        <v>49</v>
      </c>
      <c r="AF1820" t="s">
        <v>50</v>
      </c>
      <c r="AG1820">
        <v>0</v>
      </c>
      <c r="AH1820">
        <v>0</v>
      </c>
      <c r="AI1820" t="s">
        <v>51</v>
      </c>
      <c r="AJ1820" t="s">
        <v>51</v>
      </c>
      <c r="AK1820" t="s">
        <v>51</v>
      </c>
    </row>
    <row r="1821" spans="1:37" x14ac:dyDescent="0.2">
      <c r="A1821">
        <v>59513</v>
      </c>
      <c r="B1821" t="s">
        <v>37</v>
      </c>
      <c r="C1821" t="s">
        <v>38</v>
      </c>
      <c r="D1821" t="s">
        <v>253</v>
      </c>
      <c r="E1821" t="s">
        <v>266</v>
      </c>
      <c r="G1821" s="4">
        <v>43946.663460648148</v>
      </c>
      <c r="H1821" s="4">
        <v>43946.663472222222</v>
      </c>
      <c r="I1821" t="s">
        <v>50</v>
      </c>
      <c r="J1821" s="5">
        <v>.9999999999999999999999999999999999999996</v>
      </c>
      <c r="K1821" t="s">
        <v>38</v>
      </c>
      <c r="M1821">
        <v>59514</v>
      </c>
      <c r="N1821" t="s">
        <v>266</v>
      </c>
      <c r="O1821" t="s">
        <v>267</v>
      </c>
      <c r="P1821" t="s">
        <v>38</v>
      </c>
      <c r="Q1821" t="s">
        <v>50</v>
      </c>
      <c r="R1821">
        <v>0</v>
      </c>
      <c r="S1821" t="s">
        <v>45</v>
      </c>
      <c r="T1821" t="str" s="2">
        <f>=HYPERLINK("http://demo.enginatics.com:80/ecc/user/applications/log/59513.log","http://demo.enginatics.com:80/ecc/user/applications/log/59513.log")</f>
        <v>"http://demo.enginatics.com:80/ecc/user/applications/log/59513.log")</v>
      </c>
      <c r="U1821">
        <v>59517</v>
      </c>
      <c r="V1821" t="s">
        <v>38</v>
      </c>
      <c r="W1821" t="s">
        <v>50</v>
      </c>
      <c r="X1821">
        <v>0</v>
      </c>
      <c r="Y1821">
        <v>0</v>
      </c>
      <c r="Z1821" t="s">
        <v>46</v>
      </c>
      <c r="AA1821">
        <v>59518</v>
      </c>
      <c r="AB1821" t="s">
        <v>268</v>
      </c>
      <c r="AC1821" t="s">
        <v>48</v>
      </c>
      <c r="AD1821" t="s">
        <v>38</v>
      </c>
      <c r="AE1821" t="s">
        <v>49</v>
      </c>
      <c r="AF1821" t="s">
        <v>50</v>
      </c>
      <c r="AG1821">
        <v>0</v>
      </c>
      <c r="AH1821">
        <v>0</v>
      </c>
      <c r="AI1821" t="s">
        <v>51</v>
      </c>
      <c r="AJ1821" t="s">
        <v>51</v>
      </c>
      <c r="AK1821" t="s">
        <v>51</v>
      </c>
    </row>
    <row r="1822" spans="1:37" x14ac:dyDescent="0.2">
      <c r="A1822">
        <v>59513</v>
      </c>
      <c r="B1822" t="s">
        <v>37</v>
      </c>
      <c r="C1822" t="s">
        <v>38</v>
      </c>
      <c r="D1822" t="s">
        <v>253</v>
      </c>
      <c r="E1822" t="s">
        <v>266</v>
      </c>
      <c r="G1822" s="4">
        <v>43946.663460648148</v>
      </c>
      <c r="H1822" s="4">
        <v>43946.663472222222</v>
      </c>
      <c r="I1822" t="s">
        <v>50</v>
      </c>
      <c r="J1822" s="5">
        <v>.9999999999999999999999999999999999999996</v>
      </c>
      <c r="K1822" t="s">
        <v>38</v>
      </c>
      <c r="M1822">
        <v>59514</v>
      </c>
      <c r="N1822" t="s">
        <v>266</v>
      </c>
      <c r="O1822" t="s">
        <v>267</v>
      </c>
      <c r="P1822" t="s">
        <v>38</v>
      </c>
      <c r="Q1822" t="s">
        <v>50</v>
      </c>
      <c r="R1822">
        <v>0</v>
      </c>
      <c r="S1822" t="s">
        <v>45</v>
      </c>
      <c r="T1822" t="str" s="2">
        <f>=HYPERLINK("http://demo.enginatics.com:80/ecc/user/applications/log/59513.log","http://demo.enginatics.com:80/ecc/user/applications/log/59513.log")</f>
        <v>"http://demo.enginatics.com:80/ecc/user/applications/log/59513.log")</v>
      </c>
      <c r="U1822">
        <v>59515</v>
      </c>
      <c r="V1822" t="s">
        <v>38</v>
      </c>
      <c r="W1822" t="s">
        <v>50</v>
      </c>
      <c r="X1822">
        <v>0</v>
      </c>
      <c r="Y1822">
        <v>0</v>
      </c>
      <c r="Z1822" t="s">
        <v>46</v>
      </c>
      <c r="AA1822">
        <v>59516</v>
      </c>
      <c r="AB1822" t="s">
        <v>269</v>
      </c>
      <c r="AC1822" t="s">
        <v>56</v>
      </c>
      <c r="AD1822" t="s">
        <v>38</v>
      </c>
      <c r="AE1822" t="s">
        <v>49</v>
      </c>
      <c r="AF1822" t="s">
        <v>50</v>
      </c>
      <c r="AG1822">
        <v>0</v>
      </c>
      <c r="AH1822">
        <v>0</v>
      </c>
      <c r="AI1822" t="s">
        <v>51</v>
      </c>
      <c r="AJ1822" t="s">
        <v>51</v>
      </c>
      <c r="AK1822" t="s">
        <v>51</v>
      </c>
    </row>
    <row r="1823" spans="1:37" x14ac:dyDescent="0.2">
      <c r="A1823">
        <v>59506</v>
      </c>
      <c r="B1823" t="s">
        <v>37</v>
      </c>
      <c r="C1823" t="s">
        <v>38</v>
      </c>
      <c r="D1823" t="s">
        <v>295</v>
      </c>
      <c r="E1823" t="s">
        <v>296</v>
      </c>
      <c r="G1823" s="4">
        <v>43946.662465277778</v>
      </c>
      <c r="H1823" s="4">
        <v>43946.6625</v>
      </c>
      <c r="I1823" t="s">
        <v>85</v>
      </c>
      <c r="J1823" s="5">
        <v>3</v>
      </c>
      <c r="K1823" t="s">
        <v>38</v>
      </c>
      <c r="M1823">
        <v>59508</v>
      </c>
      <c r="N1823" t="s">
        <v>296</v>
      </c>
      <c r="O1823" t="s">
        <v>297</v>
      </c>
      <c r="P1823" t="s">
        <v>38</v>
      </c>
      <c r="Q1823" t="s">
        <v>50</v>
      </c>
      <c r="R1823">
        <v>0</v>
      </c>
      <c r="S1823" t="s">
        <v>45</v>
      </c>
      <c r="T1823" t="str" s="2">
        <f>=HYPERLINK("http://demo.enginatics.com:80/ecc/user/applications/log/59506.log","http://demo.enginatics.com:80/ecc/user/applications/log/59506.log")</f>
        <v>"http://demo.enginatics.com:80/ecc/user/applications/log/59506.log")</v>
      </c>
      <c r="U1823">
        <v>59509</v>
      </c>
      <c r="V1823" t="s">
        <v>38</v>
      </c>
      <c r="W1823" t="s">
        <v>50</v>
      </c>
      <c r="X1823">
        <v>0</v>
      </c>
      <c r="Y1823">
        <v>0</v>
      </c>
      <c r="Z1823" t="s">
        <v>46</v>
      </c>
      <c r="AA1823">
        <v>59510</v>
      </c>
      <c r="AB1823" t="s">
        <v>1453</v>
      </c>
      <c r="AC1823" t="s">
        <v>68</v>
      </c>
      <c r="AD1823" t="s">
        <v>38</v>
      </c>
      <c r="AE1823" t="s">
        <v>49</v>
      </c>
      <c r="AF1823" t="s">
        <v>50</v>
      </c>
      <c r="AG1823">
        <v>0</v>
      </c>
      <c r="AH1823">
        <v>0</v>
      </c>
      <c r="AI1823" t="s">
        <v>51</v>
      </c>
      <c r="AJ1823" t="s">
        <v>51</v>
      </c>
      <c r="AK1823" t="s">
        <v>51</v>
      </c>
    </row>
    <row r="1824" spans="1:37" x14ac:dyDescent="0.2">
      <c r="A1824">
        <v>59503</v>
      </c>
      <c r="B1824" t="s">
        <v>37</v>
      </c>
      <c r="C1824" t="s">
        <v>38</v>
      </c>
      <c r="D1824" t="s">
        <v>295</v>
      </c>
      <c r="E1824" t="s">
        <v>299</v>
      </c>
      <c r="G1824" s="4">
        <v>43946.662418981481</v>
      </c>
      <c r="H1824" s="4">
        <v>43946.662546296296</v>
      </c>
      <c r="I1824" t="s">
        <v>337</v>
      </c>
      <c r="J1824" s="5">
        <v>11.00000000000000000000000000000000000002</v>
      </c>
      <c r="K1824" t="s">
        <v>38</v>
      </c>
      <c r="M1824">
        <v>59504</v>
      </c>
      <c r="N1824" t="s">
        <v>299</v>
      </c>
      <c r="O1824" t="s">
        <v>301</v>
      </c>
      <c r="P1824" t="s">
        <v>38</v>
      </c>
      <c r="Q1824" t="s">
        <v>337</v>
      </c>
      <c r="R1824">
        <v>11.00000000000000000000000000000000000002</v>
      </c>
      <c r="S1824" t="s">
        <v>45</v>
      </c>
      <c r="T1824" t="str" s="2">
        <f>=HYPERLINK("http://demo.enginatics.com:80/ecc/user/applications/log/59503.log","http://demo.enginatics.com:80/ecc/user/applications/log/59503.log")</f>
        <v>"http://demo.enginatics.com:80/ecc/user/applications/log/59503.log")</v>
      </c>
      <c r="U1824">
        <v>59505</v>
      </c>
      <c r="V1824" t="s">
        <v>38</v>
      </c>
      <c r="W1824" t="s">
        <v>337</v>
      </c>
      <c r="X1824">
        <v>11.00000000000000000000000000000000000002</v>
      </c>
      <c r="Y1824">
        <v>10</v>
      </c>
      <c r="Z1824" t="s">
        <v>46</v>
      </c>
      <c r="AA1824">
        <v>59512</v>
      </c>
      <c r="AB1824" t="s">
        <v>302</v>
      </c>
      <c r="AC1824" t="s">
        <v>68</v>
      </c>
      <c r="AD1824" t="s">
        <v>38</v>
      </c>
      <c r="AE1824" t="s">
        <v>49</v>
      </c>
      <c r="AF1824" t="s">
        <v>50</v>
      </c>
      <c r="AG1824">
        <v>0</v>
      </c>
      <c r="AH1824">
        <v>0</v>
      </c>
      <c r="AI1824" t="s">
        <v>51</v>
      </c>
      <c r="AJ1824" t="s">
        <v>51</v>
      </c>
      <c r="AK1824" t="s">
        <v>51</v>
      </c>
    </row>
    <row r="1825" spans="1:37" x14ac:dyDescent="0.2">
      <c r="A1825">
        <v>59503</v>
      </c>
      <c r="B1825" t="s">
        <v>37</v>
      </c>
      <c r="C1825" t="s">
        <v>38</v>
      </c>
      <c r="D1825" t="s">
        <v>295</v>
      </c>
      <c r="E1825" t="s">
        <v>299</v>
      </c>
      <c r="G1825" s="4">
        <v>43946.662418981481</v>
      </c>
      <c r="H1825" s="4">
        <v>43946.662546296296</v>
      </c>
      <c r="I1825" t="s">
        <v>337</v>
      </c>
      <c r="J1825" s="5">
        <v>11.00000000000000000000000000000000000002</v>
      </c>
      <c r="K1825" t="s">
        <v>38</v>
      </c>
      <c r="M1825">
        <v>59504</v>
      </c>
      <c r="N1825" t="s">
        <v>299</v>
      </c>
      <c r="O1825" t="s">
        <v>301</v>
      </c>
      <c r="P1825" t="s">
        <v>38</v>
      </c>
      <c r="Q1825" t="s">
        <v>337</v>
      </c>
      <c r="R1825">
        <v>11.00000000000000000000000000000000000002</v>
      </c>
      <c r="S1825" t="s">
        <v>45</v>
      </c>
      <c r="T1825" t="str" s="2">
        <f>=HYPERLINK("http://demo.enginatics.com:80/ecc/user/applications/log/59503.log","http://demo.enginatics.com:80/ecc/user/applications/log/59503.log")</f>
        <v>"http://demo.enginatics.com:80/ecc/user/applications/log/59503.log")</v>
      </c>
      <c r="U1825">
        <v>59505</v>
      </c>
      <c r="V1825" t="s">
        <v>38</v>
      </c>
      <c r="W1825" t="s">
        <v>337</v>
      </c>
      <c r="X1825">
        <v>11.00000000000000000000000000000000000002</v>
      </c>
      <c r="Y1825">
        <v>10</v>
      </c>
      <c r="Z1825" t="s">
        <v>46</v>
      </c>
      <c r="AA1825">
        <v>59511</v>
      </c>
      <c r="AB1825" t="s">
        <v>303</v>
      </c>
      <c r="AC1825" t="s">
        <v>56</v>
      </c>
      <c r="AD1825" t="s">
        <v>38</v>
      </c>
      <c r="AE1825" t="s">
        <v>49</v>
      </c>
      <c r="AF1825" t="s">
        <v>50</v>
      </c>
      <c r="AG1825">
        <v>0</v>
      </c>
      <c r="AH1825">
        <v>0</v>
      </c>
      <c r="AI1825" t="s">
        <v>51</v>
      </c>
      <c r="AJ1825" t="s">
        <v>51</v>
      </c>
      <c r="AK1825" t="s">
        <v>51</v>
      </c>
    </row>
    <row r="1826" spans="1:37" x14ac:dyDescent="0.2">
      <c r="A1826">
        <v>59498</v>
      </c>
      <c r="B1826" t="s">
        <v>37</v>
      </c>
      <c r="C1826" t="s">
        <v>38</v>
      </c>
      <c r="D1826" t="s">
        <v>295</v>
      </c>
      <c r="E1826" t="s">
        <v>304</v>
      </c>
      <c r="G1826" s="4">
        <v>43946.66224537037</v>
      </c>
      <c r="H1826" s="4">
        <v>43946.662256944444</v>
      </c>
      <c r="I1826" t="s">
        <v>50</v>
      </c>
      <c r="J1826" s="5">
        <v>.9999999999999999999999999999999999999996</v>
      </c>
      <c r="K1826" t="s">
        <v>38</v>
      </c>
      <c r="M1826">
        <v>59499</v>
      </c>
      <c r="N1826" t="s">
        <v>304</v>
      </c>
      <c r="O1826" t="s">
        <v>305</v>
      </c>
      <c r="P1826" t="s">
        <v>38</v>
      </c>
      <c r="Q1826" t="s">
        <v>50</v>
      </c>
      <c r="R1826">
        <v>.9999999999999999999999999999999999999996</v>
      </c>
      <c r="S1826" t="s">
        <v>45</v>
      </c>
      <c r="T1826" t="str" s="2">
        <f>=HYPERLINK("http://demo.enginatics.com:80/ecc/user/applications/log/59498.log","http://demo.enginatics.com:80/ecc/user/applications/log/59498.log")</f>
        <v>"http://demo.enginatics.com:80/ecc/user/applications/log/59498.log")</v>
      </c>
      <c r="U1826">
        <v>59500</v>
      </c>
      <c r="V1826" t="s">
        <v>38</v>
      </c>
      <c r="W1826" t="s">
        <v>50</v>
      </c>
      <c r="X1826">
        <v>.9999999999999999999999999999999999999996</v>
      </c>
      <c r="Y1826">
        <v>0</v>
      </c>
      <c r="Z1826" t="s">
        <v>46</v>
      </c>
      <c r="AA1826">
        <v>59501</v>
      </c>
      <c r="AB1826" t="s">
        <v>306</v>
      </c>
      <c r="AC1826" t="s">
        <v>68</v>
      </c>
      <c r="AD1826" t="s">
        <v>38</v>
      </c>
      <c r="AE1826" t="s">
        <v>49</v>
      </c>
      <c r="AF1826" t="s">
        <v>50</v>
      </c>
      <c r="AG1826">
        <v>0</v>
      </c>
      <c r="AH1826">
        <v>0</v>
      </c>
      <c r="AI1826" t="s">
        <v>51</v>
      </c>
      <c r="AJ1826" t="s">
        <v>51</v>
      </c>
      <c r="AK1826" t="s">
        <v>51</v>
      </c>
    </row>
    <row r="1827" spans="1:37" x14ac:dyDescent="0.2">
      <c r="A1827">
        <v>59491</v>
      </c>
      <c r="B1827" t="s">
        <v>37</v>
      </c>
      <c r="C1827" t="s">
        <v>38</v>
      </c>
      <c r="D1827" t="s">
        <v>307</v>
      </c>
      <c r="E1827" t="s">
        <v>40</v>
      </c>
      <c r="G1827" s="4">
        <v>43946.662199074074</v>
      </c>
      <c r="H1827" s="4">
        <v>43946.6625</v>
      </c>
      <c r="I1827" t="s">
        <v>902</v>
      </c>
      <c r="J1827" s="5">
        <v>26.00000000000000000000000000000000000001</v>
      </c>
      <c r="K1827" t="s">
        <v>38</v>
      </c>
      <c r="M1827">
        <v>59495</v>
      </c>
      <c r="N1827" t="s">
        <v>309</v>
      </c>
      <c r="O1827" t="s">
        <v>310</v>
      </c>
      <c r="P1827" t="s">
        <v>38</v>
      </c>
      <c r="Q1827" t="s">
        <v>902</v>
      </c>
      <c r="R1827">
        <v>26.00000000000000000000000000000000000001</v>
      </c>
      <c r="S1827" t="s">
        <v>45</v>
      </c>
      <c r="T1827" t="str" s="2">
        <f>=HYPERLINK("http://demo.enginatics.com:80/ecc/user/applications/log/59491.log","http://demo.enginatics.com:80/ecc/user/applications/log/59491.log")</f>
        <v>"http://demo.enginatics.com:80/ecc/user/applications/log/59491.log")</v>
      </c>
      <c r="U1827">
        <v>59496</v>
      </c>
      <c r="V1827" t="s">
        <v>38</v>
      </c>
      <c r="W1827" t="s">
        <v>902</v>
      </c>
      <c r="X1827">
        <v>26.00000000000000000000000000000000000001</v>
      </c>
      <c r="Y1827">
        <v>0</v>
      </c>
      <c r="Z1827" t="s">
        <v>46</v>
      </c>
      <c r="AA1827">
        <v>59507</v>
      </c>
      <c r="AB1827" t="s">
        <v>1400</v>
      </c>
      <c r="AC1827" t="s">
        <v>56</v>
      </c>
      <c r="AD1827" t="s">
        <v>38</v>
      </c>
      <c r="AE1827" t="s">
        <v>49</v>
      </c>
      <c r="AF1827" t="s">
        <v>50</v>
      </c>
      <c r="AG1827">
        <v>0</v>
      </c>
      <c r="AH1827">
        <v>0</v>
      </c>
      <c r="AI1827" t="s">
        <v>51</v>
      </c>
      <c r="AJ1827" t="s">
        <v>51</v>
      </c>
      <c r="AK1827" t="s">
        <v>51</v>
      </c>
    </row>
    <row r="1828" spans="1:37" x14ac:dyDescent="0.2">
      <c r="A1828">
        <v>59491</v>
      </c>
      <c r="B1828" t="s">
        <v>37</v>
      </c>
      <c r="C1828" t="s">
        <v>38</v>
      </c>
      <c r="D1828" t="s">
        <v>307</v>
      </c>
      <c r="E1828" t="s">
        <v>40</v>
      </c>
      <c r="G1828" s="4">
        <v>43946.662199074074</v>
      </c>
      <c r="H1828" s="4">
        <v>43946.6625</v>
      </c>
      <c r="I1828" t="s">
        <v>902</v>
      </c>
      <c r="J1828" s="5">
        <v>26.00000000000000000000000000000000000001</v>
      </c>
      <c r="K1828" t="s">
        <v>38</v>
      </c>
      <c r="M1828">
        <v>59495</v>
      </c>
      <c r="N1828" t="s">
        <v>309</v>
      </c>
      <c r="O1828" t="s">
        <v>310</v>
      </c>
      <c r="P1828" t="s">
        <v>38</v>
      </c>
      <c r="Q1828" t="s">
        <v>902</v>
      </c>
      <c r="R1828">
        <v>26.00000000000000000000000000000000000001</v>
      </c>
      <c r="S1828" t="s">
        <v>45</v>
      </c>
      <c r="T1828" t="str" s="2">
        <f>=HYPERLINK("http://demo.enginatics.com:80/ecc/user/applications/log/59491.log","http://demo.enginatics.com:80/ecc/user/applications/log/59491.log")</f>
        <v>"http://demo.enginatics.com:80/ecc/user/applications/log/59491.log")</v>
      </c>
      <c r="U1828">
        <v>59496</v>
      </c>
      <c r="V1828" t="s">
        <v>38</v>
      </c>
      <c r="W1828" t="s">
        <v>902</v>
      </c>
      <c r="X1828">
        <v>26.00000000000000000000000000000000000001</v>
      </c>
      <c r="Y1828">
        <v>0</v>
      </c>
      <c r="Z1828" t="s">
        <v>46</v>
      </c>
      <c r="AA1828">
        <v>59502</v>
      </c>
      <c r="AB1828" t="s">
        <v>1642</v>
      </c>
      <c r="AC1828" t="s">
        <v>97</v>
      </c>
      <c r="AD1828" t="s">
        <v>38</v>
      </c>
      <c r="AE1828" t="s">
        <v>49</v>
      </c>
      <c r="AF1828" t="s">
        <v>313</v>
      </c>
      <c r="AG1828">
        <v>13</v>
      </c>
      <c r="AH1828">
        <v>12</v>
      </c>
      <c r="AI1828" t="s">
        <v>51</v>
      </c>
      <c r="AJ1828" t="s">
        <v>51</v>
      </c>
      <c r="AK1828" t="s">
        <v>51</v>
      </c>
    </row>
    <row r="1829" spans="1:37" x14ac:dyDescent="0.2">
      <c r="A1829">
        <v>59491</v>
      </c>
      <c r="B1829" t="s">
        <v>37</v>
      </c>
      <c r="C1829" t="s">
        <v>38</v>
      </c>
      <c r="D1829" t="s">
        <v>307</v>
      </c>
      <c r="E1829" t="s">
        <v>40</v>
      </c>
      <c r="G1829" s="4">
        <v>43946.662199074074</v>
      </c>
      <c r="H1829" s="4">
        <v>43946.6625</v>
      </c>
      <c r="I1829" t="s">
        <v>902</v>
      </c>
      <c r="J1829" s="5">
        <v>26.00000000000000000000000000000000000001</v>
      </c>
      <c r="K1829" t="s">
        <v>38</v>
      </c>
      <c r="M1829">
        <v>59495</v>
      </c>
      <c r="N1829" t="s">
        <v>309</v>
      </c>
      <c r="O1829" t="s">
        <v>310</v>
      </c>
      <c r="P1829" t="s">
        <v>38</v>
      </c>
      <c r="Q1829" t="s">
        <v>902</v>
      </c>
      <c r="R1829">
        <v>26.00000000000000000000000000000000000001</v>
      </c>
      <c r="S1829" t="s">
        <v>45</v>
      </c>
      <c r="T1829" t="str" s="2">
        <f>=HYPERLINK("http://demo.enginatics.com:80/ecc/user/applications/log/59491.log","http://demo.enginatics.com:80/ecc/user/applications/log/59491.log")</f>
        <v>"http://demo.enginatics.com:80/ecc/user/applications/log/59491.log")</v>
      </c>
      <c r="U1829">
        <v>59496</v>
      </c>
      <c r="V1829" t="s">
        <v>38</v>
      </c>
      <c r="W1829" t="s">
        <v>902</v>
      </c>
      <c r="X1829">
        <v>26.00000000000000000000000000000000000001</v>
      </c>
      <c r="Y1829">
        <v>0</v>
      </c>
      <c r="Z1829" t="s">
        <v>46</v>
      </c>
      <c r="AA1829">
        <v>59497</v>
      </c>
      <c r="AB1829" t="s">
        <v>1643</v>
      </c>
      <c r="AC1829" t="s">
        <v>97</v>
      </c>
      <c r="AD1829" t="s">
        <v>38</v>
      </c>
      <c r="AE1829" t="s">
        <v>49</v>
      </c>
      <c r="AF1829" t="s">
        <v>313</v>
      </c>
      <c r="AG1829">
        <v>13</v>
      </c>
      <c r="AH1829">
        <v>11</v>
      </c>
      <c r="AI1829" t="s">
        <v>51</v>
      </c>
      <c r="AJ1829" t="s">
        <v>51</v>
      </c>
      <c r="AK1829" t="s">
        <v>51</v>
      </c>
    </row>
    <row r="1830" spans="1:37" x14ac:dyDescent="0.2">
      <c r="A1830">
        <v>59491</v>
      </c>
      <c r="B1830" t="s">
        <v>37</v>
      </c>
      <c r="C1830" t="s">
        <v>38</v>
      </c>
      <c r="D1830" t="s">
        <v>307</v>
      </c>
      <c r="E1830" t="s">
        <v>40</v>
      </c>
      <c r="G1830" s="4">
        <v>43946.662199074074</v>
      </c>
      <c r="H1830" s="4">
        <v>43946.6625</v>
      </c>
      <c r="I1830" t="s">
        <v>902</v>
      </c>
      <c r="J1830" s="5">
        <v>26.00000000000000000000000000000000000001</v>
      </c>
      <c r="K1830" t="s">
        <v>38</v>
      </c>
      <c r="M1830">
        <v>59492</v>
      </c>
      <c r="N1830" t="s">
        <v>316</v>
      </c>
      <c r="O1830" t="s">
        <v>317</v>
      </c>
      <c r="P1830" t="s">
        <v>38</v>
      </c>
      <c r="Q1830" t="s">
        <v>50</v>
      </c>
      <c r="R1830">
        <v>0</v>
      </c>
      <c r="S1830" t="s">
        <v>45</v>
      </c>
      <c r="T1830" t="str" s="2">
        <f>=HYPERLINK("http://demo.enginatics.com:80/ecc/user/applications/log/59491.log","http://demo.enginatics.com:80/ecc/user/applications/log/59491.log")</f>
        <v>"http://demo.enginatics.com:80/ecc/user/applications/log/59491.log")</v>
      </c>
      <c r="U1830">
        <v>59493</v>
      </c>
      <c r="V1830" t="s">
        <v>38</v>
      </c>
      <c r="W1830" t="s">
        <v>50</v>
      </c>
      <c r="X1830">
        <v>0</v>
      </c>
      <c r="Y1830">
        <v>0</v>
      </c>
      <c r="Z1830" t="s">
        <v>46</v>
      </c>
      <c r="AA1830">
        <v>59494</v>
      </c>
      <c r="AB1830" t="s">
        <v>1403</v>
      </c>
      <c r="AC1830" t="s">
        <v>97</v>
      </c>
      <c r="AD1830" t="s">
        <v>38</v>
      </c>
      <c r="AE1830" t="s">
        <v>49</v>
      </c>
      <c r="AF1830" t="s">
        <v>50</v>
      </c>
      <c r="AG1830">
        <v>0</v>
      </c>
      <c r="AH1830">
        <v>0</v>
      </c>
      <c r="AI1830" t="s">
        <v>51</v>
      </c>
      <c r="AJ1830" t="s">
        <v>51</v>
      </c>
      <c r="AK1830" t="s">
        <v>51</v>
      </c>
    </row>
    <row r="1831" spans="1:37" x14ac:dyDescent="0.2">
      <c r="A1831">
        <v>59486</v>
      </c>
      <c r="B1831" t="s">
        <v>37</v>
      </c>
      <c r="C1831" t="s">
        <v>38</v>
      </c>
      <c r="D1831" t="s">
        <v>253</v>
      </c>
      <c r="E1831" t="s">
        <v>319</v>
      </c>
      <c r="G1831" s="4">
        <v>43946.661979166667</v>
      </c>
      <c r="H1831" s="4">
        <v>43946.662037037037</v>
      </c>
      <c r="I1831" t="s">
        <v>78</v>
      </c>
      <c r="J1831" s="5">
        <v>5</v>
      </c>
      <c r="K1831" t="s">
        <v>38</v>
      </c>
      <c r="M1831">
        <v>59487</v>
      </c>
      <c r="N1831" t="s">
        <v>319</v>
      </c>
      <c r="O1831" t="s">
        <v>320</v>
      </c>
      <c r="P1831" t="s">
        <v>38</v>
      </c>
      <c r="Q1831" t="s">
        <v>78</v>
      </c>
      <c r="R1831">
        <v>5</v>
      </c>
      <c r="S1831" t="s">
        <v>45</v>
      </c>
      <c r="T1831" t="str" s="2">
        <f>=HYPERLINK("http://demo.enginatics.com:80/ecc/user/applications/log/59486.log","http://demo.enginatics.com:80/ecc/user/applications/log/59486.log")</f>
        <v>"http://demo.enginatics.com:80/ecc/user/applications/log/59486.log")</v>
      </c>
      <c r="U1831">
        <v>59488</v>
      </c>
      <c r="V1831" t="s">
        <v>38</v>
      </c>
      <c r="W1831" t="s">
        <v>78</v>
      </c>
      <c r="X1831">
        <v>5</v>
      </c>
      <c r="Y1831">
        <v>1</v>
      </c>
      <c r="Z1831" t="s">
        <v>46</v>
      </c>
      <c r="AA1831">
        <v>59490</v>
      </c>
      <c r="AB1831" t="s">
        <v>321</v>
      </c>
      <c r="AC1831" t="s">
        <v>68</v>
      </c>
      <c r="AD1831" t="s">
        <v>38</v>
      </c>
      <c r="AE1831" t="s">
        <v>49</v>
      </c>
      <c r="AF1831" t="s">
        <v>50</v>
      </c>
      <c r="AG1831">
        <v>0</v>
      </c>
      <c r="AH1831">
        <v>0</v>
      </c>
      <c r="AI1831" t="s">
        <v>51</v>
      </c>
      <c r="AJ1831" t="s">
        <v>51</v>
      </c>
      <c r="AK1831" t="s">
        <v>51</v>
      </c>
    </row>
    <row r="1832" spans="1:37" x14ac:dyDescent="0.2">
      <c r="A1832">
        <v>59486</v>
      </c>
      <c r="B1832" t="s">
        <v>37</v>
      </c>
      <c r="C1832" t="s">
        <v>38</v>
      </c>
      <c r="D1832" t="s">
        <v>253</v>
      </c>
      <c r="E1832" t="s">
        <v>319</v>
      </c>
      <c r="G1832" s="4">
        <v>43946.661979166667</v>
      </c>
      <c r="H1832" s="4">
        <v>43946.662037037037</v>
      </c>
      <c r="I1832" t="s">
        <v>78</v>
      </c>
      <c r="J1832" s="5">
        <v>5</v>
      </c>
      <c r="K1832" t="s">
        <v>38</v>
      </c>
      <c r="M1832">
        <v>59487</v>
      </c>
      <c r="N1832" t="s">
        <v>319</v>
      </c>
      <c r="O1832" t="s">
        <v>320</v>
      </c>
      <c r="P1832" t="s">
        <v>38</v>
      </c>
      <c r="Q1832" t="s">
        <v>78</v>
      </c>
      <c r="R1832">
        <v>5</v>
      </c>
      <c r="S1832" t="s">
        <v>45</v>
      </c>
      <c r="T1832" t="str" s="2">
        <f>=HYPERLINK("http://demo.enginatics.com:80/ecc/user/applications/log/59486.log","http://demo.enginatics.com:80/ecc/user/applications/log/59486.log")</f>
        <v>"http://demo.enginatics.com:80/ecc/user/applications/log/59486.log")</v>
      </c>
      <c r="U1832">
        <v>59488</v>
      </c>
      <c r="V1832" t="s">
        <v>38</v>
      </c>
      <c r="W1832" t="s">
        <v>78</v>
      </c>
      <c r="X1832">
        <v>5</v>
      </c>
      <c r="Y1832">
        <v>1</v>
      </c>
      <c r="Z1832" t="s">
        <v>46</v>
      </c>
      <c r="AA1832">
        <v>59489</v>
      </c>
      <c r="AB1832" t="s">
        <v>322</v>
      </c>
      <c r="AC1832" t="s">
        <v>56</v>
      </c>
      <c r="AD1832" t="s">
        <v>38</v>
      </c>
      <c r="AE1832" t="s">
        <v>49</v>
      </c>
      <c r="AF1832" t="s">
        <v>85</v>
      </c>
      <c r="AG1832">
        <v>3</v>
      </c>
      <c r="AH1832">
        <v>0</v>
      </c>
      <c r="AI1832" t="s">
        <v>51</v>
      </c>
      <c r="AJ1832" t="s">
        <v>51</v>
      </c>
      <c r="AK1832" t="s">
        <v>51</v>
      </c>
    </row>
    <row r="1833" spans="1:37" x14ac:dyDescent="0.2">
      <c r="A1833">
        <v>59472</v>
      </c>
      <c r="B1833" t="s">
        <v>37</v>
      </c>
      <c r="C1833" t="s">
        <v>38</v>
      </c>
      <c r="D1833" t="s">
        <v>253</v>
      </c>
      <c r="E1833" t="s">
        <v>358</v>
      </c>
      <c r="G1833" s="4">
        <v>43946.661875</v>
      </c>
      <c r="H1833" s="4">
        <v>43946.661875</v>
      </c>
      <c r="I1833" t="s">
        <v>50</v>
      </c>
      <c r="J1833" s="5">
        <v>0</v>
      </c>
      <c r="K1833" t="s">
        <v>38</v>
      </c>
      <c r="M1833">
        <v>59473</v>
      </c>
      <c r="N1833" t="s">
        <v>358</v>
      </c>
      <c r="O1833" t="s">
        <v>359</v>
      </c>
      <c r="P1833" t="s">
        <v>38</v>
      </c>
      <c r="Q1833" t="s">
        <v>50</v>
      </c>
      <c r="R1833">
        <v>0</v>
      </c>
      <c r="S1833" t="s">
        <v>45</v>
      </c>
      <c r="T1833" t="str" s="2">
        <f>=HYPERLINK("http://demo.enginatics.com:80/ecc/user/applications/log/59472.log","http://demo.enginatics.com:80/ecc/user/applications/log/59472.log")</f>
        <v>"http://demo.enginatics.com:80/ecc/user/applications/log/59472.log")</v>
      </c>
      <c r="U1833">
        <v>59474</v>
      </c>
      <c r="V1833" t="s">
        <v>38</v>
      </c>
      <c r="W1833" t="s">
        <v>50</v>
      </c>
      <c r="X1833">
        <v>0</v>
      </c>
      <c r="Y1833">
        <v>0</v>
      </c>
      <c r="Z1833" t="s">
        <v>46</v>
      </c>
      <c r="AA1833">
        <v>59477</v>
      </c>
      <c r="AB1833" t="s">
        <v>360</v>
      </c>
      <c r="AC1833" t="s">
        <v>68</v>
      </c>
      <c r="AD1833" t="s">
        <v>38</v>
      </c>
      <c r="AE1833" t="s">
        <v>49</v>
      </c>
      <c r="AF1833" t="s">
        <v>50</v>
      </c>
      <c r="AG1833">
        <v>0</v>
      </c>
      <c r="AH1833">
        <v>0</v>
      </c>
      <c r="AI1833" t="s">
        <v>51</v>
      </c>
      <c r="AJ1833" t="s">
        <v>51</v>
      </c>
      <c r="AK1833" t="s">
        <v>51</v>
      </c>
    </row>
    <row r="1834" spans="1:37" x14ac:dyDescent="0.2">
      <c r="A1834">
        <v>59423</v>
      </c>
      <c r="B1834" t="s">
        <v>37</v>
      </c>
      <c r="C1834" t="s">
        <v>38</v>
      </c>
      <c r="D1834" t="s">
        <v>323</v>
      </c>
      <c r="E1834" t="s">
        <v>40</v>
      </c>
      <c r="G1834" s="4">
        <v>43946.661655092593</v>
      </c>
      <c r="H1834" s="4">
        <v>43946.661886574074</v>
      </c>
      <c r="I1834" t="s">
        <v>693</v>
      </c>
      <c r="J1834" s="5">
        <v>19.99999999999999999999999999999999999996</v>
      </c>
      <c r="K1834" t="s">
        <v>38</v>
      </c>
      <c r="M1834">
        <v>59483</v>
      </c>
      <c r="N1834" t="s">
        <v>325</v>
      </c>
      <c r="O1834" t="s">
        <v>326</v>
      </c>
      <c r="P1834" t="s">
        <v>38</v>
      </c>
      <c r="Q1834" t="s">
        <v>50</v>
      </c>
      <c r="R1834">
        <v>0</v>
      </c>
      <c r="S1834" t="s">
        <v>45</v>
      </c>
      <c r="T1834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34">
        <v>59484</v>
      </c>
      <c r="V1834" t="s">
        <v>38</v>
      </c>
      <c r="W1834" t="s">
        <v>50</v>
      </c>
      <c r="X1834">
        <v>0</v>
      </c>
      <c r="Y1834">
        <v>0</v>
      </c>
      <c r="Z1834" t="s">
        <v>46</v>
      </c>
      <c r="AA1834">
        <v>59485</v>
      </c>
      <c r="AB1834" t="s">
        <v>1404</v>
      </c>
      <c r="AC1834" t="s">
        <v>97</v>
      </c>
      <c r="AD1834" t="s">
        <v>38</v>
      </c>
      <c r="AE1834" t="s">
        <v>49</v>
      </c>
      <c r="AF1834" t="s">
        <v>50</v>
      </c>
      <c r="AG1834">
        <v>0</v>
      </c>
      <c r="AH1834">
        <v>0</v>
      </c>
      <c r="AI1834" t="s">
        <v>51</v>
      </c>
      <c r="AJ1834" t="s">
        <v>51</v>
      </c>
      <c r="AK1834" t="s">
        <v>51</v>
      </c>
    </row>
    <row r="1835" spans="1:37" x14ac:dyDescent="0.2">
      <c r="A1835">
        <v>59423</v>
      </c>
      <c r="B1835" t="s">
        <v>37</v>
      </c>
      <c r="C1835" t="s">
        <v>38</v>
      </c>
      <c r="D1835" t="s">
        <v>323</v>
      </c>
      <c r="E1835" t="s">
        <v>40</v>
      </c>
      <c r="G1835" s="4">
        <v>43946.661655092593</v>
      </c>
      <c r="H1835" s="4">
        <v>43946.661886574074</v>
      </c>
      <c r="I1835" t="s">
        <v>693</v>
      </c>
      <c r="J1835" s="5">
        <v>19.99999999999999999999999999999999999996</v>
      </c>
      <c r="K1835" t="s">
        <v>38</v>
      </c>
      <c r="M1835">
        <v>59475</v>
      </c>
      <c r="N1835" t="s">
        <v>328</v>
      </c>
      <c r="O1835" t="s">
        <v>329</v>
      </c>
      <c r="P1835" t="s">
        <v>38</v>
      </c>
      <c r="Q1835" t="s">
        <v>50</v>
      </c>
      <c r="R1835">
        <v>.9999999999999999999999999999999999999996</v>
      </c>
      <c r="S1835" t="s">
        <v>45</v>
      </c>
      <c r="T1835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35">
        <v>59476</v>
      </c>
      <c r="V1835" t="s">
        <v>38</v>
      </c>
      <c r="W1835" t="s">
        <v>50</v>
      </c>
      <c r="X1835">
        <v>.9999999999999999999999999999999999999996</v>
      </c>
      <c r="Y1835">
        <v>0</v>
      </c>
      <c r="Z1835" t="s">
        <v>46</v>
      </c>
      <c r="AA1835">
        <v>59482</v>
      </c>
      <c r="AB1835" t="s">
        <v>1644</v>
      </c>
      <c r="AC1835" t="s">
        <v>97</v>
      </c>
      <c r="AD1835" t="s">
        <v>38</v>
      </c>
      <c r="AE1835" t="s">
        <v>49</v>
      </c>
      <c r="AF1835" t="s">
        <v>50</v>
      </c>
      <c r="AG1835">
        <v>0</v>
      </c>
      <c r="AH1835">
        <v>0</v>
      </c>
      <c r="AI1835" t="s">
        <v>51</v>
      </c>
      <c r="AJ1835" t="s">
        <v>51</v>
      </c>
      <c r="AK1835" t="s">
        <v>51</v>
      </c>
    </row>
    <row r="1836" spans="1:37" x14ac:dyDescent="0.2">
      <c r="A1836">
        <v>59423</v>
      </c>
      <c r="B1836" t="s">
        <v>37</v>
      </c>
      <c r="C1836" t="s">
        <v>38</v>
      </c>
      <c r="D1836" t="s">
        <v>323</v>
      </c>
      <c r="E1836" t="s">
        <v>40</v>
      </c>
      <c r="G1836" s="4">
        <v>43946.661655092593</v>
      </c>
      <c r="H1836" s="4">
        <v>43946.661886574074</v>
      </c>
      <c r="I1836" t="s">
        <v>693</v>
      </c>
      <c r="J1836" s="5">
        <v>19.99999999999999999999999999999999999996</v>
      </c>
      <c r="K1836" t="s">
        <v>38</v>
      </c>
      <c r="M1836">
        <v>59475</v>
      </c>
      <c r="N1836" t="s">
        <v>328</v>
      </c>
      <c r="O1836" t="s">
        <v>329</v>
      </c>
      <c r="P1836" t="s">
        <v>38</v>
      </c>
      <c r="Q1836" t="s">
        <v>50</v>
      </c>
      <c r="R1836">
        <v>.9999999999999999999999999999999999999996</v>
      </c>
      <c r="S1836" t="s">
        <v>45</v>
      </c>
      <c r="T1836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36">
        <v>59476</v>
      </c>
      <c r="V1836" t="s">
        <v>38</v>
      </c>
      <c r="W1836" t="s">
        <v>50</v>
      </c>
      <c r="X1836">
        <v>.9999999999999999999999999999999999999996</v>
      </c>
      <c r="Y1836">
        <v>0</v>
      </c>
      <c r="Z1836" t="s">
        <v>46</v>
      </c>
      <c r="AA1836">
        <v>59481</v>
      </c>
      <c r="AB1836" t="s">
        <v>1645</v>
      </c>
      <c r="AC1836" t="s">
        <v>97</v>
      </c>
      <c r="AD1836" t="s">
        <v>38</v>
      </c>
      <c r="AE1836" t="s">
        <v>49</v>
      </c>
      <c r="AF1836" t="s">
        <v>50</v>
      </c>
      <c r="AG1836">
        <v>0</v>
      </c>
      <c r="AH1836">
        <v>0</v>
      </c>
      <c r="AI1836" t="s">
        <v>51</v>
      </c>
      <c r="AJ1836" t="s">
        <v>51</v>
      </c>
      <c r="AK1836" t="s">
        <v>51</v>
      </c>
    </row>
    <row r="1837" spans="1:37" x14ac:dyDescent="0.2">
      <c r="A1837">
        <v>59423</v>
      </c>
      <c r="B1837" t="s">
        <v>37</v>
      </c>
      <c r="C1837" t="s">
        <v>38</v>
      </c>
      <c r="D1837" t="s">
        <v>323</v>
      </c>
      <c r="E1837" t="s">
        <v>40</v>
      </c>
      <c r="G1837" s="4">
        <v>43946.661655092593</v>
      </c>
      <c r="H1837" s="4">
        <v>43946.661886574074</v>
      </c>
      <c r="I1837" t="s">
        <v>693</v>
      </c>
      <c r="J1837" s="5">
        <v>19.99999999999999999999999999999999999996</v>
      </c>
      <c r="K1837" t="s">
        <v>38</v>
      </c>
      <c r="M1837">
        <v>59475</v>
      </c>
      <c r="N1837" t="s">
        <v>328</v>
      </c>
      <c r="O1837" t="s">
        <v>329</v>
      </c>
      <c r="P1837" t="s">
        <v>38</v>
      </c>
      <c r="Q1837" t="s">
        <v>50</v>
      </c>
      <c r="R1837">
        <v>.9999999999999999999999999999999999999996</v>
      </c>
      <c r="S1837" t="s">
        <v>45</v>
      </c>
      <c r="T1837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37">
        <v>59476</v>
      </c>
      <c r="V1837" t="s">
        <v>38</v>
      </c>
      <c r="W1837" t="s">
        <v>50</v>
      </c>
      <c r="X1837">
        <v>.9999999999999999999999999999999999999996</v>
      </c>
      <c r="Y1837">
        <v>0</v>
      </c>
      <c r="Z1837" t="s">
        <v>46</v>
      </c>
      <c r="AA1837">
        <v>59480</v>
      </c>
      <c r="AB1837" t="s">
        <v>1646</v>
      </c>
      <c r="AC1837" t="s">
        <v>97</v>
      </c>
      <c r="AD1837" t="s">
        <v>38</v>
      </c>
      <c r="AE1837" t="s">
        <v>49</v>
      </c>
      <c r="AF1837" t="s">
        <v>50</v>
      </c>
      <c r="AG1837">
        <v>0</v>
      </c>
      <c r="AH1837">
        <v>0</v>
      </c>
      <c r="AI1837" t="s">
        <v>51</v>
      </c>
      <c r="AJ1837" t="s">
        <v>51</v>
      </c>
      <c r="AK1837" t="s">
        <v>51</v>
      </c>
    </row>
    <row r="1838" spans="1:37" x14ac:dyDescent="0.2">
      <c r="A1838">
        <v>59423</v>
      </c>
      <c r="B1838" t="s">
        <v>37</v>
      </c>
      <c r="C1838" t="s">
        <v>38</v>
      </c>
      <c r="D1838" t="s">
        <v>323</v>
      </c>
      <c r="E1838" t="s">
        <v>40</v>
      </c>
      <c r="G1838" s="4">
        <v>43946.661655092593</v>
      </c>
      <c r="H1838" s="4">
        <v>43946.661886574074</v>
      </c>
      <c r="I1838" t="s">
        <v>693</v>
      </c>
      <c r="J1838" s="5">
        <v>19.99999999999999999999999999999999999996</v>
      </c>
      <c r="K1838" t="s">
        <v>38</v>
      </c>
      <c r="M1838">
        <v>59475</v>
      </c>
      <c r="N1838" t="s">
        <v>328</v>
      </c>
      <c r="O1838" t="s">
        <v>329</v>
      </c>
      <c r="P1838" t="s">
        <v>38</v>
      </c>
      <c r="Q1838" t="s">
        <v>50</v>
      </c>
      <c r="R1838">
        <v>.9999999999999999999999999999999999999996</v>
      </c>
      <c r="S1838" t="s">
        <v>45</v>
      </c>
      <c r="T1838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38">
        <v>59476</v>
      </c>
      <c r="V1838" t="s">
        <v>38</v>
      </c>
      <c r="W1838" t="s">
        <v>50</v>
      </c>
      <c r="X1838">
        <v>.9999999999999999999999999999999999999996</v>
      </c>
      <c r="Y1838">
        <v>0</v>
      </c>
      <c r="Z1838" t="s">
        <v>46</v>
      </c>
      <c r="AA1838">
        <v>59479</v>
      </c>
      <c r="AB1838" t="s">
        <v>1647</v>
      </c>
      <c r="AC1838" t="s">
        <v>97</v>
      </c>
      <c r="AD1838" t="s">
        <v>38</v>
      </c>
      <c r="AE1838" t="s">
        <v>49</v>
      </c>
      <c r="AF1838" t="s">
        <v>50</v>
      </c>
      <c r="AG1838">
        <v>.9999999999999999999999999999999999999996</v>
      </c>
      <c r="AH1838">
        <v>0</v>
      </c>
      <c r="AI1838" t="s">
        <v>51</v>
      </c>
      <c r="AJ1838" t="s">
        <v>51</v>
      </c>
      <c r="AK1838" t="s">
        <v>51</v>
      </c>
    </row>
    <row r="1839" spans="1:37" x14ac:dyDescent="0.2">
      <c r="A1839">
        <v>59423</v>
      </c>
      <c r="B1839" t="s">
        <v>37</v>
      </c>
      <c r="C1839" t="s">
        <v>38</v>
      </c>
      <c r="D1839" t="s">
        <v>323</v>
      </c>
      <c r="E1839" t="s">
        <v>40</v>
      </c>
      <c r="G1839" s="4">
        <v>43946.661655092593</v>
      </c>
      <c r="H1839" s="4">
        <v>43946.661886574074</v>
      </c>
      <c r="I1839" t="s">
        <v>693</v>
      </c>
      <c r="J1839" s="5">
        <v>19.99999999999999999999999999999999999996</v>
      </c>
      <c r="K1839" t="s">
        <v>38</v>
      </c>
      <c r="M1839">
        <v>59475</v>
      </c>
      <c r="N1839" t="s">
        <v>328</v>
      </c>
      <c r="O1839" t="s">
        <v>329</v>
      </c>
      <c r="P1839" t="s">
        <v>38</v>
      </c>
      <c r="Q1839" t="s">
        <v>50</v>
      </c>
      <c r="R1839">
        <v>.9999999999999999999999999999999999999996</v>
      </c>
      <c r="S1839" t="s">
        <v>45</v>
      </c>
      <c r="T1839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39">
        <v>59476</v>
      </c>
      <c r="V1839" t="s">
        <v>38</v>
      </c>
      <c r="W1839" t="s">
        <v>50</v>
      </c>
      <c r="X1839">
        <v>.9999999999999999999999999999999999999996</v>
      </c>
      <c r="Y1839">
        <v>0</v>
      </c>
      <c r="Z1839" t="s">
        <v>46</v>
      </c>
      <c r="AA1839">
        <v>59478</v>
      </c>
      <c r="AB1839" t="s">
        <v>1648</v>
      </c>
      <c r="AC1839" t="s">
        <v>97</v>
      </c>
      <c r="AD1839" t="s">
        <v>38</v>
      </c>
      <c r="AE1839" t="s">
        <v>49</v>
      </c>
      <c r="AF1839" t="s">
        <v>50</v>
      </c>
      <c r="AG1839">
        <v>0</v>
      </c>
      <c r="AH1839">
        <v>0</v>
      </c>
      <c r="AI1839" t="s">
        <v>51</v>
      </c>
      <c r="AJ1839" t="s">
        <v>51</v>
      </c>
      <c r="AK1839" t="s">
        <v>51</v>
      </c>
    </row>
    <row r="1840" spans="1:37" x14ac:dyDescent="0.2">
      <c r="A1840">
        <v>59423</v>
      </c>
      <c r="B1840" t="s">
        <v>37</v>
      </c>
      <c r="C1840" t="s">
        <v>38</v>
      </c>
      <c r="D1840" t="s">
        <v>323</v>
      </c>
      <c r="E1840" t="s">
        <v>40</v>
      </c>
      <c r="G1840" s="4">
        <v>43946.661655092593</v>
      </c>
      <c r="H1840" s="4">
        <v>43946.661886574074</v>
      </c>
      <c r="I1840" t="s">
        <v>693</v>
      </c>
      <c r="J1840" s="5">
        <v>19.99999999999999999999999999999999999996</v>
      </c>
      <c r="K1840" t="s">
        <v>38</v>
      </c>
      <c r="M1840">
        <v>59463</v>
      </c>
      <c r="N1840" t="s">
        <v>335</v>
      </c>
      <c r="O1840" t="s">
        <v>336</v>
      </c>
      <c r="P1840" t="s">
        <v>38</v>
      </c>
      <c r="Q1840" t="s">
        <v>236</v>
      </c>
      <c r="R1840">
        <v>12.00000000000000000000000000000000000001</v>
      </c>
      <c r="S1840" t="s">
        <v>45</v>
      </c>
      <c r="T1840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0">
        <v>59464</v>
      </c>
      <c r="V1840" t="s">
        <v>38</v>
      </c>
      <c r="W1840" t="s">
        <v>236</v>
      </c>
      <c r="X1840">
        <v>12.00000000000000000000000000000000000001</v>
      </c>
      <c r="Y1840">
        <v>0</v>
      </c>
      <c r="Z1840" t="s">
        <v>46</v>
      </c>
      <c r="AA1840">
        <v>59471</v>
      </c>
      <c r="AB1840" t="s">
        <v>1410</v>
      </c>
      <c r="AC1840" t="s">
        <v>97</v>
      </c>
      <c r="AD1840" t="s">
        <v>38</v>
      </c>
      <c r="AE1840" t="s">
        <v>49</v>
      </c>
      <c r="AF1840" t="s">
        <v>50</v>
      </c>
      <c r="AG1840">
        <v>0</v>
      </c>
      <c r="AH1840">
        <v>0</v>
      </c>
      <c r="AI1840" t="s">
        <v>51</v>
      </c>
      <c r="AJ1840" t="s">
        <v>51</v>
      </c>
      <c r="AK1840" t="s">
        <v>51</v>
      </c>
    </row>
    <row r="1841" spans="1:37" x14ac:dyDescent="0.2">
      <c r="A1841">
        <v>59423</v>
      </c>
      <c r="B1841" t="s">
        <v>37</v>
      </c>
      <c r="C1841" t="s">
        <v>38</v>
      </c>
      <c r="D1841" t="s">
        <v>323</v>
      </c>
      <c r="E1841" t="s">
        <v>40</v>
      </c>
      <c r="G1841" s="4">
        <v>43946.661655092593</v>
      </c>
      <c r="H1841" s="4">
        <v>43946.661886574074</v>
      </c>
      <c r="I1841" t="s">
        <v>693</v>
      </c>
      <c r="J1841" s="5">
        <v>19.99999999999999999999999999999999999996</v>
      </c>
      <c r="K1841" t="s">
        <v>38</v>
      </c>
      <c r="M1841">
        <v>59463</v>
      </c>
      <c r="N1841" t="s">
        <v>335</v>
      </c>
      <c r="O1841" t="s">
        <v>336</v>
      </c>
      <c r="P1841" t="s">
        <v>38</v>
      </c>
      <c r="Q1841" t="s">
        <v>236</v>
      </c>
      <c r="R1841">
        <v>12.00000000000000000000000000000000000001</v>
      </c>
      <c r="S1841" t="s">
        <v>45</v>
      </c>
      <c r="T1841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1">
        <v>59464</v>
      </c>
      <c r="V1841" t="s">
        <v>38</v>
      </c>
      <c r="W1841" t="s">
        <v>236</v>
      </c>
      <c r="X1841">
        <v>12.00000000000000000000000000000000000001</v>
      </c>
      <c r="Y1841">
        <v>0</v>
      </c>
      <c r="Z1841" t="s">
        <v>46</v>
      </c>
      <c r="AA1841">
        <v>59470</v>
      </c>
      <c r="AB1841" t="s">
        <v>1411</v>
      </c>
      <c r="AC1841" t="s">
        <v>97</v>
      </c>
      <c r="AD1841" t="s">
        <v>38</v>
      </c>
      <c r="AE1841" t="s">
        <v>49</v>
      </c>
      <c r="AF1841" t="s">
        <v>50</v>
      </c>
      <c r="AG1841">
        <v>.9999999999999999999999999999999999999996</v>
      </c>
      <c r="AH1841">
        <v>0</v>
      </c>
      <c r="AI1841" t="s">
        <v>51</v>
      </c>
      <c r="AJ1841" t="s">
        <v>51</v>
      </c>
      <c r="AK1841" t="s">
        <v>51</v>
      </c>
    </row>
    <row r="1842" spans="1:37" x14ac:dyDescent="0.2">
      <c r="A1842">
        <v>59423</v>
      </c>
      <c r="B1842" t="s">
        <v>37</v>
      </c>
      <c r="C1842" t="s">
        <v>38</v>
      </c>
      <c r="D1842" t="s">
        <v>323</v>
      </c>
      <c r="E1842" t="s">
        <v>40</v>
      </c>
      <c r="G1842" s="4">
        <v>43946.661655092593</v>
      </c>
      <c r="H1842" s="4">
        <v>43946.661886574074</v>
      </c>
      <c r="I1842" t="s">
        <v>693</v>
      </c>
      <c r="J1842" s="5">
        <v>19.99999999999999999999999999999999999996</v>
      </c>
      <c r="K1842" t="s">
        <v>38</v>
      </c>
      <c r="M1842">
        <v>59463</v>
      </c>
      <c r="N1842" t="s">
        <v>335</v>
      </c>
      <c r="O1842" t="s">
        <v>336</v>
      </c>
      <c r="P1842" t="s">
        <v>38</v>
      </c>
      <c r="Q1842" t="s">
        <v>236</v>
      </c>
      <c r="R1842">
        <v>12.00000000000000000000000000000000000001</v>
      </c>
      <c r="S1842" t="s">
        <v>45</v>
      </c>
      <c r="T1842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2">
        <v>59464</v>
      </c>
      <c r="V1842" t="s">
        <v>38</v>
      </c>
      <c r="W1842" t="s">
        <v>236</v>
      </c>
      <c r="X1842">
        <v>12.00000000000000000000000000000000000001</v>
      </c>
      <c r="Y1842">
        <v>0</v>
      </c>
      <c r="Z1842" t="s">
        <v>46</v>
      </c>
      <c r="AA1842">
        <v>59469</v>
      </c>
      <c r="AB1842" t="s">
        <v>1412</v>
      </c>
      <c r="AC1842" t="s">
        <v>97</v>
      </c>
      <c r="AD1842" t="s">
        <v>38</v>
      </c>
      <c r="AE1842" t="s">
        <v>49</v>
      </c>
      <c r="AF1842" t="s">
        <v>50</v>
      </c>
      <c r="AG1842">
        <v>0</v>
      </c>
      <c r="AH1842">
        <v>0</v>
      </c>
      <c r="AI1842" t="s">
        <v>51</v>
      </c>
      <c r="AJ1842" t="s">
        <v>51</v>
      </c>
      <c r="AK1842" t="s">
        <v>51</v>
      </c>
    </row>
    <row r="1843" spans="1:37" x14ac:dyDescent="0.2">
      <c r="A1843">
        <v>59423</v>
      </c>
      <c r="B1843" t="s">
        <v>37</v>
      </c>
      <c r="C1843" t="s">
        <v>38</v>
      </c>
      <c r="D1843" t="s">
        <v>323</v>
      </c>
      <c r="E1843" t="s">
        <v>40</v>
      </c>
      <c r="G1843" s="4">
        <v>43946.661655092593</v>
      </c>
      <c r="H1843" s="4">
        <v>43946.661886574074</v>
      </c>
      <c r="I1843" t="s">
        <v>693</v>
      </c>
      <c r="J1843" s="5">
        <v>19.99999999999999999999999999999999999996</v>
      </c>
      <c r="K1843" t="s">
        <v>38</v>
      </c>
      <c r="M1843">
        <v>59463</v>
      </c>
      <c r="N1843" t="s">
        <v>335</v>
      </c>
      <c r="O1843" t="s">
        <v>336</v>
      </c>
      <c r="P1843" t="s">
        <v>38</v>
      </c>
      <c r="Q1843" t="s">
        <v>236</v>
      </c>
      <c r="R1843">
        <v>12.00000000000000000000000000000000000001</v>
      </c>
      <c r="S1843" t="s">
        <v>45</v>
      </c>
      <c r="T1843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3">
        <v>59464</v>
      </c>
      <c r="V1843" t="s">
        <v>38</v>
      </c>
      <c r="W1843" t="s">
        <v>236</v>
      </c>
      <c r="X1843">
        <v>12.00000000000000000000000000000000000001</v>
      </c>
      <c r="Y1843">
        <v>0</v>
      </c>
      <c r="Z1843" t="s">
        <v>46</v>
      </c>
      <c r="AA1843">
        <v>59468</v>
      </c>
      <c r="AB1843" t="s">
        <v>1413</v>
      </c>
      <c r="AC1843" t="s">
        <v>97</v>
      </c>
      <c r="AD1843" t="s">
        <v>38</v>
      </c>
      <c r="AE1843" t="s">
        <v>49</v>
      </c>
      <c r="AF1843" t="s">
        <v>88</v>
      </c>
      <c r="AG1843">
        <v>2</v>
      </c>
      <c r="AH1843">
        <v>1</v>
      </c>
      <c r="AI1843" t="s">
        <v>51</v>
      </c>
      <c r="AJ1843" t="s">
        <v>51</v>
      </c>
      <c r="AK1843" t="s">
        <v>51</v>
      </c>
    </row>
    <row r="1844" spans="1:37" x14ac:dyDescent="0.2">
      <c r="A1844">
        <v>59423</v>
      </c>
      <c r="B1844" t="s">
        <v>37</v>
      </c>
      <c r="C1844" t="s">
        <v>38</v>
      </c>
      <c r="D1844" t="s">
        <v>323</v>
      </c>
      <c r="E1844" t="s">
        <v>40</v>
      </c>
      <c r="G1844" s="4">
        <v>43946.661655092593</v>
      </c>
      <c r="H1844" s="4">
        <v>43946.661886574074</v>
      </c>
      <c r="I1844" t="s">
        <v>693</v>
      </c>
      <c r="J1844" s="5">
        <v>19.99999999999999999999999999999999999996</v>
      </c>
      <c r="K1844" t="s">
        <v>38</v>
      </c>
      <c r="M1844">
        <v>59463</v>
      </c>
      <c r="N1844" t="s">
        <v>335</v>
      </c>
      <c r="O1844" t="s">
        <v>336</v>
      </c>
      <c r="P1844" t="s">
        <v>38</v>
      </c>
      <c r="Q1844" t="s">
        <v>236</v>
      </c>
      <c r="R1844">
        <v>12.00000000000000000000000000000000000001</v>
      </c>
      <c r="S1844" t="s">
        <v>45</v>
      </c>
      <c r="T1844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4">
        <v>59464</v>
      </c>
      <c r="V1844" t="s">
        <v>38</v>
      </c>
      <c r="W1844" t="s">
        <v>236</v>
      </c>
      <c r="X1844">
        <v>12.00000000000000000000000000000000000001</v>
      </c>
      <c r="Y1844">
        <v>0</v>
      </c>
      <c r="Z1844" t="s">
        <v>46</v>
      </c>
      <c r="AA1844">
        <v>59467</v>
      </c>
      <c r="AB1844" t="s">
        <v>1414</v>
      </c>
      <c r="AC1844" t="s">
        <v>97</v>
      </c>
      <c r="AD1844" t="s">
        <v>38</v>
      </c>
      <c r="AE1844" t="s">
        <v>49</v>
      </c>
      <c r="AF1844" t="s">
        <v>75</v>
      </c>
      <c r="AG1844">
        <v>6</v>
      </c>
      <c r="AH1844">
        <v>6</v>
      </c>
      <c r="AI1844" t="s">
        <v>51</v>
      </c>
      <c r="AJ1844" t="s">
        <v>51</v>
      </c>
      <c r="AK1844" t="s">
        <v>51</v>
      </c>
    </row>
    <row r="1845" spans="1:37" x14ac:dyDescent="0.2">
      <c r="A1845">
        <v>59423</v>
      </c>
      <c r="B1845" t="s">
        <v>37</v>
      </c>
      <c r="C1845" t="s">
        <v>38</v>
      </c>
      <c r="D1845" t="s">
        <v>323</v>
      </c>
      <c r="E1845" t="s">
        <v>40</v>
      </c>
      <c r="G1845" s="4">
        <v>43946.661655092593</v>
      </c>
      <c r="H1845" s="4">
        <v>43946.661886574074</v>
      </c>
      <c r="I1845" t="s">
        <v>693</v>
      </c>
      <c r="J1845" s="5">
        <v>19.99999999999999999999999999999999999996</v>
      </c>
      <c r="K1845" t="s">
        <v>38</v>
      </c>
      <c r="M1845">
        <v>59463</v>
      </c>
      <c r="N1845" t="s">
        <v>335</v>
      </c>
      <c r="O1845" t="s">
        <v>336</v>
      </c>
      <c r="P1845" t="s">
        <v>38</v>
      </c>
      <c r="Q1845" t="s">
        <v>236</v>
      </c>
      <c r="R1845">
        <v>12.00000000000000000000000000000000000001</v>
      </c>
      <c r="S1845" t="s">
        <v>45</v>
      </c>
      <c r="T1845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5">
        <v>59464</v>
      </c>
      <c r="V1845" t="s">
        <v>38</v>
      </c>
      <c r="W1845" t="s">
        <v>236</v>
      </c>
      <c r="X1845">
        <v>12.00000000000000000000000000000000000001</v>
      </c>
      <c r="Y1845">
        <v>0</v>
      </c>
      <c r="Z1845" t="s">
        <v>46</v>
      </c>
      <c r="AA1845">
        <v>59466</v>
      </c>
      <c r="AB1845" t="s">
        <v>1415</v>
      </c>
      <c r="AC1845" t="s">
        <v>97</v>
      </c>
      <c r="AD1845" t="s">
        <v>38</v>
      </c>
      <c r="AE1845" t="s">
        <v>49</v>
      </c>
      <c r="AF1845" t="s">
        <v>88</v>
      </c>
      <c r="AG1845">
        <v>2</v>
      </c>
      <c r="AH1845">
        <v>2</v>
      </c>
      <c r="AI1845" t="s">
        <v>51</v>
      </c>
      <c r="AJ1845" t="s">
        <v>51</v>
      </c>
      <c r="AK1845" t="s">
        <v>51</v>
      </c>
    </row>
    <row r="1846" spans="1:37" x14ac:dyDescent="0.2">
      <c r="A1846">
        <v>59423</v>
      </c>
      <c r="B1846" t="s">
        <v>37</v>
      </c>
      <c r="C1846" t="s">
        <v>38</v>
      </c>
      <c r="D1846" t="s">
        <v>323</v>
      </c>
      <c r="E1846" t="s">
        <v>40</v>
      </c>
      <c r="G1846" s="4">
        <v>43946.661655092593</v>
      </c>
      <c r="H1846" s="4">
        <v>43946.661886574074</v>
      </c>
      <c r="I1846" t="s">
        <v>693</v>
      </c>
      <c r="J1846" s="5">
        <v>19.99999999999999999999999999999999999996</v>
      </c>
      <c r="K1846" t="s">
        <v>38</v>
      </c>
      <c r="M1846">
        <v>59442</v>
      </c>
      <c r="N1846" t="s">
        <v>344</v>
      </c>
      <c r="O1846" t="s">
        <v>345</v>
      </c>
      <c r="P1846" t="s">
        <v>38</v>
      </c>
      <c r="Q1846" t="s">
        <v>88</v>
      </c>
      <c r="R1846">
        <v>2</v>
      </c>
      <c r="S1846" t="s">
        <v>45</v>
      </c>
      <c r="T1846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6">
        <v>59443</v>
      </c>
      <c r="V1846" t="s">
        <v>38</v>
      </c>
      <c r="W1846" t="s">
        <v>50</v>
      </c>
      <c r="X1846">
        <v>.9999999999999999999999999999999999999996</v>
      </c>
      <c r="Y1846">
        <v>0</v>
      </c>
      <c r="Z1846" t="s">
        <v>46</v>
      </c>
      <c r="AA1846">
        <v>59461</v>
      </c>
      <c r="AB1846" t="s">
        <v>1416</v>
      </c>
      <c r="AC1846" t="s">
        <v>56</v>
      </c>
      <c r="AD1846" t="s">
        <v>38</v>
      </c>
      <c r="AE1846" t="s">
        <v>49</v>
      </c>
      <c r="AF1846" t="s">
        <v>50</v>
      </c>
      <c r="AG1846">
        <v>0</v>
      </c>
      <c r="AH1846">
        <v>0</v>
      </c>
      <c r="AI1846" t="s">
        <v>51</v>
      </c>
      <c r="AJ1846" t="s">
        <v>51</v>
      </c>
      <c r="AK1846" t="s">
        <v>51</v>
      </c>
    </row>
    <row r="1847" spans="1:37" x14ac:dyDescent="0.2">
      <c r="A1847">
        <v>59423</v>
      </c>
      <c r="B1847" t="s">
        <v>37</v>
      </c>
      <c r="C1847" t="s">
        <v>38</v>
      </c>
      <c r="D1847" t="s">
        <v>323</v>
      </c>
      <c r="E1847" t="s">
        <v>40</v>
      </c>
      <c r="G1847" s="4">
        <v>43946.661655092593</v>
      </c>
      <c r="H1847" s="4">
        <v>43946.661886574074</v>
      </c>
      <c r="I1847" t="s">
        <v>693</v>
      </c>
      <c r="J1847" s="5">
        <v>19.99999999999999999999999999999999999996</v>
      </c>
      <c r="K1847" t="s">
        <v>38</v>
      </c>
      <c r="M1847">
        <v>59442</v>
      </c>
      <c r="N1847" t="s">
        <v>344</v>
      </c>
      <c r="O1847" t="s">
        <v>345</v>
      </c>
      <c r="P1847" t="s">
        <v>38</v>
      </c>
      <c r="Q1847" t="s">
        <v>88</v>
      </c>
      <c r="R1847">
        <v>2</v>
      </c>
      <c r="S1847" t="s">
        <v>45</v>
      </c>
      <c r="T1847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7">
        <v>59443</v>
      </c>
      <c r="V1847" t="s">
        <v>38</v>
      </c>
      <c r="W1847" t="s">
        <v>50</v>
      </c>
      <c r="X1847">
        <v>.9999999999999999999999999999999999999996</v>
      </c>
      <c r="Y1847">
        <v>0</v>
      </c>
      <c r="Z1847" t="s">
        <v>46</v>
      </c>
      <c r="AA1847">
        <v>59449</v>
      </c>
      <c r="AB1847" t="s">
        <v>1417</v>
      </c>
      <c r="AC1847" t="s">
        <v>97</v>
      </c>
      <c r="AD1847" t="s">
        <v>38</v>
      </c>
      <c r="AE1847" t="s">
        <v>49</v>
      </c>
      <c r="AF1847" t="s">
        <v>50</v>
      </c>
      <c r="AG1847">
        <v>.9999999999999999999999999999999999999996</v>
      </c>
      <c r="AH1847">
        <v>1</v>
      </c>
      <c r="AI1847" t="s">
        <v>51</v>
      </c>
      <c r="AJ1847" t="s">
        <v>51</v>
      </c>
      <c r="AK1847" t="s">
        <v>51</v>
      </c>
    </row>
    <row r="1848" spans="1:37" x14ac:dyDescent="0.2">
      <c r="A1848">
        <v>59423</v>
      </c>
      <c r="B1848" t="s">
        <v>37</v>
      </c>
      <c r="C1848" t="s">
        <v>38</v>
      </c>
      <c r="D1848" t="s">
        <v>323</v>
      </c>
      <c r="E1848" t="s">
        <v>40</v>
      </c>
      <c r="G1848" s="4">
        <v>43946.661655092593</v>
      </c>
      <c r="H1848" s="4">
        <v>43946.661886574074</v>
      </c>
      <c r="I1848" t="s">
        <v>693</v>
      </c>
      <c r="J1848" s="5">
        <v>19.99999999999999999999999999999999999996</v>
      </c>
      <c r="K1848" t="s">
        <v>38</v>
      </c>
      <c r="M1848">
        <v>59437</v>
      </c>
      <c r="N1848" t="s">
        <v>350</v>
      </c>
      <c r="O1848" t="s">
        <v>351</v>
      </c>
      <c r="P1848" t="s">
        <v>38</v>
      </c>
      <c r="Q1848" t="s">
        <v>50</v>
      </c>
      <c r="R1848">
        <v>0</v>
      </c>
      <c r="S1848" t="s">
        <v>45</v>
      </c>
      <c r="T1848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8">
        <v>59438</v>
      </c>
      <c r="V1848" t="s">
        <v>38</v>
      </c>
      <c r="W1848" t="s">
        <v>50</v>
      </c>
      <c r="X1848">
        <v>0</v>
      </c>
      <c r="Y1848">
        <v>0</v>
      </c>
      <c r="Z1848" t="s">
        <v>46</v>
      </c>
      <c r="AA1848">
        <v>59440</v>
      </c>
      <c r="AB1848" t="s">
        <v>1418</v>
      </c>
      <c r="AC1848" t="s">
        <v>97</v>
      </c>
      <c r="AD1848" t="s">
        <v>38</v>
      </c>
      <c r="AE1848" t="s">
        <v>49</v>
      </c>
      <c r="AF1848" t="s">
        <v>50</v>
      </c>
      <c r="AG1848">
        <v>0</v>
      </c>
      <c r="AH1848">
        <v>0</v>
      </c>
      <c r="AI1848" t="s">
        <v>51</v>
      </c>
      <c r="AJ1848" t="s">
        <v>51</v>
      </c>
      <c r="AK1848" t="s">
        <v>51</v>
      </c>
    </row>
    <row r="1849" spans="1:37" x14ac:dyDescent="0.2">
      <c r="A1849">
        <v>59423</v>
      </c>
      <c r="B1849" t="s">
        <v>37</v>
      </c>
      <c r="C1849" t="s">
        <v>38</v>
      </c>
      <c r="D1849" t="s">
        <v>323</v>
      </c>
      <c r="E1849" t="s">
        <v>40</v>
      </c>
      <c r="G1849" s="4">
        <v>43946.661655092593</v>
      </c>
      <c r="H1849" s="4">
        <v>43946.661886574074</v>
      </c>
      <c r="I1849" t="s">
        <v>693</v>
      </c>
      <c r="J1849" s="5">
        <v>19.99999999999999999999999999999999999996</v>
      </c>
      <c r="K1849" t="s">
        <v>38</v>
      </c>
      <c r="M1849">
        <v>59424</v>
      </c>
      <c r="N1849" t="s">
        <v>353</v>
      </c>
      <c r="O1849" t="s">
        <v>354</v>
      </c>
      <c r="P1849" t="s">
        <v>38</v>
      </c>
      <c r="Q1849" t="s">
        <v>44</v>
      </c>
      <c r="R1849">
        <v>4</v>
      </c>
      <c r="S1849" t="s">
        <v>45</v>
      </c>
      <c r="T1849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49">
        <v>59425</v>
      </c>
      <c r="V1849" t="s">
        <v>38</v>
      </c>
      <c r="W1849" t="s">
        <v>44</v>
      </c>
      <c r="X1849">
        <v>4</v>
      </c>
      <c r="Y1849">
        <v>0</v>
      </c>
      <c r="Z1849" t="s">
        <v>46</v>
      </c>
      <c r="AA1849">
        <v>59436</v>
      </c>
      <c r="AB1849" t="s">
        <v>1649</v>
      </c>
      <c r="AC1849" t="s">
        <v>97</v>
      </c>
      <c r="AD1849" t="s">
        <v>38</v>
      </c>
      <c r="AE1849" t="s">
        <v>49</v>
      </c>
      <c r="AF1849" t="s">
        <v>50</v>
      </c>
      <c r="AG1849">
        <v>0</v>
      </c>
      <c r="AH1849">
        <v>0</v>
      </c>
      <c r="AI1849" t="s">
        <v>51</v>
      </c>
      <c r="AJ1849" t="s">
        <v>51</v>
      </c>
      <c r="AK1849" t="s">
        <v>51</v>
      </c>
    </row>
    <row r="1850" spans="1:37" x14ac:dyDescent="0.2">
      <c r="A1850">
        <v>59423</v>
      </c>
      <c r="B1850" t="s">
        <v>37</v>
      </c>
      <c r="C1850" t="s">
        <v>38</v>
      </c>
      <c r="D1850" t="s">
        <v>323</v>
      </c>
      <c r="E1850" t="s">
        <v>40</v>
      </c>
      <c r="G1850" s="4">
        <v>43946.661655092593</v>
      </c>
      <c r="H1850" s="4">
        <v>43946.661886574074</v>
      </c>
      <c r="I1850" t="s">
        <v>693</v>
      </c>
      <c r="J1850" s="5">
        <v>19.99999999999999999999999999999999999996</v>
      </c>
      <c r="K1850" t="s">
        <v>38</v>
      </c>
      <c r="M1850">
        <v>59424</v>
      </c>
      <c r="N1850" t="s">
        <v>353</v>
      </c>
      <c r="O1850" t="s">
        <v>354</v>
      </c>
      <c r="P1850" t="s">
        <v>38</v>
      </c>
      <c r="Q1850" t="s">
        <v>44</v>
      </c>
      <c r="R1850">
        <v>4</v>
      </c>
      <c r="S1850" t="s">
        <v>45</v>
      </c>
      <c r="T1850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50">
        <v>59425</v>
      </c>
      <c r="V1850" t="s">
        <v>38</v>
      </c>
      <c r="W1850" t="s">
        <v>44</v>
      </c>
      <c r="X1850">
        <v>4</v>
      </c>
      <c r="Y1850">
        <v>0</v>
      </c>
      <c r="Z1850" t="s">
        <v>46</v>
      </c>
      <c r="AA1850">
        <v>59428</v>
      </c>
      <c r="AB1850" t="s">
        <v>1650</v>
      </c>
      <c r="AC1850" t="s">
        <v>97</v>
      </c>
      <c r="AD1850" t="s">
        <v>38</v>
      </c>
      <c r="AE1850" t="s">
        <v>49</v>
      </c>
      <c r="AF1850" t="s">
        <v>50</v>
      </c>
      <c r="AG1850">
        <v>.9999999999999999999999999999999999999996</v>
      </c>
      <c r="AH1850">
        <v>0</v>
      </c>
      <c r="AI1850" t="s">
        <v>51</v>
      </c>
      <c r="AJ1850" t="s">
        <v>51</v>
      </c>
      <c r="AK1850" t="s">
        <v>51</v>
      </c>
    </row>
    <row r="1851" spans="1:37" x14ac:dyDescent="0.2">
      <c r="A1851">
        <v>59423</v>
      </c>
      <c r="B1851" t="s">
        <v>37</v>
      </c>
      <c r="C1851" t="s">
        <v>38</v>
      </c>
      <c r="D1851" t="s">
        <v>323</v>
      </c>
      <c r="E1851" t="s">
        <v>40</v>
      </c>
      <c r="G1851" s="4">
        <v>43946.661655092593</v>
      </c>
      <c r="H1851" s="4">
        <v>43946.661886574074</v>
      </c>
      <c r="I1851" t="s">
        <v>693</v>
      </c>
      <c r="J1851" s="5">
        <v>19.99999999999999999999999999999999999996</v>
      </c>
      <c r="K1851" t="s">
        <v>38</v>
      </c>
      <c r="M1851">
        <v>59424</v>
      </c>
      <c r="N1851" t="s">
        <v>353</v>
      </c>
      <c r="O1851" t="s">
        <v>354</v>
      </c>
      <c r="P1851" t="s">
        <v>38</v>
      </c>
      <c r="Q1851" t="s">
        <v>44</v>
      </c>
      <c r="R1851">
        <v>4</v>
      </c>
      <c r="S1851" t="s">
        <v>45</v>
      </c>
      <c r="T1851" t="str" s="2">
        <f>=HYPERLINK("http://demo.enginatics.com:80/ecc/user/applications/log/59423.log","http://demo.enginatics.com:80/ecc/user/applications/log/59423.log")</f>
        <v>"http://demo.enginatics.com:80/ecc/user/applications/log/59423.log")</v>
      </c>
      <c r="U1851">
        <v>59425</v>
      </c>
      <c r="V1851" t="s">
        <v>38</v>
      </c>
      <c r="W1851" t="s">
        <v>44</v>
      </c>
      <c r="X1851">
        <v>4</v>
      </c>
      <c r="Y1851">
        <v>0</v>
      </c>
      <c r="Z1851" t="s">
        <v>46</v>
      </c>
      <c r="AA1851">
        <v>59426</v>
      </c>
      <c r="AB1851" t="s">
        <v>1651</v>
      </c>
      <c r="AC1851" t="s">
        <v>97</v>
      </c>
      <c r="AD1851" t="s">
        <v>38</v>
      </c>
      <c r="AE1851" t="s">
        <v>49</v>
      </c>
      <c r="AF1851" t="s">
        <v>88</v>
      </c>
      <c r="AG1851">
        <v>2</v>
      </c>
      <c r="AH1851">
        <v>0</v>
      </c>
      <c r="AI1851" t="s">
        <v>51</v>
      </c>
      <c r="AJ1851" t="s">
        <v>51</v>
      </c>
      <c r="AK1851" t="s">
        <v>51</v>
      </c>
    </row>
    <row r="1852" spans="1:37" x14ac:dyDescent="0.2">
      <c r="A1852">
        <v>59398</v>
      </c>
      <c r="B1852" t="s">
        <v>37</v>
      </c>
      <c r="C1852" t="s">
        <v>196</v>
      </c>
      <c r="D1852" t="s">
        <v>361</v>
      </c>
      <c r="E1852" t="s">
        <v>40</v>
      </c>
      <c r="G1852" s="4">
        <v>43946.66162037037</v>
      </c>
      <c r="H1852" s="4">
        <v>43946.661736111111</v>
      </c>
      <c r="I1852" t="s">
        <v>300</v>
      </c>
      <c r="J1852" s="5">
        <v>10.00000000000000000000000000000000000002</v>
      </c>
      <c r="K1852" t="s">
        <v>196</v>
      </c>
      <c r="M1852">
        <v>59462</v>
      </c>
      <c r="N1852" t="s">
        <v>362</v>
      </c>
      <c r="O1852" t="s">
        <v>363</v>
      </c>
      <c r="P1852" t="s">
        <v>196</v>
      </c>
      <c r="Q1852" t="s">
        <v>50</v>
      </c>
      <c r="R1852">
        <v>.9999999999999999999999999999999999999996</v>
      </c>
      <c r="S1852" t="s">
        <v>364</v>
      </c>
      <c r="T1852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2">
        <v>59465</v>
      </c>
      <c r="V1852" t="s">
        <v>196</v>
      </c>
      <c r="W1852" t="s">
        <v>50</v>
      </c>
      <c r="X1852">
        <v>0</v>
      </c>
      <c r="Y1852">
        <v>0</v>
      </c>
      <c r="Z1852" t="s">
        <v>1652</v>
      </c>
    </row>
    <row r="1853" spans="1:37" x14ac:dyDescent="0.2">
      <c r="A1853">
        <v>59398</v>
      </c>
      <c r="B1853" t="s">
        <v>37</v>
      </c>
      <c r="C1853" t="s">
        <v>196</v>
      </c>
      <c r="D1853" t="s">
        <v>361</v>
      </c>
      <c r="E1853" t="s">
        <v>40</v>
      </c>
      <c r="G1853" s="4">
        <v>43946.66162037037</v>
      </c>
      <c r="H1853" s="4">
        <v>43946.661736111111</v>
      </c>
      <c r="I1853" t="s">
        <v>300</v>
      </c>
      <c r="J1853" s="5">
        <v>10.00000000000000000000000000000000000002</v>
      </c>
      <c r="K1853" t="s">
        <v>196</v>
      </c>
      <c r="M1853">
        <v>59458</v>
      </c>
      <c r="N1853" t="s">
        <v>366</v>
      </c>
      <c r="O1853" t="s">
        <v>367</v>
      </c>
      <c r="P1853" t="s">
        <v>38</v>
      </c>
      <c r="Q1853" t="s">
        <v>50</v>
      </c>
      <c r="R1853">
        <v>0</v>
      </c>
      <c r="S1853" t="s">
        <v>45</v>
      </c>
      <c r="T1853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3">
        <v>59459</v>
      </c>
      <c r="V1853" t="s">
        <v>38</v>
      </c>
      <c r="W1853" t="s">
        <v>50</v>
      </c>
      <c r="X1853">
        <v>0</v>
      </c>
      <c r="Y1853">
        <v>0</v>
      </c>
      <c r="Z1853" t="s">
        <v>46</v>
      </c>
      <c r="AA1853">
        <v>59460</v>
      </c>
      <c r="AB1853" t="s">
        <v>1653</v>
      </c>
      <c r="AC1853" t="s">
        <v>97</v>
      </c>
      <c r="AD1853" t="s">
        <v>38</v>
      </c>
      <c r="AE1853" t="s">
        <v>49</v>
      </c>
      <c r="AF1853" t="s">
        <v>50</v>
      </c>
      <c r="AG1853">
        <v>0</v>
      </c>
      <c r="AH1853">
        <v>0</v>
      </c>
      <c r="AI1853" t="s">
        <v>51</v>
      </c>
      <c r="AJ1853" t="s">
        <v>51</v>
      </c>
      <c r="AK1853" t="s">
        <v>51</v>
      </c>
    </row>
    <row r="1854" spans="1:37" x14ac:dyDescent="0.2">
      <c r="A1854">
        <v>59398</v>
      </c>
      <c r="B1854" t="s">
        <v>37</v>
      </c>
      <c r="C1854" t="s">
        <v>196</v>
      </c>
      <c r="D1854" t="s">
        <v>361</v>
      </c>
      <c r="E1854" t="s">
        <v>40</v>
      </c>
      <c r="G1854" s="4">
        <v>43946.66162037037</v>
      </c>
      <c r="H1854" s="4">
        <v>43946.661736111111</v>
      </c>
      <c r="I1854" t="s">
        <v>300</v>
      </c>
      <c r="J1854" s="5">
        <v>10.00000000000000000000000000000000000002</v>
      </c>
      <c r="K1854" t="s">
        <v>196</v>
      </c>
      <c r="M1854">
        <v>59456</v>
      </c>
      <c r="N1854" t="s">
        <v>369</v>
      </c>
      <c r="O1854" t="s">
        <v>345</v>
      </c>
      <c r="P1854" t="s">
        <v>196</v>
      </c>
      <c r="Q1854" t="s">
        <v>50</v>
      </c>
      <c r="R1854">
        <v>0</v>
      </c>
      <c r="S1854" t="s">
        <v>370</v>
      </c>
      <c r="T1854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4">
        <v>59457</v>
      </c>
      <c r="V1854" t="s">
        <v>196</v>
      </c>
      <c r="W1854" t="s">
        <v>50</v>
      </c>
      <c r="X1854">
        <v>0</v>
      </c>
      <c r="Y1854">
        <v>0</v>
      </c>
      <c r="Z1854" t="s">
        <v>1654</v>
      </c>
    </row>
    <row r="1855" spans="1:37" x14ac:dyDescent="0.2">
      <c r="A1855">
        <v>59398</v>
      </c>
      <c r="B1855" t="s">
        <v>37</v>
      </c>
      <c r="C1855" t="s">
        <v>196</v>
      </c>
      <c r="D1855" t="s">
        <v>361</v>
      </c>
      <c r="E1855" t="s">
        <v>40</v>
      </c>
      <c r="G1855" s="4">
        <v>43946.66162037037</v>
      </c>
      <c r="H1855" s="4">
        <v>43946.661736111111</v>
      </c>
      <c r="I1855" t="s">
        <v>300</v>
      </c>
      <c r="J1855" s="5">
        <v>10.00000000000000000000000000000000000002</v>
      </c>
      <c r="K1855" t="s">
        <v>196</v>
      </c>
      <c r="M1855">
        <v>59447</v>
      </c>
      <c r="N1855" t="s">
        <v>372</v>
      </c>
      <c r="O1855" t="s">
        <v>373</v>
      </c>
      <c r="P1855" t="s">
        <v>38</v>
      </c>
      <c r="Q1855" t="s">
        <v>50</v>
      </c>
      <c r="R1855">
        <v>.9999999999999999999999999999999999999996</v>
      </c>
      <c r="S1855" t="s">
        <v>45</v>
      </c>
      <c r="T1855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5">
        <v>59448</v>
      </c>
      <c r="V1855" t="s">
        <v>38</v>
      </c>
      <c r="W1855" t="s">
        <v>50</v>
      </c>
      <c r="X1855">
        <v>.9999999999999999999999999999999999999996</v>
      </c>
      <c r="Y1855">
        <v>0</v>
      </c>
      <c r="Z1855" t="s">
        <v>46</v>
      </c>
      <c r="AA1855">
        <v>59455</v>
      </c>
      <c r="AB1855" t="s">
        <v>1655</v>
      </c>
      <c r="AC1855" t="s">
        <v>103</v>
      </c>
      <c r="AD1855" t="s">
        <v>38</v>
      </c>
      <c r="AE1855" t="s">
        <v>49</v>
      </c>
      <c r="AF1855" t="s">
        <v>50</v>
      </c>
      <c r="AG1855">
        <v>0</v>
      </c>
      <c r="AH1855">
        <v>0</v>
      </c>
      <c r="AI1855" t="s">
        <v>51</v>
      </c>
      <c r="AJ1855" t="s">
        <v>51</v>
      </c>
      <c r="AK1855" t="s">
        <v>51</v>
      </c>
    </row>
    <row r="1856" spans="1:37" x14ac:dyDescent="0.2">
      <c r="A1856">
        <v>59398</v>
      </c>
      <c r="B1856" t="s">
        <v>37</v>
      </c>
      <c r="C1856" t="s">
        <v>196</v>
      </c>
      <c r="D1856" t="s">
        <v>361</v>
      </c>
      <c r="E1856" t="s">
        <v>40</v>
      </c>
      <c r="G1856" s="4">
        <v>43946.66162037037</v>
      </c>
      <c r="H1856" s="4">
        <v>43946.661736111111</v>
      </c>
      <c r="I1856" t="s">
        <v>300</v>
      </c>
      <c r="J1856" s="5">
        <v>10.00000000000000000000000000000000000002</v>
      </c>
      <c r="K1856" t="s">
        <v>196</v>
      </c>
      <c r="M1856">
        <v>59447</v>
      </c>
      <c r="N1856" t="s">
        <v>372</v>
      </c>
      <c r="O1856" t="s">
        <v>373</v>
      </c>
      <c r="P1856" t="s">
        <v>38</v>
      </c>
      <c r="Q1856" t="s">
        <v>50</v>
      </c>
      <c r="R1856">
        <v>.9999999999999999999999999999999999999996</v>
      </c>
      <c r="S1856" t="s">
        <v>45</v>
      </c>
      <c r="T1856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6">
        <v>59448</v>
      </c>
      <c r="V1856" t="s">
        <v>38</v>
      </c>
      <c r="W1856" t="s">
        <v>50</v>
      </c>
      <c r="X1856">
        <v>.9999999999999999999999999999999999999996</v>
      </c>
      <c r="Y1856">
        <v>0</v>
      </c>
      <c r="Z1856" t="s">
        <v>46</v>
      </c>
      <c r="AA1856">
        <v>59454</v>
      </c>
      <c r="AB1856" t="s">
        <v>1656</v>
      </c>
      <c r="AC1856" t="s">
        <v>103</v>
      </c>
      <c r="AD1856" t="s">
        <v>38</v>
      </c>
      <c r="AE1856" t="s">
        <v>49</v>
      </c>
      <c r="AF1856" t="s">
        <v>50</v>
      </c>
      <c r="AG1856">
        <v>0</v>
      </c>
      <c r="AH1856">
        <v>0</v>
      </c>
      <c r="AI1856" t="s">
        <v>51</v>
      </c>
      <c r="AJ1856" t="s">
        <v>51</v>
      </c>
      <c r="AK1856" t="s">
        <v>51</v>
      </c>
    </row>
    <row r="1857" spans="1:37" x14ac:dyDescent="0.2">
      <c r="A1857">
        <v>59398</v>
      </c>
      <c r="B1857" t="s">
        <v>37</v>
      </c>
      <c r="C1857" t="s">
        <v>196</v>
      </c>
      <c r="D1857" t="s">
        <v>361</v>
      </c>
      <c r="E1857" t="s">
        <v>40</v>
      </c>
      <c r="G1857" s="4">
        <v>43946.66162037037</v>
      </c>
      <c r="H1857" s="4">
        <v>43946.661736111111</v>
      </c>
      <c r="I1857" t="s">
        <v>300</v>
      </c>
      <c r="J1857" s="5">
        <v>10.00000000000000000000000000000000000002</v>
      </c>
      <c r="K1857" t="s">
        <v>196</v>
      </c>
      <c r="M1857">
        <v>59447</v>
      </c>
      <c r="N1857" t="s">
        <v>372</v>
      </c>
      <c r="O1857" t="s">
        <v>373</v>
      </c>
      <c r="P1857" t="s">
        <v>38</v>
      </c>
      <c r="Q1857" t="s">
        <v>50</v>
      </c>
      <c r="R1857">
        <v>.9999999999999999999999999999999999999996</v>
      </c>
      <c r="S1857" t="s">
        <v>45</v>
      </c>
      <c r="T1857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7">
        <v>59448</v>
      </c>
      <c r="V1857" t="s">
        <v>38</v>
      </c>
      <c r="W1857" t="s">
        <v>50</v>
      </c>
      <c r="X1857">
        <v>.9999999999999999999999999999999999999996</v>
      </c>
      <c r="Y1857">
        <v>0</v>
      </c>
      <c r="Z1857" t="s">
        <v>46</v>
      </c>
      <c r="AA1857">
        <v>59453</v>
      </c>
      <c r="AB1857" t="s">
        <v>1657</v>
      </c>
      <c r="AC1857" t="s">
        <v>103</v>
      </c>
      <c r="AD1857" t="s">
        <v>38</v>
      </c>
      <c r="AE1857" t="s">
        <v>49</v>
      </c>
      <c r="AF1857" t="s">
        <v>50</v>
      </c>
      <c r="AG1857">
        <v>0</v>
      </c>
      <c r="AH1857">
        <v>0</v>
      </c>
      <c r="AI1857" t="s">
        <v>51</v>
      </c>
      <c r="AJ1857" t="s">
        <v>51</v>
      </c>
      <c r="AK1857" t="s">
        <v>51</v>
      </c>
    </row>
    <row r="1858" spans="1:37" x14ac:dyDescent="0.2">
      <c r="A1858">
        <v>59398</v>
      </c>
      <c r="B1858" t="s">
        <v>37</v>
      </c>
      <c r="C1858" t="s">
        <v>196</v>
      </c>
      <c r="D1858" t="s">
        <v>361</v>
      </c>
      <c r="E1858" t="s">
        <v>40</v>
      </c>
      <c r="G1858" s="4">
        <v>43946.66162037037</v>
      </c>
      <c r="H1858" s="4">
        <v>43946.661736111111</v>
      </c>
      <c r="I1858" t="s">
        <v>300</v>
      </c>
      <c r="J1858" s="5">
        <v>10.00000000000000000000000000000000000002</v>
      </c>
      <c r="K1858" t="s">
        <v>196</v>
      </c>
      <c r="M1858">
        <v>59447</v>
      </c>
      <c r="N1858" t="s">
        <v>372</v>
      </c>
      <c r="O1858" t="s">
        <v>373</v>
      </c>
      <c r="P1858" t="s">
        <v>38</v>
      </c>
      <c r="Q1858" t="s">
        <v>50</v>
      </c>
      <c r="R1858">
        <v>.9999999999999999999999999999999999999996</v>
      </c>
      <c r="S1858" t="s">
        <v>45</v>
      </c>
      <c r="T1858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8">
        <v>59448</v>
      </c>
      <c r="V1858" t="s">
        <v>38</v>
      </c>
      <c r="W1858" t="s">
        <v>50</v>
      </c>
      <c r="X1858">
        <v>.9999999999999999999999999999999999999996</v>
      </c>
      <c r="Y1858">
        <v>0</v>
      </c>
      <c r="Z1858" t="s">
        <v>46</v>
      </c>
      <c r="AA1858">
        <v>59452</v>
      </c>
      <c r="AB1858" t="s">
        <v>1658</v>
      </c>
      <c r="AC1858" t="s">
        <v>103</v>
      </c>
      <c r="AD1858" t="s">
        <v>38</v>
      </c>
      <c r="AE1858" t="s">
        <v>49</v>
      </c>
      <c r="AF1858" t="s">
        <v>50</v>
      </c>
      <c r="AG1858">
        <v>0</v>
      </c>
      <c r="AH1858">
        <v>0</v>
      </c>
      <c r="AI1858" t="s">
        <v>51</v>
      </c>
      <c r="AJ1858" t="s">
        <v>51</v>
      </c>
      <c r="AK1858" t="s">
        <v>51</v>
      </c>
    </row>
    <row r="1859" spans="1:37" x14ac:dyDescent="0.2">
      <c r="A1859">
        <v>59398</v>
      </c>
      <c r="B1859" t="s">
        <v>37</v>
      </c>
      <c r="C1859" t="s">
        <v>196</v>
      </c>
      <c r="D1859" t="s">
        <v>361</v>
      </c>
      <c r="E1859" t="s">
        <v>40</v>
      </c>
      <c r="G1859" s="4">
        <v>43946.66162037037</v>
      </c>
      <c r="H1859" s="4">
        <v>43946.661736111111</v>
      </c>
      <c r="I1859" t="s">
        <v>300</v>
      </c>
      <c r="J1859" s="5">
        <v>10.00000000000000000000000000000000000002</v>
      </c>
      <c r="K1859" t="s">
        <v>196</v>
      </c>
      <c r="M1859">
        <v>59447</v>
      </c>
      <c r="N1859" t="s">
        <v>372</v>
      </c>
      <c r="O1859" t="s">
        <v>373</v>
      </c>
      <c r="P1859" t="s">
        <v>38</v>
      </c>
      <c r="Q1859" t="s">
        <v>50</v>
      </c>
      <c r="R1859">
        <v>.9999999999999999999999999999999999999996</v>
      </c>
      <c r="S1859" t="s">
        <v>45</v>
      </c>
      <c r="T1859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59">
        <v>59448</v>
      </c>
      <c r="V1859" t="s">
        <v>38</v>
      </c>
      <c r="W1859" t="s">
        <v>50</v>
      </c>
      <c r="X1859">
        <v>.9999999999999999999999999999999999999996</v>
      </c>
      <c r="Y1859">
        <v>0</v>
      </c>
      <c r="Z1859" t="s">
        <v>46</v>
      </c>
      <c r="AA1859">
        <v>59451</v>
      </c>
      <c r="AB1859" t="s">
        <v>1659</v>
      </c>
      <c r="AC1859" t="s">
        <v>103</v>
      </c>
      <c r="AD1859" t="s">
        <v>38</v>
      </c>
      <c r="AE1859" t="s">
        <v>49</v>
      </c>
      <c r="AF1859" t="s">
        <v>50</v>
      </c>
      <c r="AG1859">
        <v>0</v>
      </c>
      <c r="AH1859">
        <v>0</v>
      </c>
      <c r="AI1859" t="s">
        <v>51</v>
      </c>
      <c r="AJ1859" t="s">
        <v>51</v>
      </c>
      <c r="AK1859" t="s">
        <v>51</v>
      </c>
    </row>
    <row r="1860" spans="1:37" x14ac:dyDescent="0.2">
      <c r="A1860">
        <v>59398</v>
      </c>
      <c r="B1860" t="s">
        <v>37</v>
      </c>
      <c r="C1860" t="s">
        <v>196</v>
      </c>
      <c r="D1860" t="s">
        <v>361</v>
      </c>
      <c r="E1860" t="s">
        <v>40</v>
      </c>
      <c r="G1860" s="4">
        <v>43946.66162037037</v>
      </c>
      <c r="H1860" s="4">
        <v>43946.661736111111</v>
      </c>
      <c r="I1860" t="s">
        <v>300</v>
      </c>
      <c r="J1860" s="5">
        <v>10.00000000000000000000000000000000000002</v>
      </c>
      <c r="K1860" t="s">
        <v>196</v>
      </c>
      <c r="M1860">
        <v>59447</v>
      </c>
      <c r="N1860" t="s">
        <v>372</v>
      </c>
      <c r="O1860" t="s">
        <v>373</v>
      </c>
      <c r="P1860" t="s">
        <v>38</v>
      </c>
      <c r="Q1860" t="s">
        <v>50</v>
      </c>
      <c r="R1860">
        <v>.9999999999999999999999999999999999999996</v>
      </c>
      <c r="S1860" t="s">
        <v>45</v>
      </c>
      <c r="T1860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0">
        <v>59448</v>
      </c>
      <c r="V1860" t="s">
        <v>38</v>
      </c>
      <c r="W1860" t="s">
        <v>50</v>
      </c>
      <c r="X1860">
        <v>.9999999999999999999999999999999999999996</v>
      </c>
      <c r="Y1860">
        <v>0</v>
      </c>
      <c r="Z1860" t="s">
        <v>46</v>
      </c>
      <c r="AA1860">
        <v>59450</v>
      </c>
      <c r="AB1860" t="s">
        <v>1660</v>
      </c>
      <c r="AC1860" t="s">
        <v>103</v>
      </c>
      <c r="AD1860" t="s">
        <v>38</v>
      </c>
      <c r="AE1860" t="s">
        <v>49</v>
      </c>
      <c r="AF1860" t="s">
        <v>50</v>
      </c>
      <c r="AG1860">
        <v>0</v>
      </c>
      <c r="AH1860">
        <v>0</v>
      </c>
      <c r="AI1860" t="s">
        <v>51</v>
      </c>
      <c r="AJ1860" t="s">
        <v>51</v>
      </c>
      <c r="AK1860" t="s">
        <v>51</v>
      </c>
    </row>
    <row r="1861" spans="1:37" x14ac:dyDescent="0.2">
      <c r="A1861">
        <v>59398</v>
      </c>
      <c r="B1861" t="s">
        <v>37</v>
      </c>
      <c r="C1861" t="s">
        <v>196</v>
      </c>
      <c r="D1861" t="s">
        <v>361</v>
      </c>
      <c r="E1861" t="s">
        <v>40</v>
      </c>
      <c r="G1861" s="4">
        <v>43946.66162037037</v>
      </c>
      <c r="H1861" s="4">
        <v>43946.661736111111</v>
      </c>
      <c r="I1861" t="s">
        <v>300</v>
      </c>
      <c r="J1861" s="5">
        <v>10.00000000000000000000000000000000000002</v>
      </c>
      <c r="K1861" t="s">
        <v>196</v>
      </c>
      <c r="M1861">
        <v>59433</v>
      </c>
      <c r="N1861" t="s">
        <v>380</v>
      </c>
      <c r="O1861" t="s">
        <v>381</v>
      </c>
      <c r="P1861" t="s">
        <v>38</v>
      </c>
      <c r="Q1861" t="s">
        <v>50</v>
      </c>
      <c r="R1861">
        <v>0</v>
      </c>
      <c r="S1861" t="s">
        <v>45</v>
      </c>
      <c r="T1861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1">
        <v>59434</v>
      </c>
      <c r="V1861" t="s">
        <v>38</v>
      </c>
      <c r="W1861" t="s">
        <v>50</v>
      </c>
      <c r="X1861">
        <v>0</v>
      </c>
      <c r="Y1861">
        <v>0</v>
      </c>
      <c r="Z1861" t="s">
        <v>46</v>
      </c>
      <c r="AA1861">
        <v>59446</v>
      </c>
      <c r="AB1861" t="s">
        <v>1661</v>
      </c>
      <c r="AC1861" t="s">
        <v>103</v>
      </c>
      <c r="AD1861" t="s">
        <v>38</v>
      </c>
      <c r="AE1861" t="s">
        <v>49</v>
      </c>
      <c r="AF1861" t="s">
        <v>50</v>
      </c>
      <c r="AG1861">
        <v>0</v>
      </c>
      <c r="AH1861">
        <v>0</v>
      </c>
      <c r="AI1861" t="s">
        <v>51</v>
      </c>
      <c r="AJ1861" t="s">
        <v>51</v>
      </c>
      <c r="AK1861" t="s">
        <v>51</v>
      </c>
    </row>
    <row r="1862" spans="1:37" x14ac:dyDescent="0.2">
      <c r="A1862">
        <v>59398</v>
      </c>
      <c r="B1862" t="s">
        <v>37</v>
      </c>
      <c r="C1862" t="s">
        <v>196</v>
      </c>
      <c r="D1862" t="s">
        <v>361</v>
      </c>
      <c r="E1862" t="s">
        <v>40</v>
      </c>
      <c r="G1862" s="4">
        <v>43946.66162037037</v>
      </c>
      <c r="H1862" s="4">
        <v>43946.661736111111</v>
      </c>
      <c r="I1862" t="s">
        <v>300</v>
      </c>
      <c r="J1862" s="5">
        <v>10.00000000000000000000000000000000000002</v>
      </c>
      <c r="K1862" t="s">
        <v>196</v>
      </c>
      <c r="M1862">
        <v>59433</v>
      </c>
      <c r="N1862" t="s">
        <v>380</v>
      </c>
      <c r="O1862" t="s">
        <v>381</v>
      </c>
      <c r="P1862" t="s">
        <v>38</v>
      </c>
      <c r="Q1862" t="s">
        <v>50</v>
      </c>
      <c r="R1862">
        <v>0</v>
      </c>
      <c r="S1862" t="s">
        <v>45</v>
      </c>
      <c r="T1862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2">
        <v>59434</v>
      </c>
      <c r="V1862" t="s">
        <v>38</v>
      </c>
      <c r="W1862" t="s">
        <v>50</v>
      </c>
      <c r="X1862">
        <v>0</v>
      </c>
      <c r="Y1862">
        <v>0</v>
      </c>
      <c r="Z1862" t="s">
        <v>46</v>
      </c>
      <c r="AA1862">
        <v>59445</v>
      </c>
      <c r="AB1862" t="s">
        <v>1662</v>
      </c>
      <c r="AC1862" t="s">
        <v>103</v>
      </c>
      <c r="AD1862" t="s">
        <v>38</v>
      </c>
      <c r="AE1862" t="s">
        <v>49</v>
      </c>
      <c r="AF1862" t="s">
        <v>50</v>
      </c>
      <c r="AG1862">
        <v>0</v>
      </c>
      <c r="AH1862">
        <v>0</v>
      </c>
      <c r="AI1862" t="s">
        <v>51</v>
      </c>
      <c r="AJ1862" t="s">
        <v>51</v>
      </c>
      <c r="AK1862" t="s">
        <v>51</v>
      </c>
    </row>
    <row r="1863" spans="1:37" x14ac:dyDescent="0.2">
      <c r="A1863">
        <v>59398</v>
      </c>
      <c r="B1863" t="s">
        <v>37</v>
      </c>
      <c r="C1863" t="s">
        <v>196</v>
      </c>
      <c r="D1863" t="s">
        <v>361</v>
      </c>
      <c r="E1863" t="s">
        <v>40</v>
      </c>
      <c r="G1863" s="4">
        <v>43946.66162037037</v>
      </c>
      <c r="H1863" s="4">
        <v>43946.661736111111</v>
      </c>
      <c r="I1863" t="s">
        <v>300</v>
      </c>
      <c r="J1863" s="5">
        <v>10.00000000000000000000000000000000000002</v>
      </c>
      <c r="K1863" t="s">
        <v>196</v>
      </c>
      <c r="M1863">
        <v>59433</v>
      </c>
      <c r="N1863" t="s">
        <v>380</v>
      </c>
      <c r="O1863" t="s">
        <v>381</v>
      </c>
      <c r="P1863" t="s">
        <v>38</v>
      </c>
      <c r="Q1863" t="s">
        <v>50</v>
      </c>
      <c r="R1863">
        <v>0</v>
      </c>
      <c r="S1863" t="s">
        <v>45</v>
      </c>
      <c r="T1863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3">
        <v>59434</v>
      </c>
      <c r="V1863" t="s">
        <v>38</v>
      </c>
      <c r="W1863" t="s">
        <v>50</v>
      </c>
      <c r="X1863">
        <v>0</v>
      </c>
      <c r="Y1863">
        <v>0</v>
      </c>
      <c r="Z1863" t="s">
        <v>46</v>
      </c>
      <c r="AA1863">
        <v>59444</v>
      </c>
      <c r="AB1863" t="s">
        <v>1663</v>
      </c>
      <c r="AC1863" t="s">
        <v>103</v>
      </c>
      <c r="AD1863" t="s">
        <v>38</v>
      </c>
      <c r="AE1863" t="s">
        <v>49</v>
      </c>
      <c r="AF1863" t="s">
        <v>50</v>
      </c>
      <c r="AG1863">
        <v>0</v>
      </c>
      <c r="AH1863">
        <v>0</v>
      </c>
      <c r="AI1863" t="s">
        <v>51</v>
      </c>
      <c r="AJ1863" t="s">
        <v>51</v>
      </c>
      <c r="AK1863" t="s">
        <v>51</v>
      </c>
    </row>
    <row r="1864" spans="1:37" x14ac:dyDescent="0.2">
      <c r="A1864">
        <v>59398</v>
      </c>
      <c r="B1864" t="s">
        <v>37</v>
      </c>
      <c r="C1864" t="s">
        <v>196</v>
      </c>
      <c r="D1864" t="s">
        <v>361</v>
      </c>
      <c r="E1864" t="s">
        <v>40</v>
      </c>
      <c r="G1864" s="4">
        <v>43946.66162037037</v>
      </c>
      <c r="H1864" s="4">
        <v>43946.661736111111</v>
      </c>
      <c r="I1864" t="s">
        <v>300</v>
      </c>
      <c r="J1864" s="5">
        <v>10.00000000000000000000000000000000000002</v>
      </c>
      <c r="K1864" t="s">
        <v>196</v>
      </c>
      <c r="M1864">
        <v>59433</v>
      </c>
      <c r="N1864" t="s">
        <v>380</v>
      </c>
      <c r="O1864" t="s">
        <v>381</v>
      </c>
      <c r="P1864" t="s">
        <v>38</v>
      </c>
      <c r="Q1864" t="s">
        <v>50</v>
      </c>
      <c r="R1864">
        <v>0</v>
      </c>
      <c r="S1864" t="s">
        <v>45</v>
      </c>
      <c r="T1864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4">
        <v>59434</v>
      </c>
      <c r="V1864" t="s">
        <v>38</v>
      </c>
      <c r="W1864" t="s">
        <v>50</v>
      </c>
      <c r="X1864">
        <v>0</v>
      </c>
      <c r="Y1864">
        <v>0</v>
      </c>
      <c r="Z1864" t="s">
        <v>46</v>
      </c>
      <c r="AA1864">
        <v>59441</v>
      </c>
      <c r="AB1864" t="s">
        <v>1664</v>
      </c>
      <c r="AC1864" t="s">
        <v>103</v>
      </c>
      <c r="AD1864" t="s">
        <v>38</v>
      </c>
      <c r="AE1864" t="s">
        <v>49</v>
      </c>
      <c r="AF1864" t="s">
        <v>50</v>
      </c>
      <c r="AG1864">
        <v>0</v>
      </c>
      <c r="AH1864">
        <v>0</v>
      </c>
      <c r="AI1864" t="s">
        <v>51</v>
      </c>
      <c r="AJ1864" t="s">
        <v>51</v>
      </c>
      <c r="AK1864" t="s">
        <v>51</v>
      </c>
    </row>
    <row r="1865" spans="1:37" x14ac:dyDescent="0.2">
      <c r="A1865">
        <v>59398</v>
      </c>
      <c r="B1865" t="s">
        <v>37</v>
      </c>
      <c r="C1865" t="s">
        <v>196</v>
      </c>
      <c r="D1865" t="s">
        <v>361</v>
      </c>
      <c r="E1865" t="s">
        <v>40</v>
      </c>
      <c r="G1865" s="4">
        <v>43946.66162037037</v>
      </c>
      <c r="H1865" s="4">
        <v>43946.661736111111</v>
      </c>
      <c r="I1865" t="s">
        <v>300</v>
      </c>
      <c r="J1865" s="5">
        <v>10.00000000000000000000000000000000000002</v>
      </c>
      <c r="K1865" t="s">
        <v>196</v>
      </c>
      <c r="M1865">
        <v>59433</v>
      </c>
      <c r="N1865" t="s">
        <v>380</v>
      </c>
      <c r="O1865" t="s">
        <v>381</v>
      </c>
      <c r="P1865" t="s">
        <v>38</v>
      </c>
      <c r="Q1865" t="s">
        <v>50</v>
      </c>
      <c r="R1865">
        <v>0</v>
      </c>
      <c r="S1865" t="s">
        <v>45</v>
      </c>
      <c r="T1865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5">
        <v>59434</v>
      </c>
      <c r="V1865" t="s">
        <v>38</v>
      </c>
      <c r="W1865" t="s">
        <v>50</v>
      </c>
      <c r="X1865">
        <v>0</v>
      </c>
      <c r="Y1865">
        <v>0</v>
      </c>
      <c r="Z1865" t="s">
        <v>46</v>
      </c>
      <c r="AA1865">
        <v>59439</v>
      </c>
      <c r="AB1865" t="s">
        <v>1665</v>
      </c>
      <c r="AC1865" t="s">
        <v>103</v>
      </c>
      <c r="AD1865" t="s">
        <v>38</v>
      </c>
      <c r="AE1865" t="s">
        <v>49</v>
      </c>
      <c r="AF1865" t="s">
        <v>50</v>
      </c>
      <c r="AG1865">
        <v>0</v>
      </c>
      <c r="AH1865">
        <v>0</v>
      </c>
      <c r="AI1865" t="s">
        <v>51</v>
      </c>
      <c r="AJ1865" t="s">
        <v>51</v>
      </c>
      <c r="AK1865" t="s">
        <v>51</v>
      </c>
    </row>
    <row r="1866" spans="1:37" x14ac:dyDescent="0.2">
      <c r="A1866">
        <v>59398</v>
      </c>
      <c r="B1866" t="s">
        <v>37</v>
      </c>
      <c r="C1866" t="s">
        <v>196</v>
      </c>
      <c r="D1866" t="s">
        <v>361</v>
      </c>
      <c r="E1866" t="s">
        <v>40</v>
      </c>
      <c r="G1866" s="4">
        <v>43946.66162037037</v>
      </c>
      <c r="H1866" s="4">
        <v>43946.661736111111</v>
      </c>
      <c r="I1866" t="s">
        <v>300</v>
      </c>
      <c r="J1866" s="5">
        <v>10.00000000000000000000000000000000000002</v>
      </c>
      <c r="K1866" t="s">
        <v>196</v>
      </c>
      <c r="M1866">
        <v>59433</v>
      </c>
      <c r="N1866" t="s">
        <v>380</v>
      </c>
      <c r="O1866" t="s">
        <v>381</v>
      </c>
      <c r="P1866" t="s">
        <v>38</v>
      </c>
      <c r="Q1866" t="s">
        <v>50</v>
      </c>
      <c r="R1866">
        <v>0</v>
      </c>
      <c r="S1866" t="s">
        <v>45</v>
      </c>
      <c r="T1866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6">
        <v>59434</v>
      </c>
      <c r="V1866" t="s">
        <v>38</v>
      </c>
      <c r="W1866" t="s">
        <v>50</v>
      </c>
      <c r="X1866">
        <v>0</v>
      </c>
      <c r="Y1866">
        <v>0</v>
      </c>
      <c r="Z1866" t="s">
        <v>46</v>
      </c>
      <c r="AA1866">
        <v>59435</v>
      </c>
      <c r="AB1866" t="s">
        <v>1666</v>
      </c>
      <c r="AC1866" t="s">
        <v>103</v>
      </c>
      <c r="AD1866" t="s">
        <v>38</v>
      </c>
      <c r="AE1866" t="s">
        <v>49</v>
      </c>
      <c r="AF1866" t="s">
        <v>50</v>
      </c>
      <c r="AG1866">
        <v>0</v>
      </c>
      <c r="AH1866">
        <v>0</v>
      </c>
      <c r="AI1866" t="s">
        <v>51</v>
      </c>
      <c r="AJ1866" t="s">
        <v>51</v>
      </c>
      <c r="AK1866" t="s">
        <v>51</v>
      </c>
    </row>
    <row r="1867" spans="1:37" x14ac:dyDescent="0.2">
      <c r="A1867">
        <v>59398</v>
      </c>
      <c r="B1867" t="s">
        <v>37</v>
      </c>
      <c r="C1867" t="s">
        <v>196</v>
      </c>
      <c r="D1867" t="s">
        <v>361</v>
      </c>
      <c r="E1867" t="s">
        <v>40</v>
      </c>
      <c r="G1867" s="4">
        <v>43946.66162037037</v>
      </c>
      <c r="H1867" s="4">
        <v>43946.661736111111</v>
      </c>
      <c r="I1867" t="s">
        <v>300</v>
      </c>
      <c r="J1867" s="5">
        <v>10.00000000000000000000000000000000000002</v>
      </c>
      <c r="K1867" t="s">
        <v>196</v>
      </c>
      <c r="M1867">
        <v>59430</v>
      </c>
      <c r="N1867" t="s">
        <v>388</v>
      </c>
      <c r="O1867" t="s">
        <v>389</v>
      </c>
      <c r="P1867" t="s">
        <v>38</v>
      </c>
      <c r="Q1867" t="s">
        <v>50</v>
      </c>
      <c r="R1867">
        <v>0</v>
      </c>
      <c r="S1867" t="s">
        <v>45</v>
      </c>
      <c r="T1867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7">
        <v>59431</v>
      </c>
      <c r="V1867" t="s">
        <v>38</v>
      </c>
      <c r="W1867" t="s">
        <v>50</v>
      </c>
      <c r="X1867">
        <v>0</v>
      </c>
      <c r="Y1867">
        <v>0</v>
      </c>
      <c r="Z1867" t="s">
        <v>46</v>
      </c>
      <c r="AA1867">
        <v>59432</v>
      </c>
      <c r="AB1867" t="s">
        <v>1667</v>
      </c>
      <c r="AC1867" t="s">
        <v>97</v>
      </c>
      <c r="AD1867" t="s">
        <v>38</v>
      </c>
      <c r="AE1867" t="s">
        <v>49</v>
      </c>
      <c r="AF1867" t="s">
        <v>50</v>
      </c>
      <c r="AG1867">
        <v>0</v>
      </c>
      <c r="AH1867">
        <v>0</v>
      </c>
      <c r="AI1867" t="s">
        <v>51</v>
      </c>
      <c r="AJ1867" t="s">
        <v>51</v>
      </c>
      <c r="AK1867" t="s">
        <v>51</v>
      </c>
    </row>
    <row r="1868" spans="1:37" x14ac:dyDescent="0.2">
      <c r="A1868">
        <v>59398</v>
      </c>
      <c r="B1868" t="s">
        <v>37</v>
      </c>
      <c r="C1868" t="s">
        <v>196</v>
      </c>
      <c r="D1868" t="s">
        <v>361</v>
      </c>
      <c r="E1868" t="s">
        <v>40</v>
      </c>
      <c r="G1868" s="4">
        <v>43946.66162037037</v>
      </c>
      <c r="H1868" s="4">
        <v>43946.661736111111</v>
      </c>
      <c r="I1868" t="s">
        <v>300</v>
      </c>
      <c r="J1868" s="5">
        <v>10.00000000000000000000000000000000000002</v>
      </c>
      <c r="K1868" t="s">
        <v>196</v>
      </c>
      <c r="M1868">
        <v>59427</v>
      </c>
      <c r="N1868" t="s">
        <v>391</v>
      </c>
      <c r="O1868" t="s">
        <v>392</v>
      </c>
      <c r="P1868" t="s">
        <v>196</v>
      </c>
      <c r="Q1868" t="s">
        <v>88</v>
      </c>
      <c r="R1868">
        <v>2</v>
      </c>
      <c r="S1868" t="s">
        <v>393</v>
      </c>
      <c r="T1868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8">
        <v>59429</v>
      </c>
      <c r="V1868" t="s">
        <v>196</v>
      </c>
      <c r="W1868" t="s">
        <v>50</v>
      </c>
      <c r="X1868">
        <v>0</v>
      </c>
      <c r="Y1868">
        <v>0</v>
      </c>
      <c r="Z1868" t="s">
        <v>1668</v>
      </c>
    </row>
    <row r="1869" spans="1:37" x14ac:dyDescent="0.2">
      <c r="A1869">
        <v>59398</v>
      </c>
      <c r="B1869" t="s">
        <v>37</v>
      </c>
      <c r="C1869" t="s">
        <v>196</v>
      </c>
      <c r="D1869" t="s">
        <v>361</v>
      </c>
      <c r="E1869" t="s">
        <v>40</v>
      </c>
      <c r="G1869" s="4">
        <v>43946.66162037037</v>
      </c>
      <c r="H1869" s="4">
        <v>43946.661736111111</v>
      </c>
      <c r="I1869" t="s">
        <v>300</v>
      </c>
      <c r="J1869" s="5">
        <v>10.00000000000000000000000000000000000002</v>
      </c>
      <c r="K1869" t="s">
        <v>196</v>
      </c>
      <c r="M1869">
        <v>59420</v>
      </c>
      <c r="N1869" t="s">
        <v>395</v>
      </c>
      <c r="O1869" t="s">
        <v>396</v>
      </c>
      <c r="P1869" t="s">
        <v>38</v>
      </c>
      <c r="Q1869" t="s">
        <v>50</v>
      </c>
      <c r="R1869">
        <v>.9999999999999999999999999999999999999996</v>
      </c>
      <c r="S1869" t="s">
        <v>45</v>
      </c>
      <c r="T1869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69">
        <v>59421</v>
      </c>
      <c r="V1869" t="s">
        <v>38</v>
      </c>
      <c r="W1869" t="s">
        <v>50</v>
      </c>
      <c r="X1869">
        <v>.9999999999999999999999999999999999999996</v>
      </c>
      <c r="Y1869">
        <v>0</v>
      </c>
      <c r="Z1869" t="s">
        <v>46</v>
      </c>
      <c r="AA1869">
        <v>59422</v>
      </c>
      <c r="AB1869" t="s">
        <v>1439</v>
      </c>
      <c r="AC1869" t="s">
        <v>97</v>
      </c>
      <c r="AD1869" t="s">
        <v>38</v>
      </c>
      <c r="AE1869" t="s">
        <v>49</v>
      </c>
      <c r="AF1869" t="s">
        <v>50</v>
      </c>
      <c r="AG1869">
        <v>0</v>
      </c>
      <c r="AH1869">
        <v>0</v>
      </c>
      <c r="AI1869" t="s">
        <v>51</v>
      </c>
      <c r="AJ1869" t="s">
        <v>51</v>
      </c>
      <c r="AK1869" t="s">
        <v>51</v>
      </c>
    </row>
    <row r="1870" spans="1:37" x14ac:dyDescent="0.2">
      <c r="A1870">
        <v>59398</v>
      </c>
      <c r="B1870" t="s">
        <v>37</v>
      </c>
      <c r="C1870" t="s">
        <v>196</v>
      </c>
      <c r="D1870" t="s">
        <v>361</v>
      </c>
      <c r="E1870" t="s">
        <v>40</v>
      </c>
      <c r="G1870" s="4">
        <v>43946.66162037037</v>
      </c>
      <c r="H1870" s="4">
        <v>43946.661736111111</v>
      </c>
      <c r="I1870" t="s">
        <v>300</v>
      </c>
      <c r="J1870" s="5">
        <v>10.00000000000000000000000000000000000002</v>
      </c>
      <c r="K1870" t="s">
        <v>196</v>
      </c>
      <c r="M1870">
        <v>59417</v>
      </c>
      <c r="N1870" t="s">
        <v>398</v>
      </c>
      <c r="O1870" t="s">
        <v>399</v>
      </c>
      <c r="P1870" t="s">
        <v>38</v>
      </c>
      <c r="Q1870" t="s">
        <v>50</v>
      </c>
      <c r="R1870">
        <v>.9999999999999999999999999999999999999996</v>
      </c>
      <c r="S1870" t="s">
        <v>45</v>
      </c>
      <c r="T1870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0">
        <v>59418</v>
      </c>
      <c r="V1870" t="s">
        <v>38</v>
      </c>
      <c r="W1870" t="s">
        <v>50</v>
      </c>
      <c r="X1870">
        <v>.9999999999999999999999999999999999999996</v>
      </c>
      <c r="Y1870">
        <v>0</v>
      </c>
      <c r="Z1870" t="s">
        <v>46</v>
      </c>
      <c r="AA1870">
        <v>59419</v>
      </c>
      <c r="AB1870" t="s">
        <v>1440</v>
      </c>
      <c r="AC1870" t="s">
        <v>97</v>
      </c>
      <c r="AD1870" t="s">
        <v>38</v>
      </c>
      <c r="AE1870" t="s">
        <v>49</v>
      </c>
      <c r="AF1870" t="s">
        <v>50</v>
      </c>
      <c r="AG1870">
        <v>0</v>
      </c>
      <c r="AH1870">
        <v>0</v>
      </c>
      <c r="AI1870" t="s">
        <v>51</v>
      </c>
      <c r="AJ1870" t="s">
        <v>51</v>
      </c>
      <c r="AK1870" t="s">
        <v>51</v>
      </c>
    </row>
    <row r="1871" spans="1:37" x14ac:dyDescent="0.2">
      <c r="A1871">
        <v>59398</v>
      </c>
      <c r="B1871" t="s">
        <v>37</v>
      </c>
      <c r="C1871" t="s">
        <v>196</v>
      </c>
      <c r="D1871" t="s">
        <v>361</v>
      </c>
      <c r="E1871" t="s">
        <v>40</v>
      </c>
      <c r="G1871" s="4">
        <v>43946.66162037037</v>
      </c>
      <c r="H1871" s="4">
        <v>43946.661736111111</v>
      </c>
      <c r="I1871" t="s">
        <v>300</v>
      </c>
      <c r="J1871" s="5">
        <v>10.00000000000000000000000000000000000002</v>
      </c>
      <c r="K1871" t="s">
        <v>196</v>
      </c>
      <c r="M1871">
        <v>59410</v>
      </c>
      <c r="N1871" t="s">
        <v>401</v>
      </c>
      <c r="O1871" t="s">
        <v>402</v>
      </c>
      <c r="P1871" t="s">
        <v>38</v>
      </c>
      <c r="Q1871" t="s">
        <v>50</v>
      </c>
      <c r="R1871">
        <v>0</v>
      </c>
      <c r="S1871" t="s">
        <v>45</v>
      </c>
      <c r="T1871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1">
        <v>59411</v>
      </c>
      <c r="V1871" t="s">
        <v>38</v>
      </c>
      <c r="W1871" t="s">
        <v>50</v>
      </c>
      <c r="X1871">
        <v>0</v>
      </c>
      <c r="Y1871">
        <v>0</v>
      </c>
      <c r="Z1871" t="s">
        <v>46</v>
      </c>
      <c r="AA1871">
        <v>59416</v>
      </c>
      <c r="AB1871" t="s">
        <v>1669</v>
      </c>
      <c r="AC1871" t="s">
        <v>103</v>
      </c>
      <c r="AD1871" t="s">
        <v>38</v>
      </c>
      <c r="AE1871" t="s">
        <v>49</v>
      </c>
      <c r="AF1871" t="s">
        <v>50</v>
      </c>
      <c r="AG1871">
        <v>0</v>
      </c>
      <c r="AH1871">
        <v>0</v>
      </c>
      <c r="AI1871" t="s">
        <v>51</v>
      </c>
      <c r="AJ1871" t="s">
        <v>51</v>
      </c>
      <c r="AK1871" t="s">
        <v>51</v>
      </c>
    </row>
    <row r="1872" spans="1:37" x14ac:dyDescent="0.2">
      <c r="A1872">
        <v>59398</v>
      </c>
      <c r="B1872" t="s">
        <v>37</v>
      </c>
      <c r="C1872" t="s">
        <v>196</v>
      </c>
      <c r="D1872" t="s">
        <v>361</v>
      </c>
      <c r="E1872" t="s">
        <v>40</v>
      </c>
      <c r="G1872" s="4">
        <v>43946.66162037037</v>
      </c>
      <c r="H1872" s="4">
        <v>43946.661736111111</v>
      </c>
      <c r="I1872" t="s">
        <v>300</v>
      </c>
      <c r="J1872" s="5">
        <v>10.00000000000000000000000000000000000002</v>
      </c>
      <c r="K1872" t="s">
        <v>196</v>
      </c>
      <c r="M1872">
        <v>59410</v>
      </c>
      <c r="N1872" t="s">
        <v>401</v>
      </c>
      <c r="O1872" t="s">
        <v>402</v>
      </c>
      <c r="P1872" t="s">
        <v>38</v>
      </c>
      <c r="Q1872" t="s">
        <v>50</v>
      </c>
      <c r="R1872">
        <v>0</v>
      </c>
      <c r="S1872" t="s">
        <v>45</v>
      </c>
      <c r="T1872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2">
        <v>59411</v>
      </c>
      <c r="V1872" t="s">
        <v>38</v>
      </c>
      <c r="W1872" t="s">
        <v>50</v>
      </c>
      <c r="X1872">
        <v>0</v>
      </c>
      <c r="Y1872">
        <v>0</v>
      </c>
      <c r="Z1872" t="s">
        <v>46</v>
      </c>
      <c r="AA1872">
        <v>59415</v>
      </c>
      <c r="AB1872" t="s">
        <v>1670</v>
      </c>
      <c r="AC1872" t="s">
        <v>103</v>
      </c>
      <c r="AD1872" t="s">
        <v>38</v>
      </c>
      <c r="AE1872" t="s">
        <v>49</v>
      </c>
      <c r="AF1872" t="s">
        <v>50</v>
      </c>
      <c r="AG1872">
        <v>0</v>
      </c>
      <c r="AH1872">
        <v>0</v>
      </c>
      <c r="AI1872" t="s">
        <v>51</v>
      </c>
      <c r="AJ1872" t="s">
        <v>51</v>
      </c>
      <c r="AK1872" t="s">
        <v>51</v>
      </c>
    </row>
    <row r="1873" spans="1:37" x14ac:dyDescent="0.2">
      <c r="A1873">
        <v>59398</v>
      </c>
      <c r="B1873" t="s">
        <v>37</v>
      </c>
      <c r="C1873" t="s">
        <v>196</v>
      </c>
      <c r="D1873" t="s">
        <v>361</v>
      </c>
      <c r="E1873" t="s">
        <v>40</v>
      </c>
      <c r="G1873" s="4">
        <v>43946.66162037037</v>
      </c>
      <c r="H1873" s="4">
        <v>43946.661736111111</v>
      </c>
      <c r="I1873" t="s">
        <v>300</v>
      </c>
      <c r="J1873" s="5">
        <v>10.00000000000000000000000000000000000002</v>
      </c>
      <c r="K1873" t="s">
        <v>196</v>
      </c>
      <c r="M1873">
        <v>59410</v>
      </c>
      <c r="N1873" t="s">
        <v>401</v>
      </c>
      <c r="O1873" t="s">
        <v>402</v>
      </c>
      <c r="P1873" t="s">
        <v>38</v>
      </c>
      <c r="Q1873" t="s">
        <v>50</v>
      </c>
      <c r="R1873">
        <v>0</v>
      </c>
      <c r="S1873" t="s">
        <v>45</v>
      </c>
      <c r="T1873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3">
        <v>59411</v>
      </c>
      <c r="V1873" t="s">
        <v>38</v>
      </c>
      <c r="W1873" t="s">
        <v>50</v>
      </c>
      <c r="X1873">
        <v>0</v>
      </c>
      <c r="Y1873">
        <v>0</v>
      </c>
      <c r="Z1873" t="s">
        <v>46</v>
      </c>
      <c r="AA1873">
        <v>59414</v>
      </c>
      <c r="AB1873" t="s">
        <v>1671</v>
      </c>
      <c r="AC1873" t="s">
        <v>103</v>
      </c>
      <c r="AD1873" t="s">
        <v>38</v>
      </c>
      <c r="AE1873" t="s">
        <v>49</v>
      </c>
      <c r="AF1873" t="s">
        <v>50</v>
      </c>
      <c r="AG1873">
        <v>0</v>
      </c>
      <c r="AH1873">
        <v>0</v>
      </c>
      <c r="AI1873" t="s">
        <v>51</v>
      </c>
      <c r="AJ1873" t="s">
        <v>51</v>
      </c>
      <c r="AK1873" t="s">
        <v>51</v>
      </c>
    </row>
    <row r="1874" spans="1:37" x14ac:dyDescent="0.2">
      <c r="A1874">
        <v>59398</v>
      </c>
      <c r="B1874" t="s">
        <v>37</v>
      </c>
      <c r="C1874" t="s">
        <v>196</v>
      </c>
      <c r="D1874" t="s">
        <v>361</v>
      </c>
      <c r="E1874" t="s">
        <v>40</v>
      </c>
      <c r="G1874" s="4">
        <v>43946.66162037037</v>
      </c>
      <c r="H1874" s="4">
        <v>43946.661736111111</v>
      </c>
      <c r="I1874" t="s">
        <v>300</v>
      </c>
      <c r="J1874" s="5">
        <v>10.00000000000000000000000000000000000002</v>
      </c>
      <c r="K1874" t="s">
        <v>196</v>
      </c>
      <c r="M1874">
        <v>59410</v>
      </c>
      <c r="N1874" t="s">
        <v>401</v>
      </c>
      <c r="O1874" t="s">
        <v>402</v>
      </c>
      <c r="P1874" t="s">
        <v>38</v>
      </c>
      <c r="Q1874" t="s">
        <v>50</v>
      </c>
      <c r="R1874">
        <v>0</v>
      </c>
      <c r="S1874" t="s">
        <v>45</v>
      </c>
      <c r="T1874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4">
        <v>59411</v>
      </c>
      <c r="V1874" t="s">
        <v>38</v>
      </c>
      <c r="W1874" t="s">
        <v>50</v>
      </c>
      <c r="X1874">
        <v>0</v>
      </c>
      <c r="Y1874">
        <v>0</v>
      </c>
      <c r="Z1874" t="s">
        <v>46</v>
      </c>
      <c r="AA1874">
        <v>59413</v>
      </c>
      <c r="AB1874" t="s">
        <v>1672</v>
      </c>
      <c r="AC1874" t="s">
        <v>103</v>
      </c>
      <c r="AD1874" t="s">
        <v>38</v>
      </c>
      <c r="AE1874" t="s">
        <v>49</v>
      </c>
      <c r="AF1874" t="s">
        <v>50</v>
      </c>
      <c r="AG1874">
        <v>0</v>
      </c>
      <c r="AH1874">
        <v>0</v>
      </c>
      <c r="AI1874" t="s">
        <v>51</v>
      </c>
      <c r="AJ1874" t="s">
        <v>51</v>
      </c>
      <c r="AK1874" t="s">
        <v>51</v>
      </c>
    </row>
    <row r="1875" spans="1:37" x14ac:dyDescent="0.2">
      <c r="A1875">
        <v>59398</v>
      </c>
      <c r="B1875" t="s">
        <v>37</v>
      </c>
      <c r="C1875" t="s">
        <v>196</v>
      </c>
      <c r="D1875" t="s">
        <v>361</v>
      </c>
      <c r="E1875" t="s">
        <v>40</v>
      </c>
      <c r="G1875" s="4">
        <v>43946.66162037037</v>
      </c>
      <c r="H1875" s="4">
        <v>43946.661736111111</v>
      </c>
      <c r="I1875" t="s">
        <v>300</v>
      </c>
      <c r="J1875" s="5">
        <v>10.00000000000000000000000000000000000002</v>
      </c>
      <c r="K1875" t="s">
        <v>196</v>
      </c>
      <c r="M1875">
        <v>59410</v>
      </c>
      <c r="N1875" t="s">
        <v>401</v>
      </c>
      <c r="O1875" t="s">
        <v>402</v>
      </c>
      <c r="P1875" t="s">
        <v>38</v>
      </c>
      <c r="Q1875" t="s">
        <v>50</v>
      </c>
      <c r="R1875">
        <v>0</v>
      </c>
      <c r="S1875" t="s">
        <v>45</v>
      </c>
      <c r="T1875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5">
        <v>59411</v>
      </c>
      <c r="V1875" t="s">
        <v>38</v>
      </c>
      <c r="W1875" t="s">
        <v>50</v>
      </c>
      <c r="X1875">
        <v>0</v>
      </c>
      <c r="Y1875">
        <v>0</v>
      </c>
      <c r="Z1875" t="s">
        <v>46</v>
      </c>
      <c r="AA1875">
        <v>59412</v>
      </c>
      <c r="AB1875" t="s">
        <v>1673</v>
      </c>
      <c r="AC1875" t="s">
        <v>103</v>
      </c>
      <c r="AD1875" t="s">
        <v>38</v>
      </c>
      <c r="AE1875" t="s">
        <v>49</v>
      </c>
      <c r="AF1875" t="s">
        <v>50</v>
      </c>
      <c r="AG1875">
        <v>0</v>
      </c>
      <c r="AH1875">
        <v>0</v>
      </c>
      <c r="AI1875" t="s">
        <v>51</v>
      </c>
      <c r="AJ1875" t="s">
        <v>51</v>
      </c>
      <c r="AK1875" t="s">
        <v>51</v>
      </c>
    </row>
    <row r="1876" spans="1:37" x14ac:dyDescent="0.2">
      <c r="A1876">
        <v>59398</v>
      </c>
      <c r="B1876" t="s">
        <v>37</v>
      </c>
      <c r="C1876" t="s">
        <v>196</v>
      </c>
      <c r="D1876" t="s">
        <v>361</v>
      </c>
      <c r="E1876" t="s">
        <v>40</v>
      </c>
      <c r="G1876" s="4">
        <v>43946.66162037037</v>
      </c>
      <c r="H1876" s="4">
        <v>43946.661736111111</v>
      </c>
      <c r="I1876" t="s">
        <v>300</v>
      </c>
      <c r="J1876" s="5">
        <v>10.00000000000000000000000000000000000002</v>
      </c>
      <c r="K1876" t="s">
        <v>196</v>
      </c>
      <c r="M1876">
        <v>59408</v>
      </c>
      <c r="N1876" t="s">
        <v>408</v>
      </c>
      <c r="O1876" t="s">
        <v>409</v>
      </c>
      <c r="P1876" t="s">
        <v>196</v>
      </c>
      <c r="Q1876" t="s">
        <v>50</v>
      </c>
      <c r="R1876">
        <v>0</v>
      </c>
      <c r="S1876" t="s">
        <v>410</v>
      </c>
      <c r="T1876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6">
        <v>59409</v>
      </c>
      <c r="V1876" t="s">
        <v>196</v>
      </c>
      <c r="W1876" t="s">
        <v>50</v>
      </c>
      <c r="X1876">
        <v>0</v>
      </c>
      <c r="Y1876">
        <v>0</v>
      </c>
      <c r="Z1876" t="s">
        <v>1674</v>
      </c>
    </row>
    <row r="1877" spans="1:37" x14ac:dyDescent="0.2">
      <c r="A1877">
        <v>59398</v>
      </c>
      <c r="B1877" t="s">
        <v>37</v>
      </c>
      <c r="C1877" t="s">
        <v>196</v>
      </c>
      <c r="D1877" t="s">
        <v>361</v>
      </c>
      <c r="E1877" t="s">
        <v>40</v>
      </c>
      <c r="G1877" s="4">
        <v>43946.66162037037</v>
      </c>
      <c r="H1877" s="4">
        <v>43946.661736111111</v>
      </c>
      <c r="I1877" t="s">
        <v>300</v>
      </c>
      <c r="J1877" s="5">
        <v>10.00000000000000000000000000000000000002</v>
      </c>
      <c r="K1877" t="s">
        <v>196</v>
      </c>
      <c r="M1877">
        <v>59405</v>
      </c>
      <c r="N1877" t="s">
        <v>412</v>
      </c>
      <c r="O1877" t="s">
        <v>413</v>
      </c>
      <c r="P1877" t="s">
        <v>38</v>
      </c>
      <c r="Q1877" t="s">
        <v>50</v>
      </c>
      <c r="R1877">
        <v>.9999999999999999999999999999999999999996</v>
      </c>
      <c r="S1877" t="s">
        <v>45</v>
      </c>
      <c r="T1877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7">
        <v>59406</v>
      </c>
      <c r="V1877" t="s">
        <v>38</v>
      </c>
      <c r="W1877" t="s">
        <v>50</v>
      </c>
      <c r="X1877">
        <v>.9999999999999999999999999999999999999996</v>
      </c>
      <c r="Y1877">
        <v>0</v>
      </c>
      <c r="Z1877" t="s">
        <v>46</v>
      </c>
      <c r="AA1877">
        <v>59407</v>
      </c>
      <c r="AB1877" t="s">
        <v>1447</v>
      </c>
      <c r="AC1877" t="s">
        <v>97</v>
      </c>
      <c r="AD1877" t="s">
        <v>38</v>
      </c>
      <c r="AE1877" t="s">
        <v>49</v>
      </c>
      <c r="AF1877" t="s">
        <v>50</v>
      </c>
      <c r="AG1877">
        <v>.9999999999999999999999999999999999999996</v>
      </c>
      <c r="AH1877">
        <v>0</v>
      </c>
      <c r="AI1877" t="s">
        <v>51</v>
      </c>
      <c r="AJ1877" t="s">
        <v>51</v>
      </c>
      <c r="AK1877" t="s">
        <v>51</v>
      </c>
    </row>
    <row r="1878" spans="1:37" x14ac:dyDescent="0.2">
      <c r="A1878">
        <v>59398</v>
      </c>
      <c r="B1878" t="s">
        <v>37</v>
      </c>
      <c r="C1878" t="s">
        <v>196</v>
      </c>
      <c r="D1878" t="s">
        <v>361</v>
      </c>
      <c r="E1878" t="s">
        <v>40</v>
      </c>
      <c r="G1878" s="4">
        <v>43946.66162037037</v>
      </c>
      <c r="H1878" s="4">
        <v>43946.661736111111</v>
      </c>
      <c r="I1878" t="s">
        <v>300</v>
      </c>
      <c r="J1878" s="5">
        <v>10.00000000000000000000000000000000000002</v>
      </c>
      <c r="K1878" t="s">
        <v>196</v>
      </c>
      <c r="M1878">
        <v>59401</v>
      </c>
      <c r="N1878" t="s">
        <v>415</v>
      </c>
      <c r="O1878" t="s">
        <v>416</v>
      </c>
      <c r="P1878" t="s">
        <v>38</v>
      </c>
      <c r="Q1878" t="s">
        <v>50</v>
      </c>
      <c r="R1878">
        <v>0</v>
      </c>
      <c r="S1878" t="s">
        <v>45</v>
      </c>
      <c r="T1878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8">
        <v>59402</v>
      </c>
      <c r="V1878" t="s">
        <v>38</v>
      </c>
      <c r="W1878" t="s">
        <v>50</v>
      </c>
      <c r="X1878">
        <v>0</v>
      </c>
      <c r="Y1878">
        <v>0</v>
      </c>
      <c r="Z1878" t="s">
        <v>46</v>
      </c>
      <c r="AA1878">
        <v>59404</v>
      </c>
      <c r="AB1878" t="s">
        <v>1675</v>
      </c>
      <c r="AC1878" t="s">
        <v>56</v>
      </c>
      <c r="AD1878" t="s">
        <v>38</v>
      </c>
      <c r="AE1878" t="s">
        <v>49</v>
      </c>
      <c r="AF1878" t="s">
        <v>50</v>
      </c>
      <c r="AG1878">
        <v>0</v>
      </c>
      <c r="AH1878">
        <v>0</v>
      </c>
      <c r="AI1878" t="s">
        <v>51</v>
      </c>
      <c r="AJ1878" t="s">
        <v>51</v>
      </c>
      <c r="AK1878" t="s">
        <v>51</v>
      </c>
    </row>
    <row r="1879" spans="1:37" x14ac:dyDescent="0.2">
      <c r="A1879">
        <v>59398</v>
      </c>
      <c r="B1879" t="s">
        <v>37</v>
      </c>
      <c r="C1879" t="s">
        <v>196</v>
      </c>
      <c r="D1879" t="s">
        <v>361</v>
      </c>
      <c r="E1879" t="s">
        <v>40</v>
      </c>
      <c r="G1879" s="4">
        <v>43946.66162037037</v>
      </c>
      <c r="H1879" s="4">
        <v>43946.661736111111</v>
      </c>
      <c r="I1879" t="s">
        <v>300</v>
      </c>
      <c r="J1879" s="5">
        <v>10.00000000000000000000000000000000000002</v>
      </c>
      <c r="K1879" t="s">
        <v>196</v>
      </c>
      <c r="M1879">
        <v>59401</v>
      </c>
      <c r="N1879" t="s">
        <v>415</v>
      </c>
      <c r="O1879" t="s">
        <v>416</v>
      </c>
      <c r="P1879" t="s">
        <v>38</v>
      </c>
      <c r="Q1879" t="s">
        <v>50</v>
      </c>
      <c r="R1879">
        <v>0</v>
      </c>
      <c r="S1879" t="s">
        <v>45</v>
      </c>
      <c r="T1879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79">
        <v>59402</v>
      </c>
      <c r="V1879" t="s">
        <v>38</v>
      </c>
      <c r="W1879" t="s">
        <v>50</v>
      </c>
      <c r="X1879">
        <v>0</v>
      </c>
      <c r="Y1879">
        <v>0</v>
      </c>
      <c r="Z1879" t="s">
        <v>46</v>
      </c>
      <c r="AA1879">
        <v>59403</v>
      </c>
      <c r="AB1879" t="s">
        <v>1676</v>
      </c>
      <c r="AC1879" t="s">
        <v>97</v>
      </c>
      <c r="AD1879" t="s">
        <v>38</v>
      </c>
      <c r="AE1879" t="s">
        <v>49</v>
      </c>
      <c r="AF1879" t="s">
        <v>50</v>
      </c>
      <c r="AG1879">
        <v>0</v>
      </c>
      <c r="AH1879">
        <v>0</v>
      </c>
      <c r="AI1879" t="s">
        <v>51</v>
      </c>
      <c r="AJ1879" t="s">
        <v>51</v>
      </c>
      <c r="AK1879" t="s">
        <v>51</v>
      </c>
    </row>
    <row r="1880" spans="1:37" x14ac:dyDescent="0.2">
      <c r="A1880">
        <v>59398</v>
      </c>
      <c r="B1880" t="s">
        <v>37</v>
      </c>
      <c r="C1880" t="s">
        <v>196</v>
      </c>
      <c r="D1880" t="s">
        <v>361</v>
      </c>
      <c r="E1880" t="s">
        <v>40</v>
      </c>
      <c r="G1880" s="4">
        <v>43946.66162037037</v>
      </c>
      <c r="H1880" s="4">
        <v>43946.661736111111</v>
      </c>
      <c r="I1880" t="s">
        <v>300</v>
      </c>
      <c r="J1880" s="5">
        <v>10.00000000000000000000000000000000000002</v>
      </c>
      <c r="K1880" t="s">
        <v>196</v>
      </c>
      <c r="M1880">
        <v>59399</v>
      </c>
      <c r="N1880" t="s">
        <v>419</v>
      </c>
      <c r="O1880" t="s">
        <v>420</v>
      </c>
      <c r="P1880" t="s">
        <v>196</v>
      </c>
      <c r="Q1880" t="s">
        <v>50</v>
      </c>
      <c r="R1880">
        <v>0</v>
      </c>
      <c r="S1880" t="s">
        <v>421</v>
      </c>
      <c r="T1880" t="str" s="2">
        <f>=HYPERLINK("http://demo.enginatics.com:80/ecc/user/applications/log/59398.log","http://demo.enginatics.com:80/ecc/user/applications/log/59398.log")</f>
        <v>"http://demo.enginatics.com:80/ecc/user/applications/log/59398.log")</v>
      </c>
      <c r="U1880">
        <v>59400</v>
      </c>
      <c r="V1880" t="s">
        <v>196</v>
      </c>
      <c r="W1880" t="s">
        <v>50</v>
      </c>
      <c r="X1880">
        <v>0</v>
      </c>
      <c r="Y1880">
        <v>0</v>
      </c>
      <c r="Z1880" t="s">
        <v>1677</v>
      </c>
    </row>
    <row r="1881" spans="1:37" x14ac:dyDescent="0.2">
      <c r="A1881">
        <v>59393</v>
      </c>
      <c r="B1881" t="s">
        <v>37</v>
      </c>
      <c r="C1881" t="s">
        <v>38</v>
      </c>
      <c r="D1881" t="s">
        <v>295</v>
      </c>
      <c r="E1881" t="s">
        <v>423</v>
      </c>
      <c r="G1881" s="4">
        <v>43946.66162037037</v>
      </c>
      <c r="H1881" s="4">
        <v>43946.66162037037</v>
      </c>
      <c r="I1881" t="s">
        <v>50</v>
      </c>
      <c r="J1881" s="5">
        <v>0</v>
      </c>
      <c r="K1881" t="s">
        <v>38</v>
      </c>
      <c r="M1881">
        <v>59395</v>
      </c>
      <c r="N1881" t="s">
        <v>423</v>
      </c>
      <c r="O1881" t="s">
        <v>424</v>
      </c>
      <c r="P1881" t="s">
        <v>38</v>
      </c>
      <c r="Q1881" t="s">
        <v>50</v>
      </c>
      <c r="R1881">
        <v>0</v>
      </c>
      <c r="S1881" t="s">
        <v>45</v>
      </c>
      <c r="T1881" t="str" s="2">
        <f>=HYPERLINK("http://demo.enginatics.com:80/ecc/user/applications/log/59393.log","http://demo.enginatics.com:80/ecc/user/applications/log/59393.log")</f>
        <v>"http://demo.enginatics.com:80/ecc/user/applications/log/59393.log")</v>
      </c>
      <c r="U1881">
        <v>59396</v>
      </c>
      <c r="V1881" t="s">
        <v>38</v>
      </c>
      <c r="W1881" t="s">
        <v>50</v>
      </c>
      <c r="X1881">
        <v>0</v>
      </c>
      <c r="Y1881">
        <v>0</v>
      </c>
      <c r="Z1881" t="s">
        <v>46</v>
      </c>
      <c r="AA1881">
        <v>59397</v>
      </c>
      <c r="AB1881" t="s">
        <v>1452</v>
      </c>
      <c r="AC1881" t="s">
        <v>68</v>
      </c>
      <c r="AD1881" t="s">
        <v>38</v>
      </c>
      <c r="AE1881" t="s">
        <v>49</v>
      </c>
      <c r="AF1881" t="s">
        <v>50</v>
      </c>
      <c r="AG1881">
        <v>0</v>
      </c>
      <c r="AH1881">
        <v>0</v>
      </c>
      <c r="AI1881" t="s">
        <v>51</v>
      </c>
      <c r="AJ1881" t="s">
        <v>51</v>
      </c>
      <c r="AK1881" t="s">
        <v>51</v>
      </c>
    </row>
    <row r="1882" spans="1:37" x14ac:dyDescent="0.2">
      <c r="A1882">
        <v>59391</v>
      </c>
      <c r="B1882" t="s">
        <v>37</v>
      </c>
      <c r="C1882" t="s">
        <v>196</v>
      </c>
      <c r="D1882" t="s">
        <v>295</v>
      </c>
      <c r="E1882" t="s">
        <v>429</v>
      </c>
      <c r="G1882" s="4">
        <v>43946.661597222222</v>
      </c>
      <c r="H1882" s="4">
        <v>43946.66162037037</v>
      </c>
      <c r="I1882" t="s">
        <v>88</v>
      </c>
      <c r="J1882" s="5">
        <v>2</v>
      </c>
      <c r="K1882" t="s">
        <v>1678</v>
      </c>
    </row>
    <row r="1883" spans="1:37" x14ac:dyDescent="0.2">
      <c r="A1883">
        <v>59390</v>
      </c>
      <c r="B1883" t="s">
        <v>37</v>
      </c>
      <c r="C1883" t="s">
        <v>196</v>
      </c>
      <c r="D1883" t="s">
        <v>295</v>
      </c>
      <c r="E1883" t="s">
        <v>426</v>
      </c>
      <c r="G1883" s="4">
        <v>43946.661597222222</v>
      </c>
      <c r="H1883" s="4">
        <v>43946.66162037037</v>
      </c>
      <c r="I1883" t="s">
        <v>88</v>
      </c>
      <c r="J1883" s="5">
        <v>2</v>
      </c>
      <c r="K1883" t="s">
        <v>1678</v>
      </c>
    </row>
    <row r="1884" spans="1:37" x14ac:dyDescent="0.2">
      <c r="A1884">
        <v>59369</v>
      </c>
      <c r="B1884" t="s">
        <v>37</v>
      </c>
      <c r="C1884" t="s">
        <v>38</v>
      </c>
      <c r="D1884" t="s">
        <v>295</v>
      </c>
      <c r="E1884" t="s">
        <v>40</v>
      </c>
      <c r="G1884" s="4">
        <v>43946.661435185185</v>
      </c>
      <c r="H1884" s="4">
        <v>43946.66162037037</v>
      </c>
      <c r="I1884" t="s">
        <v>966</v>
      </c>
      <c r="J1884" s="5">
        <v>15.99999999999999999999999999999999999998</v>
      </c>
      <c r="K1884" t="s">
        <v>38</v>
      </c>
      <c r="M1884">
        <v>59388</v>
      </c>
      <c r="N1884" t="s">
        <v>299</v>
      </c>
      <c r="O1884" t="s">
        <v>301</v>
      </c>
      <c r="P1884" t="s">
        <v>38</v>
      </c>
      <c r="Q1884" t="s">
        <v>236</v>
      </c>
      <c r="R1884">
        <v>12.00000000000000000000000000000000000001</v>
      </c>
      <c r="S1884" t="s">
        <v>45</v>
      </c>
      <c r="T1884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84">
        <v>59389</v>
      </c>
      <c r="V1884" t="s">
        <v>38</v>
      </c>
      <c r="W1884" t="s">
        <v>236</v>
      </c>
      <c r="X1884">
        <v>12.00000000000000000000000000000000000001</v>
      </c>
      <c r="Y1884">
        <v>11</v>
      </c>
      <c r="Z1884" t="s">
        <v>46</v>
      </c>
      <c r="AA1884">
        <v>59394</v>
      </c>
      <c r="AB1884" t="s">
        <v>302</v>
      </c>
      <c r="AC1884" t="s">
        <v>68</v>
      </c>
      <c r="AD1884" t="s">
        <v>38</v>
      </c>
      <c r="AE1884" t="s">
        <v>49</v>
      </c>
      <c r="AF1884" t="s">
        <v>50</v>
      </c>
      <c r="AG1884">
        <v>0</v>
      </c>
      <c r="AH1884">
        <v>0</v>
      </c>
      <c r="AI1884" t="s">
        <v>51</v>
      </c>
      <c r="AJ1884" t="s">
        <v>51</v>
      </c>
      <c r="AK1884" t="s">
        <v>51</v>
      </c>
    </row>
    <row r="1885" spans="1:37" x14ac:dyDescent="0.2">
      <c r="A1885">
        <v>59369</v>
      </c>
      <c r="B1885" t="s">
        <v>37</v>
      </c>
      <c r="C1885" t="s">
        <v>38</v>
      </c>
      <c r="D1885" t="s">
        <v>295</v>
      </c>
      <c r="E1885" t="s">
        <v>40</v>
      </c>
      <c r="G1885" s="4">
        <v>43946.661435185185</v>
      </c>
      <c r="H1885" s="4">
        <v>43946.66162037037</v>
      </c>
      <c r="I1885" t="s">
        <v>966</v>
      </c>
      <c r="J1885" s="5">
        <v>15.99999999999999999999999999999999999998</v>
      </c>
      <c r="K1885" t="s">
        <v>38</v>
      </c>
      <c r="M1885">
        <v>59388</v>
      </c>
      <c r="N1885" t="s">
        <v>299</v>
      </c>
      <c r="O1885" t="s">
        <v>301</v>
      </c>
      <c r="P1885" t="s">
        <v>38</v>
      </c>
      <c r="Q1885" t="s">
        <v>236</v>
      </c>
      <c r="R1885">
        <v>12.00000000000000000000000000000000000001</v>
      </c>
      <c r="S1885" t="s">
        <v>45</v>
      </c>
      <c r="T1885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85">
        <v>59389</v>
      </c>
      <c r="V1885" t="s">
        <v>38</v>
      </c>
      <c r="W1885" t="s">
        <v>236</v>
      </c>
      <c r="X1885">
        <v>12.00000000000000000000000000000000000001</v>
      </c>
      <c r="Y1885">
        <v>11</v>
      </c>
      <c r="Z1885" t="s">
        <v>46</v>
      </c>
      <c r="AA1885">
        <v>59392</v>
      </c>
      <c r="AB1885" t="s">
        <v>303</v>
      </c>
      <c r="AC1885" t="s">
        <v>56</v>
      </c>
      <c r="AD1885" t="s">
        <v>38</v>
      </c>
      <c r="AE1885" t="s">
        <v>49</v>
      </c>
      <c r="AF1885" t="s">
        <v>50</v>
      </c>
      <c r="AG1885">
        <v>0</v>
      </c>
      <c r="AH1885">
        <v>0</v>
      </c>
      <c r="AI1885" t="s">
        <v>51</v>
      </c>
      <c r="AJ1885" t="s">
        <v>51</v>
      </c>
      <c r="AK1885" t="s">
        <v>51</v>
      </c>
    </row>
    <row r="1886" spans="1:37" x14ac:dyDescent="0.2">
      <c r="A1886">
        <v>59369</v>
      </c>
      <c r="B1886" t="s">
        <v>37</v>
      </c>
      <c r="C1886" t="s">
        <v>38</v>
      </c>
      <c r="D1886" t="s">
        <v>295</v>
      </c>
      <c r="E1886" t="s">
        <v>40</v>
      </c>
      <c r="G1886" s="4">
        <v>43946.661435185185</v>
      </c>
      <c r="H1886" s="4">
        <v>43946.66162037037</v>
      </c>
      <c r="I1886" t="s">
        <v>966</v>
      </c>
      <c r="J1886" s="5">
        <v>15.99999999999999999999999999999999999998</v>
      </c>
      <c r="K1886" t="s">
        <v>38</v>
      </c>
      <c r="M1886">
        <v>59385</v>
      </c>
      <c r="N1886" t="s">
        <v>423</v>
      </c>
      <c r="O1886" t="s">
        <v>424</v>
      </c>
      <c r="P1886" t="s">
        <v>38</v>
      </c>
      <c r="Q1886" t="s">
        <v>50</v>
      </c>
      <c r="R1886">
        <v>0</v>
      </c>
      <c r="S1886" t="s">
        <v>45</v>
      </c>
      <c r="T1886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86">
        <v>59386</v>
      </c>
      <c r="V1886" t="s">
        <v>38</v>
      </c>
      <c r="W1886" t="s">
        <v>50</v>
      </c>
      <c r="X1886">
        <v>0</v>
      </c>
      <c r="Y1886">
        <v>0</v>
      </c>
      <c r="Z1886" t="s">
        <v>46</v>
      </c>
      <c r="AA1886">
        <v>59387</v>
      </c>
      <c r="AB1886" t="s">
        <v>1452</v>
      </c>
      <c r="AC1886" t="s">
        <v>68</v>
      </c>
      <c r="AD1886" t="s">
        <v>38</v>
      </c>
      <c r="AE1886" t="s">
        <v>49</v>
      </c>
      <c r="AF1886" t="s">
        <v>50</v>
      </c>
      <c r="AG1886">
        <v>0</v>
      </c>
      <c r="AH1886">
        <v>0</v>
      </c>
      <c r="AI1886" t="s">
        <v>51</v>
      </c>
      <c r="AJ1886" t="s">
        <v>51</v>
      </c>
      <c r="AK1886" t="s">
        <v>51</v>
      </c>
    </row>
    <row r="1887" spans="1:37" x14ac:dyDescent="0.2">
      <c r="A1887">
        <v>59369</v>
      </c>
      <c r="B1887" t="s">
        <v>37</v>
      </c>
      <c r="C1887" t="s">
        <v>38</v>
      </c>
      <c r="D1887" t="s">
        <v>295</v>
      </c>
      <c r="E1887" t="s">
        <v>40</v>
      </c>
      <c r="G1887" s="4">
        <v>43946.661435185185</v>
      </c>
      <c r="H1887" s="4">
        <v>43946.66162037037</v>
      </c>
      <c r="I1887" t="s">
        <v>966</v>
      </c>
      <c r="J1887" s="5">
        <v>15.99999999999999999999999999999999999998</v>
      </c>
      <c r="K1887" t="s">
        <v>38</v>
      </c>
      <c r="M1887">
        <v>59382</v>
      </c>
      <c r="N1887" t="s">
        <v>426</v>
      </c>
      <c r="O1887" t="s">
        <v>427</v>
      </c>
      <c r="P1887" t="s">
        <v>38</v>
      </c>
      <c r="Q1887" t="s">
        <v>50</v>
      </c>
      <c r="R1887">
        <v>.9999999999999999999999999999999999999996</v>
      </c>
      <c r="S1887" t="s">
        <v>45</v>
      </c>
      <c r="T1887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87">
        <v>59383</v>
      </c>
      <c r="V1887" t="s">
        <v>38</v>
      </c>
      <c r="W1887" t="s">
        <v>50</v>
      </c>
      <c r="X1887">
        <v>.9999999999999999999999999999999999999996</v>
      </c>
      <c r="Y1887">
        <v>0</v>
      </c>
      <c r="Z1887" t="s">
        <v>46</v>
      </c>
      <c r="AA1887">
        <v>59384</v>
      </c>
      <c r="AB1887" t="s">
        <v>428</v>
      </c>
      <c r="AC1887" t="s">
        <v>68</v>
      </c>
      <c r="AD1887" t="s">
        <v>38</v>
      </c>
      <c r="AE1887" t="s">
        <v>49</v>
      </c>
      <c r="AF1887" t="s">
        <v>50</v>
      </c>
      <c r="AG1887">
        <v>.9999999999999999999999999999999999999996</v>
      </c>
      <c r="AH1887">
        <v>0</v>
      </c>
      <c r="AI1887" t="s">
        <v>51</v>
      </c>
      <c r="AJ1887" t="s">
        <v>51</v>
      </c>
      <c r="AK1887" t="s">
        <v>51</v>
      </c>
    </row>
    <row r="1888" spans="1:37" x14ac:dyDescent="0.2">
      <c r="A1888">
        <v>59369</v>
      </c>
      <c r="B1888" t="s">
        <v>37</v>
      </c>
      <c r="C1888" t="s">
        <v>38</v>
      </c>
      <c r="D1888" t="s">
        <v>295</v>
      </c>
      <c r="E1888" t="s">
        <v>40</v>
      </c>
      <c r="G1888" s="4">
        <v>43946.661435185185</v>
      </c>
      <c r="H1888" s="4">
        <v>43946.66162037037</v>
      </c>
      <c r="I1888" t="s">
        <v>966</v>
      </c>
      <c r="J1888" s="5">
        <v>15.99999999999999999999999999999999999998</v>
      </c>
      <c r="K1888" t="s">
        <v>38</v>
      </c>
      <c r="M1888">
        <v>59379</v>
      </c>
      <c r="N1888" t="s">
        <v>429</v>
      </c>
      <c r="O1888" t="s">
        <v>430</v>
      </c>
      <c r="P1888" t="s">
        <v>38</v>
      </c>
      <c r="Q1888" t="s">
        <v>50</v>
      </c>
      <c r="R1888">
        <v>.9999999999999999999999999999999999999996</v>
      </c>
      <c r="S1888" t="s">
        <v>45</v>
      </c>
      <c r="T1888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88">
        <v>59380</v>
      </c>
      <c r="V1888" t="s">
        <v>38</v>
      </c>
      <c r="W1888" t="s">
        <v>50</v>
      </c>
      <c r="X1888">
        <v>.9999999999999999999999999999999999999996</v>
      </c>
      <c r="Y1888">
        <v>0</v>
      </c>
      <c r="Z1888" t="s">
        <v>46</v>
      </c>
      <c r="AA1888">
        <v>59381</v>
      </c>
      <c r="AB1888" t="s">
        <v>431</v>
      </c>
      <c r="AC1888" t="s">
        <v>68</v>
      </c>
      <c r="AD1888" t="s">
        <v>38</v>
      </c>
      <c r="AE1888" t="s">
        <v>49</v>
      </c>
      <c r="AF1888" t="s">
        <v>50</v>
      </c>
      <c r="AG1888">
        <v>.9999999999999999999999999999999999999996</v>
      </c>
      <c r="AH1888">
        <v>0</v>
      </c>
      <c r="AI1888" t="s">
        <v>51</v>
      </c>
      <c r="AJ1888" t="s">
        <v>51</v>
      </c>
      <c r="AK1888" t="s">
        <v>51</v>
      </c>
    </row>
    <row r="1889" spans="1:37" x14ac:dyDescent="0.2">
      <c r="A1889">
        <v>59369</v>
      </c>
      <c r="B1889" t="s">
        <v>37</v>
      </c>
      <c r="C1889" t="s">
        <v>38</v>
      </c>
      <c r="D1889" t="s">
        <v>295</v>
      </c>
      <c r="E1889" t="s">
        <v>40</v>
      </c>
      <c r="G1889" s="4">
        <v>43946.661435185185</v>
      </c>
      <c r="H1889" s="4">
        <v>43946.66162037037</v>
      </c>
      <c r="I1889" t="s">
        <v>966</v>
      </c>
      <c r="J1889" s="5">
        <v>15.99999999999999999999999999999999999998</v>
      </c>
      <c r="K1889" t="s">
        <v>38</v>
      </c>
      <c r="M1889">
        <v>59376</v>
      </c>
      <c r="N1889" t="s">
        <v>304</v>
      </c>
      <c r="O1889" t="s">
        <v>305</v>
      </c>
      <c r="P1889" t="s">
        <v>38</v>
      </c>
      <c r="Q1889" t="s">
        <v>88</v>
      </c>
      <c r="R1889">
        <v>2</v>
      </c>
      <c r="S1889" t="s">
        <v>45</v>
      </c>
      <c r="T1889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89">
        <v>59377</v>
      </c>
      <c r="V1889" t="s">
        <v>38</v>
      </c>
      <c r="W1889" t="s">
        <v>88</v>
      </c>
      <c r="X1889">
        <v>2</v>
      </c>
      <c r="Y1889">
        <v>1</v>
      </c>
      <c r="Z1889" t="s">
        <v>46</v>
      </c>
      <c r="AA1889">
        <v>59378</v>
      </c>
      <c r="AB1889" t="s">
        <v>306</v>
      </c>
      <c r="AC1889" t="s">
        <v>68</v>
      </c>
      <c r="AD1889" t="s">
        <v>38</v>
      </c>
      <c r="AE1889" t="s">
        <v>49</v>
      </c>
      <c r="AF1889" t="s">
        <v>50</v>
      </c>
      <c r="AG1889">
        <v>0</v>
      </c>
      <c r="AH1889">
        <v>0</v>
      </c>
      <c r="AI1889" t="s">
        <v>51</v>
      </c>
      <c r="AJ1889" t="s">
        <v>51</v>
      </c>
      <c r="AK1889" t="s">
        <v>51</v>
      </c>
    </row>
    <row r="1890" spans="1:37" x14ac:dyDescent="0.2">
      <c r="A1890">
        <v>59369</v>
      </c>
      <c r="B1890" t="s">
        <v>37</v>
      </c>
      <c r="C1890" t="s">
        <v>38</v>
      </c>
      <c r="D1890" t="s">
        <v>295</v>
      </c>
      <c r="E1890" t="s">
        <v>40</v>
      </c>
      <c r="G1890" s="4">
        <v>43946.661435185185</v>
      </c>
      <c r="H1890" s="4">
        <v>43946.66162037037</v>
      </c>
      <c r="I1890" t="s">
        <v>966</v>
      </c>
      <c r="J1890" s="5">
        <v>15.99999999999999999999999999999999999998</v>
      </c>
      <c r="K1890" t="s">
        <v>38</v>
      </c>
      <c r="M1890">
        <v>59373</v>
      </c>
      <c r="N1890" t="s">
        <v>296</v>
      </c>
      <c r="O1890" t="s">
        <v>297</v>
      </c>
      <c r="P1890" t="s">
        <v>38</v>
      </c>
      <c r="Q1890" t="s">
        <v>50</v>
      </c>
      <c r="R1890">
        <v>0</v>
      </c>
      <c r="S1890" t="s">
        <v>45</v>
      </c>
      <c r="T1890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90">
        <v>59374</v>
      </c>
      <c r="V1890" t="s">
        <v>38</v>
      </c>
      <c r="W1890" t="s">
        <v>50</v>
      </c>
      <c r="X1890">
        <v>0</v>
      </c>
      <c r="Y1890">
        <v>0</v>
      </c>
      <c r="Z1890" t="s">
        <v>46</v>
      </c>
      <c r="AA1890">
        <v>59375</v>
      </c>
      <c r="AB1890" t="s">
        <v>1453</v>
      </c>
      <c r="AC1890" t="s">
        <v>68</v>
      </c>
      <c r="AD1890" t="s">
        <v>38</v>
      </c>
      <c r="AE1890" t="s">
        <v>49</v>
      </c>
      <c r="AF1890" t="s">
        <v>50</v>
      </c>
      <c r="AG1890">
        <v>0</v>
      </c>
      <c r="AH1890">
        <v>0</v>
      </c>
      <c r="AI1890" t="s">
        <v>51</v>
      </c>
      <c r="AJ1890" t="s">
        <v>51</v>
      </c>
      <c r="AK1890" t="s">
        <v>51</v>
      </c>
    </row>
    <row r="1891" spans="1:37" x14ac:dyDescent="0.2">
      <c r="A1891">
        <v>59369</v>
      </c>
      <c r="B1891" t="s">
        <v>37</v>
      </c>
      <c r="C1891" t="s">
        <v>38</v>
      </c>
      <c r="D1891" t="s">
        <v>295</v>
      </c>
      <c r="E1891" t="s">
        <v>40</v>
      </c>
      <c r="G1891" s="4">
        <v>43946.661435185185</v>
      </c>
      <c r="H1891" s="4">
        <v>43946.66162037037</v>
      </c>
      <c r="I1891" t="s">
        <v>966</v>
      </c>
      <c r="J1891" s="5">
        <v>15.99999999999999999999999999999999999998</v>
      </c>
      <c r="K1891" t="s">
        <v>38</v>
      </c>
      <c r="M1891">
        <v>59370</v>
      </c>
      <c r="N1891" t="s">
        <v>432</v>
      </c>
      <c r="O1891" t="s">
        <v>433</v>
      </c>
      <c r="P1891" t="s">
        <v>38</v>
      </c>
      <c r="Q1891" t="s">
        <v>50</v>
      </c>
      <c r="R1891">
        <v>0</v>
      </c>
      <c r="S1891" t="s">
        <v>45</v>
      </c>
      <c r="T1891" t="str" s="2">
        <f>=HYPERLINK("http://demo.enginatics.com:80/ecc/user/applications/log/59369.log","http://demo.enginatics.com:80/ecc/user/applications/log/59369.log")</f>
        <v>"http://demo.enginatics.com:80/ecc/user/applications/log/59369.log")</v>
      </c>
      <c r="U1891">
        <v>59371</v>
      </c>
      <c r="V1891" t="s">
        <v>38</v>
      </c>
      <c r="W1891" t="s">
        <v>50</v>
      </c>
      <c r="X1891">
        <v>0</v>
      </c>
      <c r="Y1891">
        <v>0</v>
      </c>
      <c r="Z1891" t="s">
        <v>46</v>
      </c>
      <c r="AA1891">
        <v>59372</v>
      </c>
      <c r="AB1891" t="s">
        <v>434</v>
      </c>
      <c r="AC1891" t="s">
        <v>68</v>
      </c>
      <c r="AD1891" t="s">
        <v>38</v>
      </c>
      <c r="AE1891" t="s">
        <v>49</v>
      </c>
      <c r="AF1891" t="s">
        <v>50</v>
      </c>
      <c r="AG1891">
        <v>0</v>
      </c>
      <c r="AH1891">
        <v>0</v>
      </c>
      <c r="AI1891" t="s">
        <v>51</v>
      </c>
      <c r="AJ1891" t="s">
        <v>51</v>
      </c>
      <c r="AK1891" t="s">
        <v>51</v>
      </c>
    </row>
    <row r="1892" spans="1:37" x14ac:dyDescent="0.2">
      <c r="A1892">
        <v>59365</v>
      </c>
      <c r="B1892" t="s">
        <v>37</v>
      </c>
      <c r="C1892" t="s">
        <v>38</v>
      </c>
      <c r="D1892" t="s">
        <v>295</v>
      </c>
      <c r="E1892" t="s">
        <v>432</v>
      </c>
      <c r="G1892" s="4">
        <v>43946.661180555556</v>
      </c>
      <c r="H1892" s="4">
        <v>43946.661203703704</v>
      </c>
      <c r="I1892" t="s">
        <v>88</v>
      </c>
      <c r="J1892" s="5">
        <v>2</v>
      </c>
      <c r="K1892" t="s">
        <v>38</v>
      </c>
      <c r="M1892">
        <v>59366</v>
      </c>
      <c r="N1892" t="s">
        <v>432</v>
      </c>
      <c r="O1892" t="s">
        <v>433</v>
      </c>
      <c r="P1892" t="s">
        <v>38</v>
      </c>
      <c r="Q1892" t="s">
        <v>88</v>
      </c>
      <c r="R1892">
        <v>2</v>
      </c>
      <c r="S1892" t="s">
        <v>45</v>
      </c>
      <c r="T1892" t="str" s="2">
        <f>=HYPERLINK("http://demo.enginatics.com:80/ecc/user/applications/log/59365.log","http://demo.enginatics.com:80/ecc/user/applications/log/59365.log")</f>
        <v>"http://demo.enginatics.com:80/ecc/user/applications/log/59365.log")</v>
      </c>
      <c r="U1892">
        <v>59367</v>
      </c>
      <c r="V1892" t="s">
        <v>38</v>
      </c>
      <c r="W1892" t="s">
        <v>88</v>
      </c>
      <c r="X1892">
        <v>2</v>
      </c>
      <c r="Y1892">
        <v>0</v>
      </c>
      <c r="Z1892" t="s">
        <v>46</v>
      </c>
      <c r="AA1892">
        <v>59368</v>
      </c>
      <c r="AB1892" t="s">
        <v>434</v>
      </c>
      <c r="AC1892" t="s">
        <v>68</v>
      </c>
      <c r="AD1892" t="s">
        <v>38</v>
      </c>
      <c r="AE1892" t="s">
        <v>49</v>
      </c>
      <c r="AF1892" t="s">
        <v>88</v>
      </c>
      <c r="AG1892">
        <v>2</v>
      </c>
      <c r="AH1892">
        <v>1</v>
      </c>
      <c r="AI1892" t="s">
        <v>51</v>
      </c>
      <c r="AJ1892" t="s">
        <v>51</v>
      </c>
      <c r="AK1892" t="s">
        <v>51</v>
      </c>
    </row>
    <row r="1893" spans="1:37" x14ac:dyDescent="0.2">
      <c r="A1893">
        <v>59363</v>
      </c>
      <c r="B1893" t="s">
        <v>37</v>
      </c>
      <c r="C1893" t="s">
        <v>38</v>
      </c>
      <c r="D1893" t="s">
        <v>83</v>
      </c>
      <c r="E1893" t="s">
        <v>435</v>
      </c>
      <c r="G1893" s="4">
        <v>43946.660497685185</v>
      </c>
      <c r="H1893" s="4">
        <v>43946.660497685185</v>
      </c>
      <c r="I1893" t="s">
        <v>50</v>
      </c>
      <c r="J1893" s="5">
        <v>0</v>
      </c>
      <c r="K1893" t="s">
        <v>38</v>
      </c>
      <c r="M1893">
        <v>59364</v>
      </c>
      <c r="N1893" t="s">
        <v>435</v>
      </c>
      <c r="O1893" t="s">
        <v>436</v>
      </c>
      <c r="P1893" t="s">
        <v>38</v>
      </c>
      <c r="Q1893" t="s">
        <v>50</v>
      </c>
      <c r="R1893">
        <v>0</v>
      </c>
      <c r="S1893" t="s">
        <v>437</v>
      </c>
      <c r="T1893" t="str" s="2">
        <f>=HYPERLINK("http://demo.enginatics.com:80/ecc/user/applications/log/59363.log","http://demo.enginatics.com:80/ecc/user/applications/log/59363.log")</f>
        <v>"http://demo.enginatics.com:80/ecc/user/applications/log/59363.log")</v>
      </c>
    </row>
    <row r="1894" spans="1:37" x14ac:dyDescent="0.2">
      <c r="A1894">
        <v>59356</v>
      </c>
      <c r="B1894" t="s">
        <v>37</v>
      </c>
      <c r="C1894" t="s">
        <v>38</v>
      </c>
      <c r="D1894" t="s">
        <v>438</v>
      </c>
      <c r="E1894" t="s">
        <v>40</v>
      </c>
      <c r="G1894" s="4">
        <v>43946.658761574074</v>
      </c>
      <c r="H1894" s="4">
        <v>43946.658761574074</v>
      </c>
      <c r="I1894" t="s">
        <v>50</v>
      </c>
      <c r="J1894" s="5">
        <v>0</v>
      </c>
      <c r="K1894" t="s">
        <v>38</v>
      </c>
      <c r="M1894">
        <v>59362</v>
      </c>
      <c r="N1894" t="s">
        <v>439</v>
      </c>
      <c r="O1894" t="s">
        <v>440</v>
      </c>
      <c r="P1894" t="s">
        <v>38</v>
      </c>
      <c r="Q1894" t="s">
        <v>50</v>
      </c>
      <c r="R1894">
        <v>0</v>
      </c>
      <c r="S1894" t="s">
        <v>441</v>
      </c>
      <c r="T1894" t="str" s="2">
        <f>=HYPERLINK("http://demo.enginatics.com:80/ecc/user/applications/log/59356.log","http://demo.enginatics.com:80/ecc/user/applications/log/59356.log")</f>
        <v>"http://demo.enginatics.com:80/ecc/user/applications/log/59356.log")</v>
      </c>
    </row>
    <row r="1895" spans="1:37" x14ac:dyDescent="0.2">
      <c r="A1895">
        <v>59356</v>
      </c>
      <c r="B1895" t="s">
        <v>37</v>
      </c>
      <c r="C1895" t="s">
        <v>38</v>
      </c>
      <c r="D1895" t="s">
        <v>438</v>
      </c>
      <c r="E1895" t="s">
        <v>40</v>
      </c>
      <c r="G1895" s="4">
        <v>43946.658761574074</v>
      </c>
      <c r="H1895" s="4">
        <v>43946.658761574074</v>
      </c>
      <c r="I1895" t="s">
        <v>50</v>
      </c>
      <c r="J1895" s="5">
        <v>0</v>
      </c>
      <c r="K1895" t="s">
        <v>38</v>
      </c>
      <c r="M1895">
        <v>59361</v>
      </c>
      <c r="N1895" t="s">
        <v>442</v>
      </c>
      <c r="O1895" t="s">
        <v>443</v>
      </c>
      <c r="P1895" t="s">
        <v>38</v>
      </c>
      <c r="Q1895" t="s">
        <v>50</v>
      </c>
      <c r="R1895">
        <v>0</v>
      </c>
      <c r="S1895" t="s">
        <v>444</v>
      </c>
      <c r="T1895" t="str" s="2">
        <f>=HYPERLINK("http://demo.enginatics.com:80/ecc/user/applications/log/59356.log","http://demo.enginatics.com:80/ecc/user/applications/log/59356.log")</f>
        <v>"http://demo.enginatics.com:80/ecc/user/applications/log/59356.log")</v>
      </c>
    </row>
    <row r="1896" spans="1:37" x14ac:dyDescent="0.2">
      <c r="A1896">
        <v>59356</v>
      </c>
      <c r="B1896" t="s">
        <v>37</v>
      </c>
      <c r="C1896" t="s">
        <v>38</v>
      </c>
      <c r="D1896" t="s">
        <v>438</v>
      </c>
      <c r="E1896" t="s">
        <v>40</v>
      </c>
      <c r="G1896" s="4">
        <v>43946.658761574074</v>
      </c>
      <c r="H1896" s="4">
        <v>43946.658761574074</v>
      </c>
      <c r="I1896" t="s">
        <v>50</v>
      </c>
      <c r="J1896" s="5">
        <v>0</v>
      </c>
      <c r="K1896" t="s">
        <v>38</v>
      </c>
      <c r="M1896">
        <v>59360</v>
      </c>
      <c r="N1896" t="s">
        <v>445</v>
      </c>
      <c r="O1896" t="s">
        <v>446</v>
      </c>
      <c r="P1896" t="s">
        <v>38</v>
      </c>
      <c r="Q1896" t="s">
        <v>50</v>
      </c>
      <c r="R1896">
        <v>0</v>
      </c>
      <c r="S1896" t="s">
        <v>447</v>
      </c>
      <c r="T1896" t="str" s="2">
        <f>=HYPERLINK("http://demo.enginatics.com:80/ecc/user/applications/log/59356.log","http://demo.enginatics.com:80/ecc/user/applications/log/59356.log")</f>
        <v>"http://demo.enginatics.com:80/ecc/user/applications/log/59356.log")</v>
      </c>
    </row>
    <row r="1897" spans="1:37" x14ac:dyDescent="0.2">
      <c r="A1897">
        <v>59356</v>
      </c>
      <c r="B1897" t="s">
        <v>37</v>
      </c>
      <c r="C1897" t="s">
        <v>38</v>
      </c>
      <c r="D1897" t="s">
        <v>438</v>
      </c>
      <c r="E1897" t="s">
        <v>40</v>
      </c>
      <c r="G1897" s="4">
        <v>43946.658761574074</v>
      </c>
      <c r="H1897" s="4">
        <v>43946.658761574074</v>
      </c>
      <c r="I1897" t="s">
        <v>50</v>
      </c>
      <c r="J1897" s="5">
        <v>0</v>
      </c>
      <c r="K1897" t="s">
        <v>38</v>
      </c>
      <c r="M1897">
        <v>59359</v>
      </c>
      <c r="N1897" t="s">
        <v>448</v>
      </c>
      <c r="O1897" t="s">
        <v>449</v>
      </c>
      <c r="P1897" t="s">
        <v>38</v>
      </c>
      <c r="Q1897" t="s">
        <v>50</v>
      </c>
      <c r="R1897">
        <v>0</v>
      </c>
      <c r="S1897" t="s">
        <v>450</v>
      </c>
      <c r="T1897" t="str" s="2">
        <f>=HYPERLINK("http://demo.enginatics.com:80/ecc/user/applications/log/59356.log","http://demo.enginatics.com:80/ecc/user/applications/log/59356.log")</f>
        <v>"http://demo.enginatics.com:80/ecc/user/applications/log/59356.log")</v>
      </c>
    </row>
    <row r="1898" spans="1:37" x14ac:dyDescent="0.2">
      <c r="A1898">
        <v>59356</v>
      </c>
      <c r="B1898" t="s">
        <v>37</v>
      </c>
      <c r="C1898" t="s">
        <v>38</v>
      </c>
      <c r="D1898" t="s">
        <v>438</v>
      </c>
      <c r="E1898" t="s">
        <v>40</v>
      </c>
      <c r="G1898" s="4">
        <v>43946.658761574074</v>
      </c>
      <c r="H1898" s="4">
        <v>43946.658761574074</v>
      </c>
      <c r="I1898" t="s">
        <v>50</v>
      </c>
      <c r="J1898" s="5">
        <v>0</v>
      </c>
      <c r="K1898" t="s">
        <v>38</v>
      </c>
      <c r="M1898">
        <v>59358</v>
      </c>
      <c r="N1898" t="s">
        <v>451</v>
      </c>
      <c r="O1898" t="s">
        <v>452</v>
      </c>
      <c r="P1898" t="s">
        <v>38</v>
      </c>
      <c r="Q1898" t="s">
        <v>50</v>
      </c>
      <c r="R1898">
        <v>0</v>
      </c>
      <c r="S1898" t="s">
        <v>453</v>
      </c>
      <c r="T1898" t="str" s="2">
        <f>=HYPERLINK("http://demo.enginatics.com:80/ecc/user/applications/log/59356.log","http://demo.enginatics.com:80/ecc/user/applications/log/59356.log")</f>
        <v>"http://demo.enginatics.com:80/ecc/user/applications/log/59356.log")</v>
      </c>
    </row>
    <row r="1899" spans="1:37" x14ac:dyDescent="0.2">
      <c r="A1899">
        <v>59356</v>
      </c>
      <c r="B1899" t="s">
        <v>37</v>
      </c>
      <c r="C1899" t="s">
        <v>38</v>
      </c>
      <c r="D1899" t="s">
        <v>438</v>
      </c>
      <c r="E1899" t="s">
        <v>40</v>
      </c>
      <c r="G1899" s="4">
        <v>43946.658761574074</v>
      </c>
      <c r="H1899" s="4">
        <v>43946.658761574074</v>
      </c>
      <c r="I1899" t="s">
        <v>50</v>
      </c>
      <c r="J1899" s="5">
        <v>0</v>
      </c>
      <c r="K1899" t="s">
        <v>38</v>
      </c>
      <c r="M1899">
        <v>59357</v>
      </c>
      <c r="N1899" t="s">
        <v>454</v>
      </c>
      <c r="O1899" t="s">
        <v>455</v>
      </c>
      <c r="P1899" t="s">
        <v>38</v>
      </c>
      <c r="Q1899" t="s">
        <v>50</v>
      </c>
      <c r="R1899">
        <v>0</v>
      </c>
      <c r="S1899" t="s">
        <v>456</v>
      </c>
      <c r="T1899" t="str" s="2">
        <f>=HYPERLINK("http://demo.enginatics.com:80/ecc/user/applications/log/59356.log","http://demo.enginatics.com:80/ecc/user/applications/log/59356.log")</f>
        <v>"http://demo.enginatics.com:80/ecc/user/applications/log/59356.log")</v>
      </c>
    </row>
    <row r="1900" spans="1:37" x14ac:dyDescent="0.2">
      <c r="A1900">
        <v>59352</v>
      </c>
      <c r="B1900" t="s">
        <v>37</v>
      </c>
      <c r="C1900" t="s">
        <v>38</v>
      </c>
      <c r="D1900" t="s">
        <v>83</v>
      </c>
      <c r="E1900" t="s">
        <v>457</v>
      </c>
      <c r="G1900" s="4">
        <v>43946.658680555556</v>
      </c>
      <c r="H1900" s="4">
        <v>43946.65869212963</v>
      </c>
      <c r="I1900" t="s">
        <v>50</v>
      </c>
      <c r="J1900" s="5">
        <v>.9999999999999999999999999999999999999996</v>
      </c>
      <c r="K1900" t="s">
        <v>38</v>
      </c>
      <c r="M1900">
        <v>59353</v>
      </c>
      <c r="N1900" t="s">
        <v>457</v>
      </c>
      <c r="O1900" t="s">
        <v>458</v>
      </c>
      <c r="P1900" t="s">
        <v>38</v>
      </c>
      <c r="Q1900" t="s">
        <v>50</v>
      </c>
      <c r="R1900">
        <v>.9999999999999999999999999999999999999996</v>
      </c>
      <c r="S1900" t="s">
        <v>45</v>
      </c>
      <c r="T1900" t="str" s="2">
        <f>=HYPERLINK("http://demo.enginatics.com:80/ecc/user/applications/log/59352.log","http://demo.enginatics.com:80/ecc/user/applications/log/59352.log")</f>
        <v>"http://demo.enginatics.com:80/ecc/user/applications/log/59352.log")</v>
      </c>
      <c r="U1900">
        <v>59354</v>
      </c>
      <c r="V1900" t="s">
        <v>38</v>
      </c>
      <c r="W1900" t="s">
        <v>50</v>
      </c>
      <c r="X1900">
        <v>.9999999999999999999999999999999999999996</v>
      </c>
      <c r="Y1900">
        <v>0</v>
      </c>
      <c r="Z1900" t="s">
        <v>46</v>
      </c>
      <c r="AA1900">
        <v>59355</v>
      </c>
      <c r="AB1900" t="s">
        <v>1679</v>
      </c>
      <c r="AC1900" t="s">
        <v>68</v>
      </c>
      <c r="AD1900" t="s">
        <v>38</v>
      </c>
      <c r="AE1900" t="s">
        <v>49</v>
      </c>
      <c r="AF1900" t="s">
        <v>50</v>
      </c>
      <c r="AG1900">
        <v>.9999999999999999999999999999999999999996</v>
      </c>
      <c r="AH1900">
        <v>0</v>
      </c>
      <c r="AI1900" t="s">
        <v>51</v>
      </c>
      <c r="AJ1900" t="s">
        <v>51</v>
      </c>
      <c r="AK1900" t="s">
        <v>51</v>
      </c>
    </row>
    <row r="1901" spans="1:37" x14ac:dyDescent="0.2">
      <c r="A1901">
        <v>59348</v>
      </c>
      <c r="B1901" t="s">
        <v>37</v>
      </c>
      <c r="C1901" t="s">
        <v>38</v>
      </c>
      <c r="D1901" t="s">
        <v>460</v>
      </c>
      <c r="E1901" t="s">
        <v>40</v>
      </c>
      <c r="G1901" s="4">
        <v>43946.609189814815</v>
      </c>
      <c r="H1901" s="4">
        <v>43946.609212962963</v>
      </c>
      <c r="I1901" t="s">
        <v>88</v>
      </c>
      <c r="J1901" s="5">
        <v>2</v>
      </c>
      <c r="K1901" t="s">
        <v>38</v>
      </c>
      <c r="M1901">
        <v>59349</v>
      </c>
      <c r="N1901" t="s">
        <v>461</v>
      </c>
      <c r="O1901" t="s">
        <v>462</v>
      </c>
      <c r="P1901" t="s">
        <v>38</v>
      </c>
      <c r="Q1901" t="s">
        <v>88</v>
      </c>
      <c r="R1901">
        <v>2</v>
      </c>
      <c r="S1901" t="s">
        <v>45</v>
      </c>
      <c r="T1901" t="str" s="2">
        <f>=HYPERLINK("http://demo.enginatics.com:80/ecc/user/applications/log/59348.log","http://demo.enginatics.com:80/ecc/user/applications/log/59348.log")</f>
        <v>"http://demo.enginatics.com:80/ecc/user/applications/log/59348.log")</v>
      </c>
      <c r="U1901">
        <v>59350</v>
      </c>
      <c r="V1901" t="s">
        <v>38</v>
      </c>
      <c r="W1901" t="s">
        <v>88</v>
      </c>
      <c r="X1901">
        <v>2</v>
      </c>
      <c r="Y1901">
        <v>0</v>
      </c>
      <c r="Z1901" t="s">
        <v>46</v>
      </c>
      <c r="AA1901">
        <v>59351</v>
      </c>
      <c r="AB1901" t="s">
        <v>1455</v>
      </c>
      <c r="AC1901" t="s">
        <v>68</v>
      </c>
      <c r="AD1901" t="s">
        <v>38</v>
      </c>
      <c r="AE1901" t="s">
        <v>49</v>
      </c>
      <c r="AF1901" t="s">
        <v>88</v>
      </c>
      <c r="AG1901">
        <v>2</v>
      </c>
      <c r="AH1901">
        <v>1</v>
      </c>
      <c r="AI1901" t="s">
        <v>51</v>
      </c>
      <c r="AJ1901" t="s">
        <v>51</v>
      </c>
      <c r="AK1901" t="s">
        <v>51</v>
      </c>
    </row>
    <row r="1902" spans="1:37" x14ac:dyDescent="0.2">
      <c r="A1902">
        <v>59323</v>
      </c>
      <c r="B1902" t="s">
        <v>37</v>
      </c>
      <c r="C1902" t="s">
        <v>38</v>
      </c>
      <c r="D1902" t="s">
        <v>464</v>
      </c>
      <c r="E1902" t="s">
        <v>40</v>
      </c>
      <c r="G1902" s="4">
        <v>43946.584247685185</v>
      </c>
      <c r="H1902" s="4">
        <v>43946.584479166667</v>
      </c>
      <c r="I1902" t="s">
        <v>693</v>
      </c>
      <c r="J1902" s="5">
        <v>19.99999999999999999999999999999999999996</v>
      </c>
      <c r="K1902" t="s">
        <v>38</v>
      </c>
      <c r="M1902">
        <v>59345</v>
      </c>
      <c r="N1902" t="s">
        <v>465</v>
      </c>
      <c r="O1902" t="s">
        <v>466</v>
      </c>
      <c r="P1902" t="s">
        <v>38</v>
      </c>
      <c r="Q1902" t="s">
        <v>75</v>
      </c>
      <c r="R1902">
        <v>6</v>
      </c>
      <c r="S1902" t="s">
        <v>45</v>
      </c>
      <c r="T1902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2">
        <v>59346</v>
      </c>
      <c r="V1902" t="s">
        <v>38</v>
      </c>
      <c r="W1902" t="s">
        <v>44</v>
      </c>
      <c r="X1902">
        <v>4</v>
      </c>
      <c r="Y1902">
        <v>0</v>
      </c>
      <c r="Z1902" t="s">
        <v>46</v>
      </c>
      <c r="AA1902">
        <v>59347</v>
      </c>
      <c r="AB1902" t="s">
        <v>467</v>
      </c>
      <c r="AC1902" t="s">
        <v>68</v>
      </c>
      <c r="AD1902" t="s">
        <v>38</v>
      </c>
      <c r="AE1902" t="s">
        <v>468</v>
      </c>
      <c r="AF1902" t="s">
        <v>44</v>
      </c>
      <c r="AG1902">
        <v>4</v>
      </c>
      <c r="AH1902">
        <v>0</v>
      </c>
      <c r="AI1902" t="s">
        <v>469</v>
      </c>
      <c r="AJ1902" t="s">
        <v>51</v>
      </c>
      <c r="AK1902" t="s">
        <v>469</v>
      </c>
    </row>
    <row r="1903" spans="1:37" x14ac:dyDescent="0.2">
      <c r="A1903">
        <v>59323</v>
      </c>
      <c r="B1903" t="s">
        <v>37</v>
      </c>
      <c r="C1903" t="s">
        <v>38</v>
      </c>
      <c r="D1903" t="s">
        <v>464</v>
      </c>
      <c r="E1903" t="s">
        <v>40</v>
      </c>
      <c r="G1903" s="4">
        <v>43946.584247685185</v>
      </c>
      <c r="H1903" s="4">
        <v>43946.584479166667</v>
      </c>
      <c r="I1903" t="s">
        <v>693</v>
      </c>
      <c r="J1903" s="5">
        <v>19.99999999999999999999999999999999999996</v>
      </c>
      <c r="K1903" t="s">
        <v>38</v>
      </c>
      <c r="M1903">
        <v>59342</v>
      </c>
      <c r="N1903" t="s">
        <v>470</v>
      </c>
      <c r="O1903" t="s">
        <v>471</v>
      </c>
      <c r="P1903" t="s">
        <v>38</v>
      </c>
      <c r="Q1903" t="s">
        <v>50</v>
      </c>
      <c r="R1903">
        <v>.9999999999999999999999999999999999999996</v>
      </c>
      <c r="S1903" t="s">
        <v>45</v>
      </c>
      <c r="T1903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3">
        <v>59343</v>
      </c>
      <c r="V1903" t="s">
        <v>38</v>
      </c>
      <c r="W1903" t="s">
        <v>50</v>
      </c>
      <c r="X1903">
        <v>.9999999999999999999999999999999999999996</v>
      </c>
      <c r="Y1903">
        <v>0</v>
      </c>
      <c r="Z1903" t="s">
        <v>46</v>
      </c>
      <c r="AA1903">
        <v>59344</v>
      </c>
      <c r="AB1903" t="s">
        <v>472</v>
      </c>
      <c r="AC1903" t="s">
        <v>68</v>
      </c>
      <c r="AD1903" t="s">
        <v>38</v>
      </c>
      <c r="AE1903" t="s">
        <v>49</v>
      </c>
      <c r="AF1903" t="s">
        <v>50</v>
      </c>
      <c r="AG1903">
        <v>.9999999999999999999999999999999999999996</v>
      </c>
      <c r="AH1903">
        <v>0</v>
      </c>
      <c r="AI1903" t="s">
        <v>51</v>
      </c>
      <c r="AJ1903" t="s">
        <v>51</v>
      </c>
      <c r="AK1903" t="s">
        <v>51</v>
      </c>
    </row>
    <row r="1904" spans="1:37" x14ac:dyDescent="0.2">
      <c r="A1904">
        <v>59323</v>
      </c>
      <c r="B1904" t="s">
        <v>37</v>
      </c>
      <c r="C1904" t="s">
        <v>38</v>
      </c>
      <c r="D1904" t="s">
        <v>464</v>
      </c>
      <c r="E1904" t="s">
        <v>40</v>
      </c>
      <c r="G1904" s="4">
        <v>43946.584247685185</v>
      </c>
      <c r="H1904" s="4">
        <v>43946.584479166667</v>
      </c>
      <c r="I1904" t="s">
        <v>693</v>
      </c>
      <c r="J1904" s="5">
        <v>19.99999999999999999999999999999999999996</v>
      </c>
      <c r="K1904" t="s">
        <v>38</v>
      </c>
      <c r="M1904">
        <v>59339</v>
      </c>
      <c r="N1904" t="s">
        <v>473</v>
      </c>
      <c r="O1904" t="s">
        <v>474</v>
      </c>
      <c r="P1904" t="s">
        <v>38</v>
      </c>
      <c r="Q1904" t="s">
        <v>238</v>
      </c>
      <c r="R1904">
        <v>9.00000000000000000000000000000000000003</v>
      </c>
      <c r="S1904" t="s">
        <v>45</v>
      </c>
      <c r="T1904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4">
        <v>59340</v>
      </c>
      <c r="V1904" t="s">
        <v>38</v>
      </c>
      <c r="W1904" t="s">
        <v>238</v>
      </c>
      <c r="X1904">
        <v>9.00000000000000000000000000000000000003</v>
      </c>
      <c r="Y1904">
        <v>0</v>
      </c>
      <c r="Z1904" t="s">
        <v>46</v>
      </c>
      <c r="AA1904">
        <v>59341</v>
      </c>
      <c r="AB1904" t="s">
        <v>475</v>
      </c>
      <c r="AC1904" t="s">
        <v>68</v>
      </c>
      <c r="AD1904" t="s">
        <v>38</v>
      </c>
      <c r="AE1904" t="s">
        <v>476</v>
      </c>
      <c r="AF1904" t="s">
        <v>85</v>
      </c>
      <c r="AG1904">
        <v>3</v>
      </c>
      <c r="AH1904">
        <v>0</v>
      </c>
      <c r="AI1904" t="s">
        <v>477</v>
      </c>
      <c r="AJ1904" t="s">
        <v>51</v>
      </c>
      <c r="AK1904" t="s">
        <v>477</v>
      </c>
    </row>
    <row r="1905" spans="1:37" x14ac:dyDescent="0.2">
      <c r="A1905">
        <v>59323</v>
      </c>
      <c r="B1905" t="s">
        <v>37</v>
      </c>
      <c r="C1905" t="s">
        <v>38</v>
      </c>
      <c r="D1905" t="s">
        <v>464</v>
      </c>
      <c r="E1905" t="s">
        <v>40</v>
      </c>
      <c r="G1905" s="4">
        <v>43946.584247685185</v>
      </c>
      <c r="H1905" s="4">
        <v>43946.584479166667</v>
      </c>
      <c r="I1905" t="s">
        <v>693</v>
      </c>
      <c r="J1905" s="5">
        <v>19.99999999999999999999999999999999999996</v>
      </c>
      <c r="K1905" t="s">
        <v>38</v>
      </c>
      <c r="M1905">
        <v>59336</v>
      </c>
      <c r="N1905" t="s">
        <v>478</v>
      </c>
      <c r="O1905" t="s">
        <v>479</v>
      </c>
      <c r="P1905" t="s">
        <v>38</v>
      </c>
      <c r="Q1905" t="s">
        <v>50</v>
      </c>
      <c r="R1905">
        <v>.9999999999999999999999999999999999999996</v>
      </c>
      <c r="S1905" t="s">
        <v>45</v>
      </c>
      <c r="T1905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5">
        <v>59337</v>
      </c>
      <c r="V1905" t="s">
        <v>38</v>
      </c>
      <c r="W1905" t="s">
        <v>50</v>
      </c>
      <c r="X1905">
        <v>.9999999999999999999999999999999999999996</v>
      </c>
      <c r="Y1905">
        <v>0</v>
      </c>
      <c r="Z1905" t="s">
        <v>46</v>
      </c>
      <c r="AA1905">
        <v>59338</v>
      </c>
      <c r="AB1905" t="s">
        <v>480</v>
      </c>
      <c r="AC1905" t="s">
        <v>68</v>
      </c>
      <c r="AD1905" t="s">
        <v>38</v>
      </c>
      <c r="AE1905" t="s">
        <v>49</v>
      </c>
      <c r="AF1905" t="s">
        <v>50</v>
      </c>
      <c r="AG1905">
        <v>.9999999999999999999999999999999999999996</v>
      </c>
      <c r="AH1905">
        <v>0</v>
      </c>
      <c r="AI1905" t="s">
        <v>51</v>
      </c>
      <c r="AJ1905" t="s">
        <v>51</v>
      </c>
      <c r="AK1905" t="s">
        <v>51</v>
      </c>
    </row>
    <row r="1906" spans="1:37" x14ac:dyDescent="0.2">
      <c r="A1906">
        <v>59323</v>
      </c>
      <c r="B1906" t="s">
        <v>37</v>
      </c>
      <c r="C1906" t="s">
        <v>38</v>
      </c>
      <c r="D1906" t="s">
        <v>464</v>
      </c>
      <c r="E1906" t="s">
        <v>40</v>
      </c>
      <c r="G1906" s="4">
        <v>43946.584247685185</v>
      </c>
      <c r="H1906" s="4">
        <v>43946.584479166667</v>
      </c>
      <c r="I1906" t="s">
        <v>693</v>
      </c>
      <c r="J1906" s="5">
        <v>19.99999999999999999999999999999999999996</v>
      </c>
      <c r="K1906" t="s">
        <v>38</v>
      </c>
      <c r="M1906">
        <v>59333</v>
      </c>
      <c r="N1906" t="s">
        <v>481</v>
      </c>
      <c r="O1906" t="s">
        <v>482</v>
      </c>
      <c r="P1906" t="s">
        <v>38</v>
      </c>
      <c r="Q1906" t="s">
        <v>50</v>
      </c>
      <c r="R1906">
        <v>0</v>
      </c>
      <c r="S1906" t="s">
        <v>45</v>
      </c>
      <c r="T1906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6">
        <v>59334</v>
      </c>
      <c r="V1906" t="s">
        <v>38</v>
      </c>
      <c r="W1906" t="s">
        <v>50</v>
      </c>
      <c r="X1906">
        <v>0</v>
      </c>
      <c r="Y1906">
        <v>0</v>
      </c>
      <c r="Z1906" t="s">
        <v>46</v>
      </c>
      <c r="AA1906">
        <v>59335</v>
      </c>
      <c r="AB1906" t="s">
        <v>483</v>
      </c>
      <c r="AC1906" t="s">
        <v>68</v>
      </c>
      <c r="AD1906" t="s">
        <v>38</v>
      </c>
      <c r="AE1906" t="s">
        <v>49</v>
      </c>
      <c r="AF1906" t="s">
        <v>50</v>
      </c>
      <c r="AG1906">
        <v>0</v>
      </c>
      <c r="AH1906">
        <v>0</v>
      </c>
      <c r="AI1906" t="s">
        <v>51</v>
      </c>
      <c r="AJ1906" t="s">
        <v>51</v>
      </c>
      <c r="AK1906" t="s">
        <v>51</v>
      </c>
    </row>
    <row r="1907" spans="1:37" x14ac:dyDescent="0.2">
      <c r="A1907">
        <v>59323</v>
      </c>
      <c r="B1907" t="s">
        <v>37</v>
      </c>
      <c r="C1907" t="s">
        <v>38</v>
      </c>
      <c r="D1907" t="s">
        <v>464</v>
      </c>
      <c r="E1907" t="s">
        <v>40</v>
      </c>
      <c r="G1907" s="4">
        <v>43946.584247685185</v>
      </c>
      <c r="H1907" s="4">
        <v>43946.584479166667</v>
      </c>
      <c r="I1907" t="s">
        <v>693</v>
      </c>
      <c r="J1907" s="5">
        <v>19.99999999999999999999999999999999999996</v>
      </c>
      <c r="K1907" t="s">
        <v>38</v>
      </c>
      <c r="M1907">
        <v>59330</v>
      </c>
      <c r="N1907" t="s">
        <v>484</v>
      </c>
      <c r="O1907" t="s">
        <v>485</v>
      </c>
      <c r="P1907" t="s">
        <v>38</v>
      </c>
      <c r="Q1907" t="s">
        <v>50</v>
      </c>
      <c r="R1907">
        <v>0</v>
      </c>
      <c r="S1907" t="s">
        <v>45</v>
      </c>
      <c r="T1907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7">
        <v>59331</v>
      </c>
      <c r="V1907" t="s">
        <v>38</v>
      </c>
      <c r="W1907" t="s">
        <v>50</v>
      </c>
      <c r="X1907">
        <v>0</v>
      </c>
      <c r="Y1907">
        <v>0</v>
      </c>
      <c r="Z1907" t="s">
        <v>46</v>
      </c>
      <c r="AA1907">
        <v>59332</v>
      </c>
      <c r="AB1907" t="s">
        <v>1680</v>
      </c>
      <c r="AC1907" t="s">
        <v>68</v>
      </c>
      <c r="AD1907" t="s">
        <v>38</v>
      </c>
      <c r="AE1907" t="s">
        <v>49</v>
      </c>
      <c r="AF1907" t="s">
        <v>50</v>
      </c>
      <c r="AG1907">
        <v>0</v>
      </c>
      <c r="AH1907">
        <v>0</v>
      </c>
      <c r="AI1907" t="s">
        <v>51</v>
      </c>
      <c r="AJ1907" t="s">
        <v>51</v>
      </c>
      <c r="AK1907" t="s">
        <v>51</v>
      </c>
    </row>
    <row r="1908" spans="1:37" x14ac:dyDescent="0.2">
      <c r="A1908">
        <v>59323</v>
      </c>
      <c r="B1908" t="s">
        <v>37</v>
      </c>
      <c r="C1908" t="s">
        <v>38</v>
      </c>
      <c r="D1908" t="s">
        <v>464</v>
      </c>
      <c r="E1908" t="s">
        <v>40</v>
      </c>
      <c r="G1908" s="4">
        <v>43946.584247685185</v>
      </c>
      <c r="H1908" s="4">
        <v>43946.584479166667</v>
      </c>
      <c r="I1908" t="s">
        <v>693</v>
      </c>
      <c r="J1908" s="5">
        <v>19.99999999999999999999999999999999999996</v>
      </c>
      <c r="K1908" t="s">
        <v>38</v>
      </c>
      <c r="M1908">
        <v>59327</v>
      </c>
      <c r="N1908" t="s">
        <v>487</v>
      </c>
      <c r="O1908" t="s">
        <v>488</v>
      </c>
      <c r="P1908" t="s">
        <v>38</v>
      </c>
      <c r="Q1908" t="s">
        <v>50</v>
      </c>
      <c r="R1908">
        <v>.9999999999999999999999999999999999999996</v>
      </c>
      <c r="S1908" t="s">
        <v>45</v>
      </c>
      <c r="T1908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8">
        <v>59328</v>
      </c>
      <c r="V1908" t="s">
        <v>38</v>
      </c>
      <c r="W1908" t="s">
        <v>50</v>
      </c>
      <c r="X1908">
        <v>.9999999999999999999999999999999999999996</v>
      </c>
      <c r="Y1908">
        <v>0</v>
      </c>
      <c r="Z1908" t="s">
        <v>46</v>
      </c>
      <c r="AA1908">
        <v>59329</v>
      </c>
      <c r="AB1908" t="s">
        <v>489</v>
      </c>
      <c r="AC1908" t="s">
        <v>68</v>
      </c>
      <c r="AD1908" t="s">
        <v>38</v>
      </c>
      <c r="AE1908" t="s">
        <v>49</v>
      </c>
      <c r="AF1908" t="s">
        <v>50</v>
      </c>
      <c r="AG1908">
        <v>.9999999999999999999999999999999999999996</v>
      </c>
      <c r="AH1908">
        <v>0</v>
      </c>
      <c r="AI1908" t="s">
        <v>51</v>
      </c>
      <c r="AJ1908" t="s">
        <v>51</v>
      </c>
      <c r="AK1908" t="s">
        <v>51</v>
      </c>
    </row>
    <row r="1909" spans="1:37" x14ac:dyDescent="0.2">
      <c r="A1909">
        <v>59323</v>
      </c>
      <c r="B1909" t="s">
        <v>37</v>
      </c>
      <c r="C1909" t="s">
        <v>38</v>
      </c>
      <c r="D1909" t="s">
        <v>464</v>
      </c>
      <c r="E1909" t="s">
        <v>40</v>
      </c>
      <c r="G1909" s="4">
        <v>43946.584247685185</v>
      </c>
      <c r="H1909" s="4">
        <v>43946.584479166667</v>
      </c>
      <c r="I1909" t="s">
        <v>693</v>
      </c>
      <c r="J1909" s="5">
        <v>19.99999999999999999999999999999999999996</v>
      </c>
      <c r="K1909" t="s">
        <v>38</v>
      </c>
      <c r="M1909">
        <v>59324</v>
      </c>
      <c r="N1909" t="s">
        <v>490</v>
      </c>
      <c r="O1909" t="s">
        <v>491</v>
      </c>
      <c r="P1909" t="s">
        <v>38</v>
      </c>
      <c r="Q1909" t="s">
        <v>50</v>
      </c>
      <c r="R1909">
        <v>0</v>
      </c>
      <c r="S1909" t="s">
        <v>45</v>
      </c>
      <c r="T1909" t="str" s="2">
        <f>=HYPERLINK("http://demo.enginatics.com:80/ecc/user/applications/log/59323.log","http://demo.enginatics.com:80/ecc/user/applications/log/59323.log")</f>
        <v>"http://demo.enginatics.com:80/ecc/user/applications/log/59323.log")</v>
      </c>
      <c r="U1909">
        <v>59325</v>
      </c>
      <c r="V1909" t="s">
        <v>38</v>
      </c>
      <c r="W1909" t="s">
        <v>50</v>
      </c>
      <c r="X1909">
        <v>0</v>
      </c>
      <c r="Y1909">
        <v>0</v>
      </c>
      <c r="Z1909" t="s">
        <v>46</v>
      </c>
      <c r="AA1909">
        <v>59326</v>
      </c>
      <c r="AB1909" t="s">
        <v>1681</v>
      </c>
      <c r="AC1909" t="s">
        <v>68</v>
      </c>
      <c r="AD1909" t="s">
        <v>38</v>
      </c>
      <c r="AE1909" t="s">
        <v>49</v>
      </c>
      <c r="AF1909" t="s">
        <v>50</v>
      </c>
      <c r="AG1909">
        <v>0</v>
      </c>
      <c r="AH1909">
        <v>0</v>
      </c>
      <c r="AI1909" t="s">
        <v>51</v>
      </c>
      <c r="AJ1909" t="s">
        <v>51</v>
      </c>
      <c r="AK1909" t="s">
        <v>51</v>
      </c>
    </row>
    <row r="1910" spans="1:37" x14ac:dyDescent="0.2">
      <c r="A1910">
        <v>59298</v>
      </c>
      <c r="B1910" t="s">
        <v>37</v>
      </c>
      <c r="C1910" t="s">
        <v>38</v>
      </c>
      <c r="D1910" t="s">
        <v>464</v>
      </c>
      <c r="E1910" t="s">
        <v>40</v>
      </c>
      <c r="G1910" s="4">
        <v>43946.581423611111</v>
      </c>
      <c r="H1910" s="4">
        <v>43946.581666666667</v>
      </c>
      <c r="I1910" t="s">
        <v>510</v>
      </c>
      <c r="J1910" s="5">
        <v>21.00000000000000000000000000000000000004</v>
      </c>
      <c r="K1910" t="s">
        <v>38</v>
      </c>
      <c r="M1910">
        <v>59320</v>
      </c>
      <c r="N1910" t="s">
        <v>465</v>
      </c>
      <c r="O1910" t="s">
        <v>466</v>
      </c>
      <c r="P1910" t="s">
        <v>38</v>
      </c>
      <c r="Q1910" t="s">
        <v>75</v>
      </c>
      <c r="R1910">
        <v>6</v>
      </c>
      <c r="S1910" t="s">
        <v>45</v>
      </c>
      <c r="T1910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0">
        <v>59321</v>
      </c>
      <c r="V1910" t="s">
        <v>38</v>
      </c>
      <c r="W1910" t="s">
        <v>75</v>
      </c>
      <c r="X1910">
        <v>6</v>
      </c>
      <c r="Y1910">
        <v>0</v>
      </c>
      <c r="Z1910" t="s">
        <v>46</v>
      </c>
      <c r="AA1910">
        <v>59322</v>
      </c>
      <c r="AB1910" t="s">
        <v>467</v>
      </c>
      <c r="AC1910" t="s">
        <v>68</v>
      </c>
      <c r="AD1910" t="s">
        <v>38</v>
      </c>
      <c r="AE1910" t="s">
        <v>468</v>
      </c>
      <c r="AF1910" t="s">
        <v>75</v>
      </c>
      <c r="AG1910">
        <v>6</v>
      </c>
      <c r="AH1910">
        <v>0</v>
      </c>
      <c r="AI1910" t="s">
        <v>469</v>
      </c>
      <c r="AJ1910" t="s">
        <v>51</v>
      </c>
      <c r="AK1910" t="s">
        <v>469</v>
      </c>
    </row>
    <row r="1911" spans="1:37" x14ac:dyDescent="0.2">
      <c r="A1911">
        <v>59298</v>
      </c>
      <c r="B1911" t="s">
        <v>37</v>
      </c>
      <c r="C1911" t="s">
        <v>38</v>
      </c>
      <c r="D1911" t="s">
        <v>464</v>
      </c>
      <c r="E1911" t="s">
        <v>40</v>
      </c>
      <c r="G1911" s="4">
        <v>43946.581423611111</v>
      </c>
      <c r="H1911" s="4">
        <v>43946.581666666667</v>
      </c>
      <c r="I1911" t="s">
        <v>510</v>
      </c>
      <c r="J1911" s="5">
        <v>21.00000000000000000000000000000000000004</v>
      </c>
      <c r="K1911" t="s">
        <v>38</v>
      </c>
      <c r="M1911">
        <v>59317</v>
      </c>
      <c r="N1911" t="s">
        <v>470</v>
      </c>
      <c r="O1911" t="s">
        <v>471</v>
      </c>
      <c r="P1911" t="s">
        <v>38</v>
      </c>
      <c r="Q1911" t="s">
        <v>50</v>
      </c>
      <c r="R1911">
        <v>0</v>
      </c>
      <c r="S1911" t="s">
        <v>45</v>
      </c>
      <c r="T1911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1">
        <v>59318</v>
      </c>
      <c r="V1911" t="s">
        <v>38</v>
      </c>
      <c r="W1911" t="s">
        <v>50</v>
      </c>
      <c r="X1911">
        <v>0</v>
      </c>
      <c r="Y1911">
        <v>0</v>
      </c>
      <c r="Z1911" t="s">
        <v>46</v>
      </c>
      <c r="AA1911">
        <v>59319</v>
      </c>
      <c r="AB1911" t="s">
        <v>472</v>
      </c>
      <c r="AC1911" t="s">
        <v>68</v>
      </c>
      <c r="AD1911" t="s">
        <v>38</v>
      </c>
      <c r="AE1911" t="s">
        <v>49</v>
      </c>
      <c r="AF1911" t="s">
        <v>50</v>
      </c>
      <c r="AG1911">
        <v>0</v>
      </c>
      <c r="AH1911">
        <v>0</v>
      </c>
      <c r="AI1911" t="s">
        <v>51</v>
      </c>
      <c r="AJ1911" t="s">
        <v>51</v>
      </c>
      <c r="AK1911" t="s">
        <v>51</v>
      </c>
    </row>
    <row r="1912" spans="1:37" x14ac:dyDescent="0.2">
      <c r="A1912">
        <v>59298</v>
      </c>
      <c r="B1912" t="s">
        <v>37</v>
      </c>
      <c r="C1912" t="s">
        <v>38</v>
      </c>
      <c r="D1912" t="s">
        <v>464</v>
      </c>
      <c r="E1912" t="s">
        <v>40</v>
      </c>
      <c r="G1912" s="4">
        <v>43946.581423611111</v>
      </c>
      <c r="H1912" s="4">
        <v>43946.581666666667</v>
      </c>
      <c r="I1912" t="s">
        <v>510</v>
      </c>
      <c r="J1912" s="5">
        <v>21.00000000000000000000000000000000000004</v>
      </c>
      <c r="K1912" t="s">
        <v>38</v>
      </c>
      <c r="M1912">
        <v>59314</v>
      </c>
      <c r="N1912" t="s">
        <v>473</v>
      </c>
      <c r="O1912" t="s">
        <v>474</v>
      </c>
      <c r="P1912" t="s">
        <v>38</v>
      </c>
      <c r="Q1912" t="s">
        <v>44</v>
      </c>
      <c r="R1912">
        <v>4</v>
      </c>
      <c r="S1912" t="s">
        <v>45</v>
      </c>
      <c r="T1912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2">
        <v>59315</v>
      </c>
      <c r="V1912" t="s">
        <v>38</v>
      </c>
      <c r="W1912" t="s">
        <v>44</v>
      </c>
      <c r="X1912">
        <v>4</v>
      </c>
      <c r="Y1912">
        <v>0</v>
      </c>
      <c r="Z1912" t="s">
        <v>46</v>
      </c>
      <c r="AA1912">
        <v>59316</v>
      </c>
      <c r="AB1912" t="s">
        <v>475</v>
      </c>
      <c r="AC1912" t="s">
        <v>68</v>
      </c>
      <c r="AD1912" t="s">
        <v>38</v>
      </c>
      <c r="AE1912" t="s">
        <v>476</v>
      </c>
      <c r="AF1912" t="s">
        <v>44</v>
      </c>
      <c r="AG1912">
        <v>4</v>
      </c>
      <c r="AH1912">
        <v>0</v>
      </c>
      <c r="AI1912" t="s">
        <v>477</v>
      </c>
      <c r="AJ1912" t="s">
        <v>51</v>
      </c>
      <c r="AK1912" t="s">
        <v>477</v>
      </c>
    </row>
    <row r="1913" spans="1:37" x14ac:dyDescent="0.2">
      <c r="A1913">
        <v>59298</v>
      </c>
      <c r="B1913" t="s">
        <v>37</v>
      </c>
      <c r="C1913" t="s">
        <v>38</v>
      </c>
      <c r="D1913" t="s">
        <v>464</v>
      </c>
      <c r="E1913" t="s">
        <v>40</v>
      </c>
      <c r="G1913" s="4">
        <v>43946.581423611111</v>
      </c>
      <c r="H1913" s="4">
        <v>43946.581666666667</v>
      </c>
      <c r="I1913" t="s">
        <v>510</v>
      </c>
      <c r="J1913" s="5">
        <v>21.00000000000000000000000000000000000004</v>
      </c>
      <c r="K1913" t="s">
        <v>38</v>
      </c>
      <c r="M1913">
        <v>59311</v>
      </c>
      <c r="N1913" t="s">
        <v>478</v>
      </c>
      <c r="O1913" t="s">
        <v>479</v>
      </c>
      <c r="P1913" t="s">
        <v>38</v>
      </c>
      <c r="Q1913" t="s">
        <v>50</v>
      </c>
      <c r="R1913">
        <v>.9999999999999999999999999999999999999996</v>
      </c>
      <c r="S1913" t="s">
        <v>45</v>
      </c>
      <c r="T1913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3">
        <v>59312</v>
      </c>
      <c r="V1913" t="s">
        <v>38</v>
      </c>
      <c r="W1913" t="s">
        <v>50</v>
      </c>
      <c r="X1913">
        <v>.9999999999999999999999999999999999999996</v>
      </c>
      <c r="Y1913">
        <v>0</v>
      </c>
      <c r="Z1913" t="s">
        <v>46</v>
      </c>
      <c r="AA1913">
        <v>59313</v>
      </c>
      <c r="AB1913" t="s">
        <v>480</v>
      </c>
      <c r="AC1913" t="s">
        <v>68</v>
      </c>
      <c r="AD1913" t="s">
        <v>38</v>
      </c>
      <c r="AE1913" t="s">
        <v>49</v>
      </c>
      <c r="AF1913" t="s">
        <v>50</v>
      </c>
      <c r="AG1913">
        <v>.9999999999999999999999999999999999999996</v>
      </c>
      <c r="AH1913">
        <v>0</v>
      </c>
      <c r="AI1913" t="s">
        <v>51</v>
      </c>
      <c r="AJ1913" t="s">
        <v>51</v>
      </c>
      <c r="AK1913" t="s">
        <v>51</v>
      </c>
    </row>
    <row r="1914" spans="1:37" x14ac:dyDescent="0.2">
      <c r="A1914">
        <v>59298</v>
      </c>
      <c r="B1914" t="s">
        <v>37</v>
      </c>
      <c r="C1914" t="s">
        <v>38</v>
      </c>
      <c r="D1914" t="s">
        <v>464</v>
      </c>
      <c r="E1914" t="s">
        <v>40</v>
      </c>
      <c r="G1914" s="4">
        <v>43946.581423611111</v>
      </c>
      <c r="H1914" s="4">
        <v>43946.581666666667</v>
      </c>
      <c r="I1914" t="s">
        <v>510</v>
      </c>
      <c r="J1914" s="5">
        <v>21.00000000000000000000000000000000000004</v>
      </c>
      <c r="K1914" t="s">
        <v>38</v>
      </c>
      <c r="M1914">
        <v>59308</v>
      </c>
      <c r="N1914" t="s">
        <v>481</v>
      </c>
      <c r="O1914" t="s">
        <v>482</v>
      </c>
      <c r="P1914" t="s">
        <v>38</v>
      </c>
      <c r="Q1914" t="s">
        <v>75</v>
      </c>
      <c r="R1914">
        <v>6</v>
      </c>
      <c r="S1914" t="s">
        <v>45</v>
      </c>
      <c r="T1914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4">
        <v>59309</v>
      </c>
      <c r="V1914" t="s">
        <v>38</v>
      </c>
      <c r="W1914" t="s">
        <v>75</v>
      </c>
      <c r="X1914">
        <v>6</v>
      </c>
      <c r="Y1914">
        <v>0</v>
      </c>
      <c r="Z1914" t="s">
        <v>46</v>
      </c>
      <c r="AA1914">
        <v>59310</v>
      </c>
      <c r="AB1914" t="s">
        <v>483</v>
      </c>
      <c r="AC1914" t="s">
        <v>68</v>
      </c>
      <c r="AD1914" t="s">
        <v>38</v>
      </c>
      <c r="AE1914" t="s">
        <v>49</v>
      </c>
      <c r="AF1914" t="s">
        <v>75</v>
      </c>
      <c r="AG1914">
        <v>6</v>
      </c>
      <c r="AH1914">
        <v>0</v>
      </c>
      <c r="AI1914" t="s">
        <v>51</v>
      </c>
      <c r="AJ1914" t="s">
        <v>51</v>
      </c>
      <c r="AK1914" t="s">
        <v>51</v>
      </c>
    </row>
    <row r="1915" spans="1:37" x14ac:dyDescent="0.2">
      <c r="A1915">
        <v>59298</v>
      </c>
      <c r="B1915" t="s">
        <v>37</v>
      </c>
      <c r="C1915" t="s">
        <v>38</v>
      </c>
      <c r="D1915" t="s">
        <v>464</v>
      </c>
      <c r="E1915" t="s">
        <v>40</v>
      </c>
      <c r="G1915" s="4">
        <v>43946.581423611111</v>
      </c>
      <c r="H1915" s="4">
        <v>43946.581666666667</v>
      </c>
      <c r="I1915" t="s">
        <v>510</v>
      </c>
      <c r="J1915" s="5">
        <v>21.00000000000000000000000000000000000004</v>
      </c>
      <c r="K1915" t="s">
        <v>38</v>
      </c>
      <c r="M1915">
        <v>59305</v>
      </c>
      <c r="N1915" t="s">
        <v>484</v>
      </c>
      <c r="O1915" t="s">
        <v>485</v>
      </c>
      <c r="P1915" t="s">
        <v>38</v>
      </c>
      <c r="Q1915" t="s">
        <v>50</v>
      </c>
      <c r="R1915">
        <v>0</v>
      </c>
      <c r="S1915" t="s">
        <v>45</v>
      </c>
      <c r="T1915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5">
        <v>59306</v>
      </c>
      <c r="V1915" t="s">
        <v>38</v>
      </c>
      <c r="W1915" t="s">
        <v>50</v>
      </c>
      <c r="X1915">
        <v>0</v>
      </c>
      <c r="Y1915">
        <v>0</v>
      </c>
      <c r="Z1915" t="s">
        <v>46</v>
      </c>
      <c r="AA1915">
        <v>59307</v>
      </c>
      <c r="AB1915" t="s">
        <v>1682</v>
      </c>
      <c r="AC1915" t="s">
        <v>68</v>
      </c>
      <c r="AD1915" t="s">
        <v>38</v>
      </c>
      <c r="AE1915" t="s">
        <v>49</v>
      </c>
      <c r="AF1915" t="s">
        <v>50</v>
      </c>
      <c r="AG1915">
        <v>0</v>
      </c>
      <c r="AH1915">
        <v>0</v>
      </c>
      <c r="AI1915" t="s">
        <v>51</v>
      </c>
      <c r="AJ1915" t="s">
        <v>51</v>
      </c>
      <c r="AK1915" t="s">
        <v>51</v>
      </c>
    </row>
    <row r="1916" spans="1:37" x14ac:dyDescent="0.2">
      <c r="A1916">
        <v>59298</v>
      </c>
      <c r="B1916" t="s">
        <v>37</v>
      </c>
      <c r="C1916" t="s">
        <v>38</v>
      </c>
      <c r="D1916" t="s">
        <v>464</v>
      </c>
      <c r="E1916" t="s">
        <v>40</v>
      </c>
      <c r="G1916" s="4">
        <v>43946.581423611111</v>
      </c>
      <c r="H1916" s="4">
        <v>43946.581666666667</v>
      </c>
      <c r="I1916" t="s">
        <v>510</v>
      </c>
      <c r="J1916" s="5">
        <v>21.00000000000000000000000000000000000004</v>
      </c>
      <c r="K1916" t="s">
        <v>38</v>
      </c>
      <c r="M1916">
        <v>59302</v>
      </c>
      <c r="N1916" t="s">
        <v>487</v>
      </c>
      <c r="O1916" t="s">
        <v>488</v>
      </c>
      <c r="P1916" t="s">
        <v>38</v>
      </c>
      <c r="Q1916" t="s">
        <v>50</v>
      </c>
      <c r="R1916">
        <v>0</v>
      </c>
      <c r="S1916" t="s">
        <v>45</v>
      </c>
      <c r="T1916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6">
        <v>59303</v>
      </c>
      <c r="V1916" t="s">
        <v>38</v>
      </c>
      <c r="W1916" t="s">
        <v>50</v>
      </c>
      <c r="X1916">
        <v>0</v>
      </c>
      <c r="Y1916">
        <v>0</v>
      </c>
      <c r="Z1916" t="s">
        <v>46</v>
      </c>
      <c r="AA1916">
        <v>59304</v>
      </c>
      <c r="AB1916" t="s">
        <v>489</v>
      </c>
      <c r="AC1916" t="s">
        <v>68</v>
      </c>
      <c r="AD1916" t="s">
        <v>38</v>
      </c>
      <c r="AE1916" t="s">
        <v>49</v>
      </c>
      <c r="AF1916" t="s">
        <v>50</v>
      </c>
      <c r="AG1916">
        <v>0</v>
      </c>
      <c r="AH1916">
        <v>0</v>
      </c>
      <c r="AI1916" t="s">
        <v>51</v>
      </c>
      <c r="AJ1916" t="s">
        <v>51</v>
      </c>
      <c r="AK1916" t="s">
        <v>51</v>
      </c>
    </row>
    <row r="1917" spans="1:37" x14ac:dyDescent="0.2">
      <c r="A1917">
        <v>59298</v>
      </c>
      <c r="B1917" t="s">
        <v>37</v>
      </c>
      <c r="C1917" t="s">
        <v>38</v>
      </c>
      <c r="D1917" t="s">
        <v>464</v>
      </c>
      <c r="E1917" t="s">
        <v>40</v>
      </c>
      <c r="G1917" s="4">
        <v>43946.581423611111</v>
      </c>
      <c r="H1917" s="4">
        <v>43946.581666666667</v>
      </c>
      <c r="I1917" t="s">
        <v>510</v>
      </c>
      <c r="J1917" s="5">
        <v>21.00000000000000000000000000000000000004</v>
      </c>
      <c r="K1917" t="s">
        <v>38</v>
      </c>
      <c r="M1917">
        <v>59299</v>
      </c>
      <c r="N1917" t="s">
        <v>490</v>
      </c>
      <c r="O1917" t="s">
        <v>491</v>
      </c>
      <c r="P1917" t="s">
        <v>38</v>
      </c>
      <c r="Q1917" t="s">
        <v>85</v>
      </c>
      <c r="R1917">
        <v>3</v>
      </c>
      <c r="S1917" t="s">
        <v>45</v>
      </c>
      <c r="T1917" t="str" s="2">
        <f>=HYPERLINK("http://demo.enginatics.com:80/ecc/user/applications/log/59298.log","http://demo.enginatics.com:80/ecc/user/applications/log/59298.log")</f>
        <v>"http://demo.enginatics.com:80/ecc/user/applications/log/59298.log")</v>
      </c>
      <c r="U1917">
        <v>59300</v>
      </c>
      <c r="V1917" t="s">
        <v>38</v>
      </c>
      <c r="W1917" t="s">
        <v>85</v>
      </c>
      <c r="X1917">
        <v>3</v>
      </c>
      <c r="Y1917">
        <v>0</v>
      </c>
      <c r="Z1917" t="s">
        <v>46</v>
      </c>
      <c r="AA1917">
        <v>59301</v>
      </c>
      <c r="AB1917" t="s">
        <v>1683</v>
      </c>
      <c r="AC1917" t="s">
        <v>68</v>
      </c>
      <c r="AD1917" t="s">
        <v>38</v>
      </c>
      <c r="AE1917" t="s">
        <v>49</v>
      </c>
      <c r="AF1917" t="s">
        <v>85</v>
      </c>
      <c r="AG1917">
        <v>3</v>
      </c>
      <c r="AH1917">
        <v>0</v>
      </c>
      <c r="AI1917" t="s">
        <v>51</v>
      </c>
      <c r="AJ1917" t="s">
        <v>51</v>
      </c>
      <c r="AK1917" t="s">
        <v>51</v>
      </c>
    </row>
    <row r="1918" spans="1:37" x14ac:dyDescent="0.2">
      <c r="A1918">
        <v>59294</v>
      </c>
      <c r="B1918" t="s">
        <v>37</v>
      </c>
      <c r="C1918" t="s">
        <v>38</v>
      </c>
      <c r="D1918" t="s">
        <v>495</v>
      </c>
      <c r="E1918" t="s">
        <v>40</v>
      </c>
      <c r="G1918" s="4">
        <v>43946.578993055556</v>
      </c>
      <c r="H1918" s="4">
        <v>43946.579131944444</v>
      </c>
      <c r="I1918" t="s">
        <v>236</v>
      </c>
      <c r="J1918" s="5">
        <v>12.00000000000000000000000000000000000001</v>
      </c>
      <c r="K1918" t="s">
        <v>38</v>
      </c>
      <c r="M1918">
        <v>59295</v>
      </c>
      <c r="N1918" t="s">
        <v>496</v>
      </c>
      <c r="O1918" t="s">
        <v>497</v>
      </c>
      <c r="P1918" t="s">
        <v>38</v>
      </c>
      <c r="Q1918" t="s">
        <v>236</v>
      </c>
      <c r="R1918">
        <v>12.00000000000000000000000000000000000001</v>
      </c>
      <c r="S1918" t="s">
        <v>45</v>
      </c>
      <c r="T1918" t="str" s="2">
        <f>=HYPERLINK("http://demo.enginatics.com:80/ecc/user/applications/log/59294.log","http://demo.enginatics.com:80/ecc/user/applications/log/59294.log")</f>
        <v>"http://demo.enginatics.com:80/ecc/user/applications/log/59294.log")</v>
      </c>
      <c r="U1918">
        <v>59296</v>
      </c>
      <c r="V1918" t="s">
        <v>38</v>
      </c>
      <c r="W1918" t="s">
        <v>236</v>
      </c>
      <c r="X1918">
        <v>12.00000000000000000000000000000000000001</v>
      </c>
      <c r="Y1918">
        <v>0</v>
      </c>
      <c r="Z1918" t="s">
        <v>46</v>
      </c>
      <c r="AA1918">
        <v>59297</v>
      </c>
      <c r="AB1918" t="s">
        <v>1684</v>
      </c>
      <c r="AC1918" t="s">
        <v>97</v>
      </c>
      <c r="AD1918" t="s">
        <v>38</v>
      </c>
      <c r="AE1918" t="s">
        <v>49</v>
      </c>
      <c r="AF1918" t="s">
        <v>236</v>
      </c>
      <c r="AG1918">
        <v>12.00000000000000000000000000000000000001</v>
      </c>
      <c r="AH1918">
        <v>12</v>
      </c>
      <c r="AI1918" t="s">
        <v>51</v>
      </c>
      <c r="AJ1918" t="s">
        <v>51</v>
      </c>
      <c r="AK1918" t="s">
        <v>51</v>
      </c>
    </row>
    <row r="1919" spans="1:37" x14ac:dyDescent="0.2">
      <c r="A1919">
        <v>59284</v>
      </c>
      <c r="B1919" t="s">
        <v>37</v>
      </c>
      <c r="C1919" t="s">
        <v>38</v>
      </c>
      <c r="D1919" t="s">
        <v>499</v>
      </c>
      <c r="E1919" t="s">
        <v>40</v>
      </c>
      <c r="G1919" s="4">
        <v>43946.568680555556</v>
      </c>
      <c r="H1919" s="4">
        <v>43946.568703703704</v>
      </c>
      <c r="I1919" t="s">
        <v>88</v>
      </c>
      <c r="J1919" s="5">
        <v>2</v>
      </c>
      <c r="K1919" t="s">
        <v>38</v>
      </c>
      <c r="M1919">
        <v>59291</v>
      </c>
      <c r="N1919" t="s">
        <v>500</v>
      </c>
      <c r="O1919" t="s">
        <v>501</v>
      </c>
      <c r="P1919" t="s">
        <v>38</v>
      </c>
      <c r="Q1919" t="s">
        <v>50</v>
      </c>
      <c r="R1919">
        <v>0</v>
      </c>
      <c r="S1919" t="s">
        <v>45</v>
      </c>
      <c r="T1919" t="str" s="2">
        <f>=HYPERLINK("http://demo.enginatics.com:80/ecc/user/applications/log/59284.log","http://demo.enginatics.com:80/ecc/user/applications/log/59284.log")</f>
        <v>"http://demo.enginatics.com:80/ecc/user/applications/log/59284.log")</v>
      </c>
      <c r="U1919">
        <v>59292</v>
      </c>
      <c r="V1919" t="s">
        <v>38</v>
      </c>
      <c r="W1919" t="s">
        <v>50</v>
      </c>
      <c r="X1919">
        <v>0</v>
      </c>
      <c r="Y1919">
        <v>0</v>
      </c>
      <c r="Z1919" t="s">
        <v>46</v>
      </c>
      <c r="AA1919">
        <v>59293</v>
      </c>
      <c r="AB1919" t="s">
        <v>1685</v>
      </c>
      <c r="AC1919" t="s">
        <v>68</v>
      </c>
      <c r="AD1919" t="s">
        <v>38</v>
      </c>
      <c r="AE1919" t="s">
        <v>49</v>
      </c>
      <c r="AF1919" t="s">
        <v>50</v>
      </c>
      <c r="AG1919">
        <v>0</v>
      </c>
      <c r="AH1919">
        <v>0</v>
      </c>
      <c r="AI1919" t="s">
        <v>51</v>
      </c>
      <c r="AJ1919" t="s">
        <v>51</v>
      </c>
      <c r="AK1919" t="s">
        <v>51</v>
      </c>
    </row>
    <row r="1920" spans="1:37" x14ac:dyDescent="0.2">
      <c r="A1920">
        <v>59284</v>
      </c>
      <c r="B1920" t="s">
        <v>37</v>
      </c>
      <c r="C1920" t="s">
        <v>38</v>
      </c>
      <c r="D1920" t="s">
        <v>499</v>
      </c>
      <c r="E1920" t="s">
        <v>40</v>
      </c>
      <c r="G1920" s="4">
        <v>43946.568680555556</v>
      </c>
      <c r="H1920" s="4">
        <v>43946.568703703704</v>
      </c>
      <c r="I1920" t="s">
        <v>88</v>
      </c>
      <c r="J1920" s="5">
        <v>2</v>
      </c>
      <c r="K1920" t="s">
        <v>38</v>
      </c>
      <c r="M1920">
        <v>59288</v>
      </c>
      <c r="N1920" t="s">
        <v>503</v>
      </c>
      <c r="O1920" t="s">
        <v>504</v>
      </c>
      <c r="P1920" t="s">
        <v>38</v>
      </c>
      <c r="Q1920" t="s">
        <v>88</v>
      </c>
      <c r="R1920">
        <v>2</v>
      </c>
      <c r="S1920" t="s">
        <v>45</v>
      </c>
      <c r="T1920" t="str" s="2">
        <f>=HYPERLINK("http://demo.enginatics.com:80/ecc/user/applications/log/59284.log","http://demo.enginatics.com:80/ecc/user/applications/log/59284.log")</f>
        <v>"http://demo.enginatics.com:80/ecc/user/applications/log/59284.log")</v>
      </c>
      <c r="U1920">
        <v>59289</v>
      </c>
      <c r="V1920" t="s">
        <v>38</v>
      </c>
      <c r="W1920" t="s">
        <v>88</v>
      </c>
      <c r="X1920">
        <v>2</v>
      </c>
      <c r="Y1920">
        <v>0</v>
      </c>
      <c r="Z1920" t="s">
        <v>46</v>
      </c>
      <c r="AA1920">
        <v>59290</v>
      </c>
      <c r="AB1920" t="s">
        <v>505</v>
      </c>
      <c r="AC1920" t="s">
        <v>68</v>
      </c>
      <c r="AD1920" t="s">
        <v>38</v>
      </c>
      <c r="AE1920" t="s">
        <v>49</v>
      </c>
      <c r="AF1920" t="s">
        <v>88</v>
      </c>
      <c r="AG1920">
        <v>2</v>
      </c>
      <c r="AH1920">
        <v>1</v>
      </c>
      <c r="AI1920" t="s">
        <v>51</v>
      </c>
      <c r="AJ1920" t="s">
        <v>51</v>
      </c>
      <c r="AK1920" t="s">
        <v>51</v>
      </c>
    </row>
    <row r="1921" spans="1:37" x14ac:dyDescent="0.2">
      <c r="A1921">
        <v>59284</v>
      </c>
      <c r="B1921" t="s">
        <v>37</v>
      </c>
      <c r="C1921" t="s">
        <v>38</v>
      </c>
      <c r="D1921" t="s">
        <v>499</v>
      </c>
      <c r="E1921" t="s">
        <v>40</v>
      </c>
      <c r="G1921" s="4">
        <v>43946.568680555556</v>
      </c>
      <c r="H1921" s="4">
        <v>43946.568703703704</v>
      </c>
      <c r="I1921" t="s">
        <v>88</v>
      </c>
      <c r="J1921" s="5">
        <v>2</v>
      </c>
      <c r="K1921" t="s">
        <v>38</v>
      </c>
      <c r="M1921">
        <v>59285</v>
      </c>
      <c r="N1921" t="s">
        <v>506</v>
      </c>
      <c r="O1921" t="s">
        <v>507</v>
      </c>
      <c r="P1921" t="s">
        <v>38</v>
      </c>
      <c r="Q1921" t="s">
        <v>50</v>
      </c>
      <c r="R1921">
        <v>0</v>
      </c>
      <c r="S1921" t="s">
        <v>45</v>
      </c>
      <c r="T1921" t="str" s="2">
        <f>=HYPERLINK("http://demo.enginatics.com:80/ecc/user/applications/log/59284.log","http://demo.enginatics.com:80/ecc/user/applications/log/59284.log")</f>
        <v>"http://demo.enginatics.com:80/ecc/user/applications/log/59284.log")</v>
      </c>
      <c r="U1921">
        <v>59286</v>
      </c>
      <c r="V1921" t="s">
        <v>38</v>
      </c>
      <c r="W1921" t="s">
        <v>50</v>
      </c>
      <c r="X1921">
        <v>0</v>
      </c>
      <c r="Y1921">
        <v>0</v>
      </c>
      <c r="Z1921" t="s">
        <v>46</v>
      </c>
      <c r="AA1921">
        <v>59287</v>
      </c>
      <c r="AB1921" t="s">
        <v>1686</v>
      </c>
      <c r="AC1921" t="s">
        <v>68</v>
      </c>
      <c r="AD1921" t="s">
        <v>38</v>
      </c>
      <c r="AE1921" t="s">
        <v>49</v>
      </c>
      <c r="AF1921" t="s">
        <v>50</v>
      </c>
      <c r="AG1921">
        <v>0</v>
      </c>
      <c r="AH1921">
        <v>0</v>
      </c>
      <c r="AI1921" t="s">
        <v>51</v>
      </c>
      <c r="AJ1921" t="s">
        <v>51</v>
      </c>
      <c r="AK1921" t="s">
        <v>51</v>
      </c>
    </row>
    <row r="1922" spans="1:37" x14ac:dyDescent="0.2">
      <c r="A1922">
        <v>59256</v>
      </c>
      <c r="B1922" t="s">
        <v>37</v>
      </c>
      <c r="C1922" t="s">
        <v>38</v>
      </c>
      <c r="D1922" t="s">
        <v>509</v>
      </c>
      <c r="E1922" t="s">
        <v>40</v>
      </c>
      <c r="G1922" s="4">
        <v>43946.559328703704</v>
      </c>
      <c r="H1922" s="4">
        <v>43946.559606481481</v>
      </c>
      <c r="I1922" t="s">
        <v>1153</v>
      </c>
      <c r="J1922" s="5">
        <v>24.00000000000000000000000000000000000002</v>
      </c>
      <c r="K1922" t="s">
        <v>38</v>
      </c>
      <c r="M1922">
        <v>59279</v>
      </c>
      <c r="N1922" t="s">
        <v>511</v>
      </c>
      <c r="O1922" t="s">
        <v>512</v>
      </c>
      <c r="P1922" t="s">
        <v>38</v>
      </c>
      <c r="Q1922" t="s">
        <v>88</v>
      </c>
      <c r="R1922">
        <v>2</v>
      </c>
      <c r="S1922" t="s">
        <v>45</v>
      </c>
      <c r="T1922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2">
        <v>59280</v>
      </c>
      <c r="V1922" t="s">
        <v>38</v>
      </c>
      <c r="W1922" t="s">
        <v>88</v>
      </c>
      <c r="X1922">
        <v>2</v>
      </c>
      <c r="Y1922">
        <v>2</v>
      </c>
      <c r="Z1922" t="s">
        <v>46</v>
      </c>
      <c r="AA1922">
        <v>59283</v>
      </c>
      <c r="AB1922" t="s">
        <v>1687</v>
      </c>
      <c r="AC1922" t="s">
        <v>97</v>
      </c>
      <c r="AD1922" t="s">
        <v>38</v>
      </c>
      <c r="AE1922" t="s">
        <v>49</v>
      </c>
      <c r="AF1922" t="s">
        <v>50</v>
      </c>
      <c r="AG1922">
        <v>0</v>
      </c>
      <c r="AH1922">
        <v>0</v>
      </c>
      <c r="AI1922" t="s">
        <v>51</v>
      </c>
      <c r="AJ1922" t="s">
        <v>51</v>
      </c>
      <c r="AK1922" t="s">
        <v>51</v>
      </c>
    </row>
    <row r="1923" spans="1:37" x14ac:dyDescent="0.2">
      <c r="A1923">
        <v>59256</v>
      </c>
      <c r="B1923" t="s">
        <v>37</v>
      </c>
      <c r="C1923" t="s">
        <v>38</v>
      </c>
      <c r="D1923" t="s">
        <v>509</v>
      </c>
      <c r="E1923" t="s">
        <v>40</v>
      </c>
      <c r="G1923" s="4">
        <v>43946.559328703704</v>
      </c>
      <c r="H1923" s="4">
        <v>43946.559606481481</v>
      </c>
      <c r="I1923" t="s">
        <v>1153</v>
      </c>
      <c r="J1923" s="5">
        <v>24.00000000000000000000000000000000000002</v>
      </c>
      <c r="K1923" t="s">
        <v>38</v>
      </c>
      <c r="M1923">
        <v>59279</v>
      </c>
      <c r="N1923" t="s">
        <v>511</v>
      </c>
      <c r="O1923" t="s">
        <v>512</v>
      </c>
      <c r="P1923" t="s">
        <v>38</v>
      </c>
      <c r="Q1923" t="s">
        <v>88</v>
      </c>
      <c r="R1923">
        <v>2</v>
      </c>
      <c r="S1923" t="s">
        <v>45</v>
      </c>
      <c r="T1923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3">
        <v>59280</v>
      </c>
      <c r="V1923" t="s">
        <v>38</v>
      </c>
      <c r="W1923" t="s">
        <v>88</v>
      </c>
      <c r="X1923">
        <v>2</v>
      </c>
      <c r="Y1923">
        <v>2</v>
      </c>
      <c r="Z1923" t="s">
        <v>46</v>
      </c>
      <c r="AA1923">
        <v>59282</v>
      </c>
      <c r="AB1923" t="s">
        <v>514</v>
      </c>
      <c r="AC1923" t="s">
        <v>97</v>
      </c>
      <c r="AD1923" t="s">
        <v>38</v>
      </c>
      <c r="AE1923" t="s">
        <v>49</v>
      </c>
      <c r="AF1923" t="s">
        <v>50</v>
      </c>
      <c r="AG1923">
        <v>0</v>
      </c>
      <c r="AH1923">
        <v>0</v>
      </c>
      <c r="AI1923" t="s">
        <v>51</v>
      </c>
      <c r="AJ1923" t="s">
        <v>51</v>
      </c>
      <c r="AK1923" t="s">
        <v>51</v>
      </c>
    </row>
    <row r="1924" spans="1:37" x14ac:dyDescent="0.2">
      <c r="A1924">
        <v>59256</v>
      </c>
      <c r="B1924" t="s">
        <v>37</v>
      </c>
      <c r="C1924" t="s">
        <v>38</v>
      </c>
      <c r="D1924" t="s">
        <v>509</v>
      </c>
      <c r="E1924" t="s">
        <v>40</v>
      </c>
      <c r="G1924" s="4">
        <v>43946.559328703704</v>
      </c>
      <c r="H1924" s="4">
        <v>43946.559606481481</v>
      </c>
      <c r="I1924" t="s">
        <v>1153</v>
      </c>
      <c r="J1924" s="5">
        <v>24.00000000000000000000000000000000000002</v>
      </c>
      <c r="K1924" t="s">
        <v>38</v>
      </c>
      <c r="M1924">
        <v>59279</v>
      </c>
      <c r="N1924" t="s">
        <v>511</v>
      </c>
      <c r="O1924" t="s">
        <v>512</v>
      </c>
      <c r="P1924" t="s">
        <v>38</v>
      </c>
      <c r="Q1924" t="s">
        <v>88</v>
      </c>
      <c r="R1924">
        <v>2</v>
      </c>
      <c r="S1924" t="s">
        <v>45</v>
      </c>
      <c r="T1924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4">
        <v>59280</v>
      </c>
      <c r="V1924" t="s">
        <v>38</v>
      </c>
      <c r="W1924" t="s">
        <v>88</v>
      </c>
      <c r="X1924">
        <v>2</v>
      </c>
      <c r="Y1924">
        <v>2</v>
      </c>
      <c r="Z1924" t="s">
        <v>46</v>
      </c>
      <c r="AA1924">
        <v>59281</v>
      </c>
      <c r="AB1924" t="s">
        <v>1688</v>
      </c>
      <c r="AC1924" t="s">
        <v>56</v>
      </c>
      <c r="AD1924" t="s">
        <v>38</v>
      </c>
      <c r="AE1924" t="s">
        <v>49</v>
      </c>
      <c r="AF1924" t="s">
        <v>50</v>
      </c>
      <c r="AG1924">
        <v>0</v>
      </c>
      <c r="AH1924">
        <v>0</v>
      </c>
      <c r="AI1924" t="s">
        <v>51</v>
      </c>
      <c r="AJ1924" t="s">
        <v>51</v>
      </c>
      <c r="AK1924" t="s">
        <v>51</v>
      </c>
    </row>
    <row r="1925" spans="1:37" x14ac:dyDescent="0.2">
      <c r="A1925">
        <v>59256</v>
      </c>
      <c r="B1925" t="s">
        <v>37</v>
      </c>
      <c r="C1925" t="s">
        <v>38</v>
      </c>
      <c r="D1925" t="s">
        <v>509</v>
      </c>
      <c r="E1925" t="s">
        <v>40</v>
      </c>
      <c r="G1925" s="4">
        <v>43946.559328703704</v>
      </c>
      <c r="H1925" s="4">
        <v>43946.559606481481</v>
      </c>
      <c r="I1925" t="s">
        <v>1153</v>
      </c>
      <c r="J1925" s="5">
        <v>24.00000000000000000000000000000000000002</v>
      </c>
      <c r="K1925" t="s">
        <v>38</v>
      </c>
      <c r="M1925">
        <v>59275</v>
      </c>
      <c r="N1925" t="s">
        <v>516</v>
      </c>
      <c r="O1925" t="s">
        <v>517</v>
      </c>
      <c r="P1925" t="s">
        <v>38</v>
      </c>
      <c r="Q1925" t="s">
        <v>75</v>
      </c>
      <c r="R1925">
        <v>6</v>
      </c>
      <c r="S1925" t="s">
        <v>45</v>
      </c>
      <c r="T1925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5">
        <v>59276</v>
      </c>
      <c r="V1925" t="s">
        <v>38</v>
      </c>
      <c r="W1925" t="s">
        <v>75</v>
      </c>
      <c r="X1925">
        <v>6</v>
      </c>
      <c r="Y1925">
        <v>2</v>
      </c>
      <c r="Z1925" t="s">
        <v>46</v>
      </c>
      <c r="AA1925">
        <v>59278</v>
      </c>
      <c r="AB1925" t="s">
        <v>518</v>
      </c>
      <c r="AC1925" t="s">
        <v>97</v>
      </c>
      <c r="AD1925" t="s">
        <v>38</v>
      </c>
      <c r="AE1925" t="s">
        <v>49</v>
      </c>
      <c r="AF1925" t="s">
        <v>50</v>
      </c>
      <c r="AG1925">
        <v>0</v>
      </c>
      <c r="AH1925">
        <v>0</v>
      </c>
      <c r="AI1925" t="s">
        <v>51</v>
      </c>
      <c r="AJ1925" t="s">
        <v>51</v>
      </c>
      <c r="AK1925" t="s">
        <v>51</v>
      </c>
    </row>
    <row r="1926" spans="1:37" x14ac:dyDescent="0.2">
      <c r="A1926">
        <v>59256</v>
      </c>
      <c r="B1926" t="s">
        <v>37</v>
      </c>
      <c r="C1926" t="s">
        <v>38</v>
      </c>
      <c r="D1926" t="s">
        <v>509</v>
      </c>
      <c r="E1926" t="s">
        <v>40</v>
      </c>
      <c r="G1926" s="4">
        <v>43946.559328703704</v>
      </c>
      <c r="H1926" s="4">
        <v>43946.559606481481</v>
      </c>
      <c r="I1926" t="s">
        <v>1153</v>
      </c>
      <c r="J1926" s="5">
        <v>24.00000000000000000000000000000000000002</v>
      </c>
      <c r="K1926" t="s">
        <v>38</v>
      </c>
      <c r="M1926">
        <v>59275</v>
      </c>
      <c r="N1926" t="s">
        <v>516</v>
      </c>
      <c r="O1926" t="s">
        <v>517</v>
      </c>
      <c r="P1926" t="s">
        <v>38</v>
      </c>
      <c r="Q1926" t="s">
        <v>75</v>
      </c>
      <c r="R1926">
        <v>6</v>
      </c>
      <c r="S1926" t="s">
        <v>45</v>
      </c>
      <c r="T1926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6">
        <v>59276</v>
      </c>
      <c r="V1926" t="s">
        <v>38</v>
      </c>
      <c r="W1926" t="s">
        <v>75</v>
      </c>
      <c r="X1926">
        <v>6</v>
      </c>
      <c r="Y1926">
        <v>2</v>
      </c>
      <c r="Z1926" t="s">
        <v>46</v>
      </c>
      <c r="AA1926">
        <v>59277</v>
      </c>
      <c r="AB1926" t="s">
        <v>519</v>
      </c>
      <c r="AC1926" t="s">
        <v>56</v>
      </c>
      <c r="AD1926" t="s">
        <v>38</v>
      </c>
      <c r="AE1926" t="s">
        <v>49</v>
      </c>
      <c r="AF1926" t="s">
        <v>44</v>
      </c>
      <c r="AG1926">
        <v>4</v>
      </c>
      <c r="AH1926">
        <v>0</v>
      </c>
      <c r="AI1926" t="s">
        <v>51</v>
      </c>
      <c r="AJ1926" t="s">
        <v>51</v>
      </c>
      <c r="AK1926" t="s">
        <v>51</v>
      </c>
    </row>
    <row r="1927" spans="1:37" x14ac:dyDescent="0.2">
      <c r="A1927">
        <v>59256</v>
      </c>
      <c r="B1927" t="s">
        <v>37</v>
      </c>
      <c r="C1927" t="s">
        <v>38</v>
      </c>
      <c r="D1927" t="s">
        <v>509</v>
      </c>
      <c r="E1927" t="s">
        <v>40</v>
      </c>
      <c r="G1927" s="4">
        <v>43946.559328703704</v>
      </c>
      <c r="H1927" s="4">
        <v>43946.559606481481</v>
      </c>
      <c r="I1927" t="s">
        <v>1153</v>
      </c>
      <c r="J1927" s="5">
        <v>24.00000000000000000000000000000000000002</v>
      </c>
      <c r="K1927" t="s">
        <v>38</v>
      </c>
      <c r="M1927">
        <v>59272</v>
      </c>
      <c r="N1927" t="s">
        <v>520</v>
      </c>
      <c r="O1927" t="s">
        <v>521</v>
      </c>
      <c r="P1927" t="s">
        <v>38</v>
      </c>
      <c r="Q1927" t="s">
        <v>78</v>
      </c>
      <c r="R1927">
        <v>5</v>
      </c>
      <c r="S1927" t="s">
        <v>45</v>
      </c>
      <c r="T1927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7">
        <v>59273</v>
      </c>
      <c r="V1927" t="s">
        <v>38</v>
      </c>
      <c r="W1927" t="s">
        <v>78</v>
      </c>
      <c r="X1927">
        <v>5</v>
      </c>
      <c r="Y1927">
        <v>0</v>
      </c>
      <c r="Z1927" t="s">
        <v>46</v>
      </c>
      <c r="AA1927">
        <v>59274</v>
      </c>
      <c r="AB1927" t="s">
        <v>522</v>
      </c>
      <c r="AC1927" t="s">
        <v>97</v>
      </c>
      <c r="AD1927" t="s">
        <v>38</v>
      </c>
      <c r="AE1927" t="s">
        <v>523</v>
      </c>
      <c r="AF1927" t="s">
        <v>78</v>
      </c>
      <c r="AG1927">
        <v>5</v>
      </c>
      <c r="AH1927">
        <v>0</v>
      </c>
      <c r="AI1927" t="s">
        <v>524</v>
      </c>
      <c r="AJ1927" t="s">
        <v>51</v>
      </c>
      <c r="AK1927" t="s">
        <v>524</v>
      </c>
    </row>
    <row r="1928" spans="1:37" x14ac:dyDescent="0.2">
      <c r="A1928">
        <v>59256</v>
      </c>
      <c r="B1928" t="s">
        <v>37</v>
      </c>
      <c r="C1928" t="s">
        <v>38</v>
      </c>
      <c r="D1928" t="s">
        <v>509</v>
      </c>
      <c r="E1928" t="s">
        <v>40</v>
      </c>
      <c r="G1928" s="4">
        <v>43946.559328703704</v>
      </c>
      <c r="H1928" s="4">
        <v>43946.559606481481</v>
      </c>
      <c r="I1928" t="s">
        <v>1153</v>
      </c>
      <c r="J1928" s="5">
        <v>24.00000000000000000000000000000000000002</v>
      </c>
      <c r="K1928" t="s">
        <v>38</v>
      </c>
      <c r="M1928">
        <v>59269</v>
      </c>
      <c r="N1928" t="s">
        <v>525</v>
      </c>
      <c r="O1928" t="s">
        <v>526</v>
      </c>
      <c r="P1928" t="s">
        <v>38</v>
      </c>
      <c r="Q1928" t="s">
        <v>50</v>
      </c>
      <c r="R1928">
        <v>0</v>
      </c>
      <c r="S1928" t="s">
        <v>45</v>
      </c>
      <c r="T1928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8">
        <v>59270</v>
      </c>
      <c r="V1928" t="s">
        <v>38</v>
      </c>
      <c r="W1928" t="s">
        <v>50</v>
      </c>
      <c r="X1928">
        <v>0</v>
      </c>
      <c r="Y1928">
        <v>0</v>
      </c>
      <c r="Z1928" t="s">
        <v>46</v>
      </c>
      <c r="AA1928">
        <v>59271</v>
      </c>
      <c r="AB1928" t="s">
        <v>527</v>
      </c>
      <c r="AC1928" t="s">
        <v>97</v>
      </c>
      <c r="AD1928" t="s">
        <v>38</v>
      </c>
      <c r="AE1928" t="s">
        <v>49</v>
      </c>
      <c r="AF1928" t="s">
        <v>50</v>
      </c>
      <c r="AG1928">
        <v>0</v>
      </c>
      <c r="AH1928">
        <v>0</v>
      </c>
      <c r="AI1928" t="s">
        <v>51</v>
      </c>
      <c r="AJ1928" t="s">
        <v>51</v>
      </c>
      <c r="AK1928" t="s">
        <v>51</v>
      </c>
    </row>
    <row r="1929" spans="1:37" x14ac:dyDescent="0.2">
      <c r="A1929">
        <v>59256</v>
      </c>
      <c r="B1929" t="s">
        <v>37</v>
      </c>
      <c r="C1929" t="s">
        <v>38</v>
      </c>
      <c r="D1929" t="s">
        <v>509</v>
      </c>
      <c r="E1929" t="s">
        <v>40</v>
      </c>
      <c r="G1929" s="4">
        <v>43946.559328703704</v>
      </c>
      <c r="H1929" s="4">
        <v>43946.559606481481</v>
      </c>
      <c r="I1929" t="s">
        <v>1153</v>
      </c>
      <c r="J1929" s="5">
        <v>24.00000000000000000000000000000000000002</v>
      </c>
      <c r="K1929" t="s">
        <v>38</v>
      </c>
      <c r="M1929">
        <v>59262</v>
      </c>
      <c r="N1929" t="s">
        <v>528</v>
      </c>
      <c r="O1929" t="s">
        <v>529</v>
      </c>
      <c r="P1929" t="s">
        <v>38</v>
      </c>
      <c r="Q1929" t="s">
        <v>75</v>
      </c>
      <c r="R1929">
        <v>6</v>
      </c>
      <c r="S1929" t="s">
        <v>45</v>
      </c>
      <c r="T1929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29">
        <v>59263</v>
      </c>
      <c r="V1929" t="s">
        <v>38</v>
      </c>
      <c r="W1929" t="s">
        <v>75</v>
      </c>
      <c r="X1929">
        <v>6</v>
      </c>
      <c r="Y1929">
        <v>1</v>
      </c>
      <c r="Z1929" t="s">
        <v>46</v>
      </c>
      <c r="AA1929">
        <v>59268</v>
      </c>
      <c r="AB1929" t="s">
        <v>530</v>
      </c>
      <c r="AC1929" t="s">
        <v>56</v>
      </c>
      <c r="AD1929" t="s">
        <v>38</v>
      </c>
      <c r="AE1929" t="s">
        <v>49</v>
      </c>
      <c r="AF1929" t="s">
        <v>50</v>
      </c>
      <c r="AG1929">
        <v>0</v>
      </c>
      <c r="AH1929">
        <v>0</v>
      </c>
      <c r="AI1929" t="s">
        <v>51</v>
      </c>
      <c r="AJ1929" t="s">
        <v>51</v>
      </c>
      <c r="AK1929" t="s">
        <v>51</v>
      </c>
    </row>
    <row r="1930" spans="1:37" x14ac:dyDescent="0.2">
      <c r="A1930">
        <v>59256</v>
      </c>
      <c r="B1930" t="s">
        <v>37</v>
      </c>
      <c r="C1930" t="s">
        <v>38</v>
      </c>
      <c r="D1930" t="s">
        <v>509</v>
      </c>
      <c r="E1930" t="s">
        <v>40</v>
      </c>
      <c r="G1930" s="4">
        <v>43946.559328703704</v>
      </c>
      <c r="H1930" s="4">
        <v>43946.559606481481</v>
      </c>
      <c r="I1930" t="s">
        <v>1153</v>
      </c>
      <c r="J1930" s="5">
        <v>24.00000000000000000000000000000000000002</v>
      </c>
      <c r="K1930" t="s">
        <v>38</v>
      </c>
      <c r="M1930">
        <v>59262</v>
      </c>
      <c r="N1930" t="s">
        <v>528</v>
      </c>
      <c r="O1930" t="s">
        <v>529</v>
      </c>
      <c r="P1930" t="s">
        <v>38</v>
      </c>
      <c r="Q1930" t="s">
        <v>75</v>
      </c>
      <c r="R1930">
        <v>6</v>
      </c>
      <c r="S1930" t="s">
        <v>45</v>
      </c>
      <c r="T1930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0">
        <v>59263</v>
      </c>
      <c r="V1930" t="s">
        <v>38</v>
      </c>
      <c r="W1930" t="s">
        <v>75</v>
      </c>
      <c r="X1930">
        <v>6</v>
      </c>
      <c r="Y1930">
        <v>1</v>
      </c>
      <c r="Z1930" t="s">
        <v>46</v>
      </c>
      <c r="AA1930">
        <v>59267</v>
      </c>
      <c r="AB1930" t="s">
        <v>1689</v>
      </c>
      <c r="AC1930" t="s">
        <v>68</v>
      </c>
      <c r="AD1930" t="s">
        <v>38</v>
      </c>
      <c r="AE1930" t="s">
        <v>49</v>
      </c>
      <c r="AF1930" t="s">
        <v>50</v>
      </c>
      <c r="AG1930">
        <v>0</v>
      </c>
      <c r="AH1930">
        <v>0</v>
      </c>
      <c r="AI1930" t="s">
        <v>51</v>
      </c>
      <c r="AJ1930" t="s">
        <v>51</v>
      </c>
      <c r="AK1930" t="s">
        <v>51</v>
      </c>
    </row>
    <row r="1931" spans="1:37" x14ac:dyDescent="0.2">
      <c r="A1931">
        <v>59256</v>
      </c>
      <c r="B1931" t="s">
        <v>37</v>
      </c>
      <c r="C1931" t="s">
        <v>38</v>
      </c>
      <c r="D1931" t="s">
        <v>509</v>
      </c>
      <c r="E1931" t="s">
        <v>40</v>
      </c>
      <c r="G1931" s="4">
        <v>43946.559328703704</v>
      </c>
      <c r="H1931" s="4">
        <v>43946.559606481481</v>
      </c>
      <c r="I1931" t="s">
        <v>1153</v>
      </c>
      <c r="J1931" s="5">
        <v>24.00000000000000000000000000000000000002</v>
      </c>
      <c r="K1931" t="s">
        <v>38</v>
      </c>
      <c r="M1931">
        <v>59262</v>
      </c>
      <c r="N1931" t="s">
        <v>528</v>
      </c>
      <c r="O1931" t="s">
        <v>529</v>
      </c>
      <c r="P1931" t="s">
        <v>38</v>
      </c>
      <c r="Q1931" t="s">
        <v>75</v>
      </c>
      <c r="R1931">
        <v>6</v>
      </c>
      <c r="S1931" t="s">
        <v>45</v>
      </c>
      <c r="T1931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1">
        <v>59263</v>
      </c>
      <c r="V1931" t="s">
        <v>38</v>
      </c>
      <c r="W1931" t="s">
        <v>75</v>
      </c>
      <c r="X1931">
        <v>6</v>
      </c>
      <c r="Y1931">
        <v>1</v>
      </c>
      <c r="Z1931" t="s">
        <v>46</v>
      </c>
      <c r="AA1931">
        <v>59266</v>
      </c>
      <c r="AB1931" t="s">
        <v>532</v>
      </c>
      <c r="AC1931" t="s">
        <v>56</v>
      </c>
      <c r="AD1931" t="s">
        <v>38</v>
      </c>
      <c r="AE1931" t="s">
        <v>533</v>
      </c>
      <c r="AF1931" t="s">
        <v>44</v>
      </c>
      <c r="AG1931">
        <v>4</v>
      </c>
      <c r="AH1931">
        <v>0</v>
      </c>
      <c r="AI1931" t="s">
        <v>534</v>
      </c>
      <c r="AJ1931" t="s">
        <v>51</v>
      </c>
      <c r="AK1931" t="s">
        <v>534</v>
      </c>
    </row>
    <row r="1932" spans="1:37" x14ac:dyDescent="0.2">
      <c r="A1932">
        <v>59256</v>
      </c>
      <c r="B1932" t="s">
        <v>37</v>
      </c>
      <c r="C1932" t="s">
        <v>38</v>
      </c>
      <c r="D1932" t="s">
        <v>509</v>
      </c>
      <c r="E1932" t="s">
        <v>40</v>
      </c>
      <c r="G1932" s="4">
        <v>43946.559328703704</v>
      </c>
      <c r="H1932" s="4">
        <v>43946.559606481481</v>
      </c>
      <c r="I1932" t="s">
        <v>1153</v>
      </c>
      <c r="J1932" s="5">
        <v>24.00000000000000000000000000000000000002</v>
      </c>
      <c r="K1932" t="s">
        <v>38</v>
      </c>
      <c r="M1932">
        <v>59262</v>
      </c>
      <c r="N1932" t="s">
        <v>528</v>
      </c>
      <c r="O1932" t="s">
        <v>529</v>
      </c>
      <c r="P1932" t="s">
        <v>38</v>
      </c>
      <c r="Q1932" t="s">
        <v>75</v>
      </c>
      <c r="R1932">
        <v>6</v>
      </c>
      <c r="S1932" t="s">
        <v>45</v>
      </c>
      <c r="T1932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2">
        <v>59263</v>
      </c>
      <c r="V1932" t="s">
        <v>38</v>
      </c>
      <c r="W1932" t="s">
        <v>75</v>
      </c>
      <c r="X1932">
        <v>6</v>
      </c>
      <c r="Y1932">
        <v>1</v>
      </c>
      <c r="Z1932" t="s">
        <v>46</v>
      </c>
      <c r="AA1932">
        <v>59265</v>
      </c>
      <c r="AB1932" t="s">
        <v>535</v>
      </c>
      <c r="AC1932" t="s">
        <v>97</v>
      </c>
      <c r="AD1932" t="s">
        <v>38</v>
      </c>
      <c r="AE1932" t="s">
        <v>49</v>
      </c>
      <c r="AF1932" t="s">
        <v>50</v>
      </c>
      <c r="AG1932">
        <v>0</v>
      </c>
      <c r="AH1932">
        <v>0</v>
      </c>
      <c r="AI1932" t="s">
        <v>51</v>
      </c>
      <c r="AJ1932" t="s">
        <v>51</v>
      </c>
      <c r="AK1932" t="s">
        <v>51</v>
      </c>
    </row>
    <row r="1933" spans="1:37" x14ac:dyDescent="0.2">
      <c r="A1933">
        <v>59256</v>
      </c>
      <c r="B1933" t="s">
        <v>37</v>
      </c>
      <c r="C1933" t="s">
        <v>38</v>
      </c>
      <c r="D1933" t="s">
        <v>509</v>
      </c>
      <c r="E1933" t="s">
        <v>40</v>
      </c>
      <c r="G1933" s="4">
        <v>43946.559328703704</v>
      </c>
      <c r="H1933" s="4">
        <v>43946.559606481481</v>
      </c>
      <c r="I1933" t="s">
        <v>1153</v>
      </c>
      <c r="J1933" s="5">
        <v>24.00000000000000000000000000000000000002</v>
      </c>
      <c r="K1933" t="s">
        <v>38</v>
      </c>
      <c r="M1933">
        <v>59262</v>
      </c>
      <c r="N1933" t="s">
        <v>528</v>
      </c>
      <c r="O1933" t="s">
        <v>529</v>
      </c>
      <c r="P1933" t="s">
        <v>38</v>
      </c>
      <c r="Q1933" t="s">
        <v>75</v>
      </c>
      <c r="R1933">
        <v>6</v>
      </c>
      <c r="S1933" t="s">
        <v>45</v>
      </c>
      <c r="T1933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3">
        <v>59263</v>
      </c>
      <c r="V1933" t="s">
        <v>38</v>
      </c>
      <c r="W1933" t="s">
        <v>75</v>
      </c>
      <c r="X1933">
        <v>6</v>
      </c>
      <c r="Y1933">
        <v>1</v>
      </c>
      <c r="Z1933" t="s">
        <v>46</v>
      </c>
      <c r="AA1933">
        <v>59264</v>
      </c>
      <c r="AB1933" t="s">
        <v>536</v>
      </c>
      <c r="AC1933" t="s">
        <v>56</v>
      </c>
      <c r="AD1933" t="s">
        <v>38</v>
      </c>
      <c r="AE1933" t="s">
        <v>49</v>
      </c>
      <c r="AF1933" t="s">
        <v>50</v>
      </c>
      <c r="AG1933">
        <v>0</v>
      </c>
      <c r="AH1933">
        <v>0</v>
      </c>
      <c r="AI1933" t="s">
        <v>51</v>
      </c>
      <c r="AJ1933" t="s">
        <v>51</v>
      </c>
      <c r="AK1933" t="s">
        <v>51</v>
      </c>
    </row>
    <row r="1934" spans="1:37" x14ac:dyDescent="0.2">
      <c r="A1934">
        <v>59256</v>
      </c>
      <c r="B1934" t="s">
        <v>37</v>
      </c>
      <c r="C1934" t="s">
        <v>38</v>
      </c>
      <c r="D1934" t="s">
        <v>509</v>
      </c>
      <c r="E1934" t="s">
        <v>40</v>
      </c>
      <c r="G1934" s="4">
        <v>43946.559328703704</v>
      </c>
      <c r="H1934" s="4">
        <v>43946.559606481481</v>
      </c>
      <c r="I1934" t="s">
        <v>1153</v>
      </c>
      <c r="J1934" s="5">
        <v>24.00000000000000000000000000000000000002</v>
      </c>
      <c r="K1934" t="s">
        <v>38</v>
      </c>
      <c r="M1934">
        <v>59257</v>
      </c>
      <c r="N1934" t="s">
        <v>537</v>
      </c>
      <c r="O1934" t="s">
        <v>538</v>
      </c>
      <c r="P1934" t="s">
        <v>38</v>
      </c>
      <c r="Q1934" t="s">
        <v>78</v>
      </c>
      <c r="R1934">
        <v>5</v>
      </c>
      <c r="S1934" t="s">
        <v>45</v>
      </c>
      <c r="T1934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4">
        <v>59258</v>
      </c>
      <c r="V1934" t="s">
        <v>38</v>
      </c>
      <c r="W1934" t="s">
        <v>78</v>
      </c>
      <c r="X1934">
        <v>5</v>
      </c>
      <c r="Y1934">
        <v>3</v>
      </c>
      <c r="Z1934" t="s">
        <v>46</v>
      </c>
      <c r="AA1934">
        <v>59261</v>
      </c>
      <c r="AB1934" t="s">
        <v>539</v>
      </c>
      <c r="AC1934" t="s">
        <v>56</v>
      </c>
      <c r="AD1934" t="s">
        <v>38</v>
      </c>
      <c r="AE1934" t="s">
        <v>540</v>
      </c>
      <c r="AF1934" t="s">
        <v>50</v>
      </c>
      <c r="AG1934">
        <v>.9999999999999999999999999999999999999996</v>
      </c>
      <c r="AH1934">
        <v>1</v>
      </c>
      <c r="AI1934" t="s">
        <v>541</v>
      </c>
      <c r="AJ1934" t="s">
        <v>51</v>
      </c>
      <c r="AK1934" t="s">
        <v>541</v>
      </c>
    </row>
    <row r="1935" spans="1:37" x14ac:dyDescent="0.2">
      <c r="A1935">
        <v>59256</v>
      </c>
      <c r="B1935" t="s">
        <v>37</v>
      </c>
      <c r="C1935" t="s">
        <v>38</v>
      </c>
      <c r="D1935" t="s">
        <v>509</v>
      </c>
      <c r="E1935" t="s">
        <v>40</v>
      </c>
      <c r="G1935" s="4">
        <v>43946.559328703704</v>
      </c>
      <c r="H1935" s="4">
        <v>43946.559606481481</v>
      </c>
      <c r="I1935" t="s">
        <v>1153</v>
      </c>
      <c r="J1935" s="5">
        <v>24.00000000000000000000000000000000000002</v>
      </c>
      <c r="K1935" t="s">
        <v>38</v>
      </c>
      <c r="M1935">
        <v>59257</v>
      </c>
      <c r="N1935" t="s">
        <v>537</v>
      </c>
      <c r="O1935" t="s">
        <v>538</v>
      </c>
      <c r="P1935" t="s">
        <v>38</v>
      </c>
      <c r="Q1935" t="s">
        <v>78</v>
      </c>
      <c r="R1935">
        <v>5</v>
      </c>
      <c r="S1935" t="s">
        <v>45</v>
      </c>
      <c r="T1935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5">
        <v>59258</v>
      </c>
      <c r="V1935" t="s">
        <v>38</v>
      </c>
      <c r="W1935" t="s">
        <v>78</v>
      </c>
      <c r="X1935">
        <v>5</v>
      </c>
      <c r="Y1935">
        <v>3</v>
      </c>
      <c r="Z1935" t="s">
        <v>46</v>
      </c>
      <c r="AA1935">
        <v>59260</v>
      </c>
      <c r="AB1935" t="s">
        <v>542</v>
      </c>
      <c r="AC1935" t="s">
        <v>97</v>
      </c>
      <c r="AD1935" t="s">
        <v>38</v>
      </c>
      <c r="AE1935" t="s">
        <v>49</v>
      </c>
      <c r="AF1935" t="s">
        <v>50</v>
      </c>
      <c r="AG1935">
        <v>0</v>
      </c>
      <c r="AH1935">
        <v>0</v>
      </c>
      <c r="AI1935" t="s">
        <v>51</v>
      </c>
      <c r="AJ1935" t="s">
        <v>51</v>
      </c>
      <c r="AK1935" t="s">
        <v>51</v>
      </c>
    </row>
    <row r="1936" spans="1:37" x14ac:dyDescent="0.2">
      <c r="A1936">
        <v>59256</v>
      </c>
      <c r="B1936" t="s">
        <v>37</v>
      </c>
      <c r="C1936" t="s">
        <v>38</v>
      </c>
      <c r="D1936" t="s">
        <v>509</v>
      </c>
      <c r="E1936" t="s">
        <v>40</v>
      </c>
      <c r="G1936" s="4">
        <v>43946.559328703704</v>
      </c>
      <c r="H1936" s="4">
        <v>43946.559606481481</v>
      </c>
      <c r="I1936" t="s">
        <v>1153</v>
      </c>
      <c r="J1936" s="5">
        <v>24.00000000000000000000000000000000000002</v>
      </c>
      <c r="K1936" t="s">
        <v>38</v>
      </c>
      <c r="M1936">
        <v>59257</v>
      </c>
      <c r="N1936" t="s">
        <v>537</v>
      </c>
      <c r="O1936" t="s">
        <v>538</v>
      </c>
      <c r="P1936" t="s">
        <v>38</v>
      </c>
      <c r="Q1936" t="s">
        <v>78</v>
      </c>
      <c r="R1936">
        <v>5</v>
      </c>
      <c r="S1936" t="s">
        <v>45</v>
      </c>
      <c r="T1936" t="str" s="2">
        <f>=HYPERLINK("http://demo.enginatics.com:80/ecc/user/applications/log/59256.log","http://demo.enginatics.com:80/ecc/user/applications/log/59256.log")</f>
        <v>"http://demo.enginatics.com:80/ecc/user/applications/log/59256.log")</v>
      </c>
      <c r="U1936">
        <v>59258</v>
      </c>
      <c r="V1936" t="s">
        <v>38</v>
      </c>
      <c r="W1936" t="s">
        <v>78</v>
      </c>
      <c r="X1936">
        <v>5</v>
      </c>
      <c r="Y1936">
        <v>3</v>
      </c>
      <c r="Z1936" t="s">
        <v>46</v>
      </c>
      <c r="AA1936">
        <v>59259</v>
      </c>
      <c r="AB1936" t="s">
        <v>543</v>
      </c>
      <c r="AC1936" t="s">
        <v>56</v>
      </c>
      <c r="AD1936" t="s">
        <v>38</v>
      </c>
      <c r="AE1936" t="s">
        <v>49</v>
      </c>
      <c r="AF1936" t="s">
        <v>50</v>
      </c>
      <c r="AG1936">
        <v>0</v>
      </c>
      <c r="AH1936">
        <v>0</v>
      </c>
      <c r="AI1936" t="s">
        <v>51</v>
      </c>
      <c r="AJ1936" t="s">
        <v>51</v>
      </c>
      <c r="AK1936" t="s">
        <v>51</v>
      </c>
    </row>
    <row r="1937" spans="1:37" x14ac:dyDescent="0.2">
      <c r="A1937">
        <v>59247</v>
      </c>
      <c r="B1937" t="s">
        <v>37</v>
      </c>
      <c r="C1937" t="s">
        <v>38</v>
      </c>
      <c r="D1937" t="s">
        <v>544</v>
      </c>
      <c r="E1937" t="s">
        <v>40</v>
      </c>
      <c r="G1937" s="4">
        <v>43946.557905092593</v>
      </c>
      <c r="H1937" s="4">
        <v>43946.557928240741</v>
      </c>
      <c r="I1937" t="s">
        <v>88</v>
      </c>
      <c r="J1937" s="5">
        <v>2</v>
      </c>
      <c r="K1937" t="s">
        <v>38</v>
      </c>
      <c r="M1937">
        <v>59252</v>
      </c>
      <c r="N1937" t="s">
        <v>545</v>
      </c>
      <c r="O1937" t="s">
        <v>546</v>
      </c>
      <c r="P1937" t="s">
        <v>38</v>
      </c>
      <c r="Q1937" t="s">
        <v>50</v>
      </c>
      <c r="R1937">
        <v>.9999999999999999999999999999999999999996</v>
      </c>
      <c r="S1937" t="s">
        <v>45</v>
      </c>
      <c r="T1937" t="str" s="2">
        <f>=HYPERLINK("http://demo.enginatics.com:80/ecc/user/applications/log/59247.log","http://demo.enginatics.com:80/ecc/user/applications/log/59247.log")</f>
        <v>"http://demo.enginatics.com:80/ecc/user/applications/log/59247.log")</v>
      </c>
      <c r="U1937">
        <v>59253</v>
      </c>
      <c r="V1937" t="s">
        <v>38</v>
      </c>
      <c r="W1937" t="s">
        <v>50</v>
      </c>
      <c r="X1937">
        <v>.9999999999999999999999999999999999999996</v>
      </c>
      <c r="Y1937">
        <v>0</v>
      </c>
      <c r="Z1937" t="s">
        <v>46</v>
      </c>
      <c r="AA1937">
        <v>59255</v>
      </c>
      <c r="AB1937" t="s">
        <v>547</v>
      </c>
      <c r="AC1937" t="s">
        <v>56</v>
      </c>
      <c r="AD1937" t="s">
        <v>38</v>
      </c>
      <c r="AE1937" t="s">
        <v>49</v>
      </c>
      <c r="AF1937" t="s">
        <v>50</v>
      </c>
      <c r="AG1937">
        <v>0</v>
      </c>
      <c r="AH1937">
        <v>0</v>
      </c>
      <c r="AI1937" t="s">
        <v>51</v>
      </c>
      <c r="AJ1937" t="s">
        <v>51</v>
      </c>
      <c r="AK1937" t="s">
        <v>51</v>
      </c>
    </row>
    <row r="1938" spans="1:37" x14ac:dyDescent="0.2">
      <c r="A1938">
        <v>59247</v>
      </c>
      <c r="B1938" t="s">
        <v>37</v>
      </c>
      <c r="C1938" t="s">
        <v>38</v>
      </c>
      <c r="D1938" t="s">
        <v>544</v>
      </c>
      <c r="E1938" t="s">
        <v>40</v>
      </c>
      <c r="G1938" s="4">
        <v>43946.557905092593</v>
      </c>
      <c r="H1938" s="4">
        <v>43946.557928240741</v>
      </c>
      <c r="I1938" t="s">
        <v>88</v>
      </c>
      <c r="J1938" s="5">
        <v>2</v>
      </c>
      <c r="K1938" t="s">
        <v>38</v>
      </c>
      <c r="M1938">
        <v>59252</v>
      </c>
      <c r="N1938" t="s">
        <v>545</v>
      </c>
      <c r="O1938" t="s">
        <v>546</v>
      </c>
      <c r="P1938" t="s">
        <v>38</v>
      </c>
      <c r="Q1938" t="s">
        <v>50</v>
      </c>
      <c r="R1938">
        <v>.9999999999999999999999999999999999999996</v>
      </c>
      <c r="S1938" t="s">
        <v>45</v>
      </c>
      <c r="T1938" t="str" s="2">
        <f>=HYPERLINK("http://demo.enginatics.com:80/ecc/user/applications/log/59247.log","http://demo.enginatics.com:80/ecc/user/applications/log/59247.log")</f>
        <v>"http://demo.enginatics.com:80/ecc/user/applications/log/59247.log")</v>
      </c>
      <c r="U1938">
        <v>59253</v>
      </c>
      <c r="V1938" t="s">
        <v>38</v>
      </c>
      <c r="W1938" t="s">
        <v>50</v>
      </c>
      <c r="X1938">
        <v>.9999999999999999999999999999999999999996</v>
      </c>
      <c r="Y1938">
        <v>0</v>
      </c>
      <c r="Z1938" t="s">
        <v>46</v>
      </c>
      <c r="AA1938">
        <v>59254</v>
      </c>
      <c r="AB1938" t="s">
        <v>548</v>
      </c>
      <c r="AC1938" t="s">
        <v>68</v>
      </c>
      <c r="AD1938" t="s">
        <v>38</v>
      </c>
      <c r="AE1938" t="s">
        <v>49</v>
      </c>
      <c r="AF1938" t="s">
        <v>50</v>
      </c>
      <c r="AG1938">
        <v>0</v>
      </c>
      <c r="AH1938">
        <v>0</v>
      </c>
      <c r="AI1938" t="s">
        <v>51</v>
      </c>
      <c r="AJ1938" t="s">
        <v>51</v>
      </c>
      <c r="AK1938" t="s">
        <v>51</v>
      </c>
    </row>
    <row r="1939" spans="1:37" x14ac:dyDescent="0.2">
      <c r="A1939">
        <v>59247</v>
      </c>
      <c r="B1939" t="s">
        <v>37</v>
      </c>
      <c r="C1939" t="s">
        <v>38</v>
      </c>
      <c r="D1939" t="s">
        <v>544</v>
      </c>
      <c r="E1939" t="s">
        <v>40</v>
      </c>
      <c r="G1939" s="4">
        <v>43946.557905092593</v>
      </c>
      <c r="H1939" s="4">
        <v>43946.557928240741</v>
      </c>
      <c r="I1939" t="s">
        <v>88</v>
      </c>
      <c r="J1939" s="5">
        <v>2</v>
      </c>
      <c r="K1939" t="s">
        <v>38</v>
      </c>
      <c r="M1939">
        <v>59248</v>
      </c>
      <c r="N1939" t="s">
        <v>549</v>
      </c>
      <c r="O1939" t="s">
        <v>550</v>
      </c>
      <c r="P1939" t="s">
        <v>38</v>
      </c>
      <c r="Q1939" t="s">
        <v>50</v>
      </c>
      <c r="R1939">
        <v>.9999999999999999999999999999999999999996</v>
      </c>
      <c r="S1939" t="s">
        <v>45</v>
      </c>
      <c r="T1939" t="str" s="2">
        <f>=HYPERLINK("http://demo.enginatics.com:80/ecc/user/applications/log/59247.log","http://demo.enginatics.com:80/ecc/user/applications/log/59247.log")</f>
        <v>"http://demo.enginatics.com:80/ecc/user/applications/log/59247.log")</v>
      </c>
      <c r="U1939">
        <v>59249</v>
      </c>
      <c r="V1939" t="s">
        <v>38</v>
      </c>
      <c r="W1939" t="s">
        <v>50</v>
      </c>
      <c r="X1939">
        <v>.9999999999999999999999999999999999999996</v>
      </c>
      <c r="Y1939">
        <v>0</v>
      </c>
      <c r="Z1939" t="s">
        <v>46</v>
      </c>
      <c r="AA1939">
        <v>59251</v>
      </c>
      <c r="AB1939" t="s">
        <v>551</v>
      </c>
      <c r="AC1939" t="s">
        <v>56</v>
      </c>
      <c r="AD1939" t="s">
        <v>38</v>
      </c>
      <c r="AE1939" t="s">
        <v>49</v>
      </c>
      <c r="AF1939" t="s">
        <v>50</v>
      </c>
      <c r="AG1939">
        <v>0</v>
      </c>
      <c r="AH1939">
        <v>0</v>
      </c>
      <c r="AI1939" t="s">
        <v>51</v>
      </c>
      <c r="AJ1939" t="s">
        <v>51</v>
      </c>
      <c r="AK1939" t="s">
        <v>51</v>
      </c>
    </row>
    <row r="1940" spans="1:37" x14ac:dyDescent="0.2">
      <c r="A1940">
        <v>59247</v>
      </c>
      <c r="B1940" t="s">
        <v>37</v>
      </c>
      <c r="C1940" t="s">
        <v>38</v>
      </c>
      <c r="D1940" t="s">
        <v>544</v>
      </c>
      <c r="E1940" t="s">
        <v>40</v>
      </c>
      <c r="G1940" s="4">
        <v>43946.557905092593</v>
      </c>
      <c r="H1940" s="4">
        <v>43946.557928240741</v>
      </c>
      <c r="I1940" t="s">
        <v>88</v>
      </c>
      <c r="J1940" s="5">
        <v>2</v>
      </c>
      <c r="K1940" t="s">
        <v>38</v>
      </c>
      <c r="M1940">
        <v>59248</v>
      </c>
      <c r="N1940" t="s">
        <v>549</v>
      </c>
      <c r="O1940" t="s">
        <v>550</v>
      </c>
      <c r="P1940" t="s">
        <v>38</v>
      </c>
      <c r="Q1940" t="s">
        <v>50</v>
      </c>
      <c r="R1940">
        <v>.9999999999999999999999999999999999999996</v>
      </c>
      <c r="S1940" t="s">
        <v>45</v>
      </c>
      <c r="T1940" t="str" s="2">
        <f>=HYPERLINK("http://demo.enginatics.com:80/ecc/user/applications/log/59247.log","http://demo.enginatics.com:80/ecc/user/applications/log/59247.log")</f>
        <v>"http://demo.enginatics.com:80/ecc/user/applications/log/59247.log")</v>
      </c>
      <c r="U1940">
        <v>59249</v>
      </c>
      <c r="V1940" t="s">
        <v>38</v>
      </c>
      <c r="W1940" t="s">
        <v>50</v>
      </c>
      <c r="X1940">
        <v>.9999999999999999999999999999999999999996</v>
      </c>
      <c r="Y1940">
        <v>0</v>
      </c>
      <c r="Z1940" t="s">
        <v>46</v>
      </c>
      <c r="AA1940">
        <v>59250</v>
      </c>
      <c r="AB1940" t="s">
        <v>552</v>
      </c>
      <c r="AC1940" t="s">
        <v>68</v>
      </c>
      <c r="AD1940" t="s">
        <v>38</v>
      </c>
      <c r="AE1940" t="s">
        <v>49</v>
      </c>
      <c r="AF1940" t="s">
        <v>50</v>
      </c>
      <c r="AG1940">
        <v>0</v>
      </c>
      <c r="AH1940">
        <v>0</v>
      </c>
      <c r="AI1940" t="s">
        <v>51</v>
      </c>
      <c r="AJ1940" t="s">
        <v>51</v>
      </c>
      <c r="AK1940" t="s">
        <v>51</v>
      </c>
    </row>
    <row r="1941" spans="1:37" x14ac:dyDescent="0.2">
      <c r="A1941">
        <v>59209</v>
      </c>
      <c r="B1941" t="s">
        <v>37</v>
      </c>
      <c r="C1941" t="s">
        <v>38</v>
      </c>
      <c r="D1941" t="s">
        <v>553</v>
      </c>
      <c r="E1941" t="s">
        <v>560</v>
      </c>
      <c r="G1941" s="4">
        <v>43946.543506944444</v>
      </c>
      <c r="H1941" s="4">
        <v>43946.543668981481</v>
      </c>
      <c r="I1941" t="s">
        <v>315</v>
      </c>
      <c r="J1941" s="5">
        <v>14</v>
      </c>
      <c r="K1941" t="s">
        <v>38</v>
      </c>
      <c r="M1941">
        <v>59243</v>
      </c>
      <c r="N1941" t="s">
        <v>560</v>
      </c>
      <c r="O1941" t="s">
        <v>561</v>
      </c>
      <c r="P1941" t="s">
        <v>38</v>
      </c>
      <c r="Q1941" t="s">
        <v>88</v>
      </c>
      <c r="R1941">
        <v>2</v>
      </c>
      <c r="S1941" t="s">
        <v>45</v>
      </c>
      <c r="T1941" t="str" s="2">
        <f>=HYPERLINK("http://demo.enginatics.com:80/ecc/user/applications/log/59209.log","http://demo.enginatics.com:80/ecc/user/applications/log/59209.log")</f>
        <v>"http://demo.enginatics.com:80/ecc/user/applications/log/59209.log")</v>
      </c>
      <c r="U1941">
        <v>59244</v>
      </c>
      <c r="V1941" t="s">
        <v>38</v>
      </c>
      <c r="W1941" t="s">
        <v>88</v>
      </c>
      <c r="X1941">
        <v>2</v>
      </c>
      <c r="Y1941">
        <v>0</v>
      </c>
      <c r="Z1941" t="s">
        <v>46</v>
      </c>
      <c r="AA1941">
        <v>59246</v>
      </c>
      <c r="AB1941" t="s">
        <v>562</v>
      </c>
      <c r="AC1941" t="s">
        <v>48</v>
      </c>
      <c r="AD1941" t="s">
        <v>38</v>
      </c>
      <c r="AE1941" t="s">
        <v>49</v>
      </c>
      <c r="AF1941" t="s">
        <v>88</v>
      </c>
      <c r="AG1941">
        <v>2</v>
      </c>
      <c r="AH1941">
        <v>0</v>
      </c>
      <c r="AI1941" t="s">
        <v>51</v>
      </c>
      <c r="AJ1941" t="s">
        <v>51</v>
      </c>
      <c r="AK1941" t="s">
        <v>51</v>
      </c>
    </row>
    <row r="1942" spans="1:37" x14ac:dyDescent="0.2">
      <c r="A1942">
        <v>59207</v>
      </c>
      <c r="B1942" t="s">
        <v>37</v>
      </c>
      <c r="C1942" t="s">
        <v>38</v>
      </c>
      <c r="D1942" t="s">
        <v>553</v>
      </c>
      <c r="E1942" t="s">
        <v>566</v>
      </c>
      <c r="G1942" s="4">
        <v>43946.543506944444</v>
      </c>
      <c r="H1942" s="4">
        <v>43946.543587962963</v>
      </c>
      <c r="I1942" t="s">
        <v>247</v>
      </c>
      <c r="J1942" s="5">
        <v>7</v>
      </c>
      <c r="K1942" t="s">
        <v>38</v>
      </c>
      <c r="M1942">
        <v>59241</v>
      </c>
      <c r="N1942" t="s">
        <v>566</v>
      </c>
      <c r="O1942" t="s">
        <v>567</v>
      </c>
      <c r="P1942" t="s">
        <v>38</v>
      </c>
      <c r="Q1942" t="s">
        <v>88</v>
      </c>
      <c r="R1942">
        <v>2</v>
      </c>
      <c r="S1942" t="s">
        <v>45</v>
      </c>
      <c r="T1942" t="str" s="2">
        <f>=HYPERLINK("http://demo.enginatics.com:80/ecc/user/applications/log/59207.log","http://demo.enginatics.com:80/ecc/user/applications/log/59207.log")</f>
        <v>"http://demo.enginatics.com:80/ecc/user/applications/log/59207.log")</v>
      </c>
      <c r="U1942">
        <v>59242</v>
      </c>
      <c r="V1942" t="s">
        <v>38</v>
      </c>
      <c r="W1942" t="s">
        <v>50</v>
      </c>
      <c r="X1942">
        <v>0</v>
      </c>
      <c r="Y1942">
        <v>0</v>
      </c>
      <c r="Z1942" t="s">
        <v>46</v>
      </c>
      <c r="AA1942">
        <v>59245</v>
      </c>
      <c r="AB1942" t="s">
        <v>568</v>
      </c>
      <c r="AC1942" t="s">
        <v>48</v>
      </c>
      <c r="AD1942" t="s">
        <v>38</v>
      </c>
      <c r="AE1942" t="s">
        <v>49</v>
      </c>
      <c r="AF1942" t="s">
        <v>50</v>
      </c>
      <c r="AG1942">
        <v>0</v>
      </c>
      <c r="AH1942">
        <v>0</v>
      </c>
      <c r="AI1942" t="s">
        <v>51</v>
      </c>
      <c r="AJ1942" t="s">
        <v>51</v>
      </c>
      <c r="AK1942" t="s">
        <v>51</v>
      </c>
    </row>
    <row r="1943" spans="1:37" x14ac:dyDescent="0.2">
      <c r="A1943">
        <v>59206</v>
      </c>
      <c r="B1943" t="s">
        <v>37</v>
      </c>
      <c r="C1943" t="s">
        <v>38</v>
      </c>
      <c r="D1943" t="s">
        <v>553</v>
      </c>
      <c r="E1943" t="s">
        <v>578</v>
      </c>
      <c r="G1943" s="4">
        <v>43946.543506944444</v>
      </c>
      <c r="H1943" s="4">
        <v>43946.543564814815</v>
      </c>
      <c r="I1943" t="s">
        <v>78</v>
      </c>
      <c r="J1943" s="5">
        <v>5</v>
      </c>
      <c r="K1943" t="s">
        <v>38</v>
      </c>
      <c r="M1943">
        <v>59237</v>
      </c>
      <c r="N1943" t="s">
        <v>578</v>
      </c>
      <c r="O1943" t="s">
        <v>579</v>
      </c>
      <c r="P1943" t="s">
        <v>38</v>
      </c>
      <c r="Q1943" t="s">
        <v>50</v>
      </c>
      <c r="R1943">
        <v>.9999999999999999999999999999999999999996</v>
      </c>
      <c r="S1943" t="s">
        <v>45</v>
      </c>
      <c r="T1943" t="str" s="2">
        <f>=HYPERLINK("http://demo.enginatics.com:80/ecc/user/applications/log/59206.log","http://demo.enginatics.com:80/ecc/user/applications/log/59206.log")</f>
        <v>"http://demo.enginatics.com:80/ecc/user/applications/log/59206.log")</v>
      </c>
      <c r="U1943">
        <v>59239</v>
      </c>
      <c r="V1943" t="s">
        <v>38</v>
      </c>
      <c r="W1943" t="s">
        <v>50</v>
      </c>
      <c r="X1943">
        <v>.9999999999999999999999999999999999999996</v>
      </c>
      <c r="Y1943">
        <v>0</v>
      </c>
      <c r="Z1943" t="s">
        <v>46</v>
      </c>
      <c r="AA1943">
        <v>59240</v>
      </c>
      <c r="AB1943" t="s">
        <v>580</v>
      </c>
      <c r="AC1943" t="s">
        <v>48</v>
      </c>
      <c r="AD1943" t="s">
        <v>38</v>
      </c>
      <c r="AE1943" t="s">
        <v>49</v>
      </c>
      <c r="AF1943" t="s">
        <v>50</v>
      </c>
      <c r="AG1943">
        <v>0</v>
      </c>
      <c r="AH1943">
        <v>0</v>
      </c>
      <c r="AI1943" t="s">
        <v>51</v>
      </c>
      <c r="AJ1943" t="s">
        <v>51</v>
      </c>
      <c r="AK1943" t="s">
        <v>51</v>
      </c>
    </row>
    <row r="1944" spans="1:37" x14ac:dyDescent="0.2">
      <c r="A1944">
        <v>59205</v>
      </c>
      <c r="B1944" t="s">
        <v>37</v>
      </c>
      <c r="C1944" t="s">
        <v>38</v>
      </c>
      <c r="D1944" t="s">
        <v>553</v>
      </c>
      <c r="E1944" t="s">
        <v>554</v>
      </c>
      <c r="G1944" s="4">
        <v>43946.543506944444</v>
      </c>
      <c r="H1944" s="4">
        <v>43946.543564814815</v>
      </c>
      <c r="I1944" t="s">
        <v>78</v>
      </c>
      <c r="J1944" s="5">
        <v>5</v>
      </c>
      <c r="K1944" t="s">
        <v>38</v>
      </c>
      <c r="M1944">
        <v>59235</v>
      </c>
      <c r="N1944" t="s">
        <v>554</v>
      </c>
      <c r="O1944" t="s">
        <v>555</v>
      </c>
      <c r="P1944" t="s">
        <v>38</v>
      </c>
      <c r="Q1944" t="s">
        <v>50</v>
      </c>
      <c r="R1944">
        <v>.9999999999999999999999999999999999999996</v>
      </c>
      <c r="S1944" t="s">
        <v>45</v>
      </c>
      <c r="T1944" t="str" s="2">
        <f>=HYPERLINK("http://demo.enginatics.com:80/ecc/user/applications/log/59205.log","http://demo.enginatics.com:80/ecc/user/applications/log/59205.log")</f>
        <v>"http://demo.enginatics.com:80/ecc/user/applications/log/59205.log")</v>
      </c>
      <c r="U1944">
        <v>59236</v>
      </c>
      <c r="V1944" t="s">
        <v>38</v>
      </c>
      <c r="W1944" t="s">
        <v>50</v>
      </c>
      <c r="X1944">
        <v>.9999999999999999999999999999999999999996</v>
      </c>
      <c r="Y1944">
        <v>0</v>
      </c>
      <c r="Z1944" t="s">
        <v>46</v>
      </c>
      <c r="AA1944">
        <v>59238</v>
      </c>
      <c r="AB1944" t="s">
        <v>556</v>
      </c>
      <c r="AC1944" t="s">
        <v>48</v>
      </c>
      <c r="AD1944" t="s">
        <v>38</v>
      </c>
      <c r="AE1944" t="s">
        <v>49</v>
      </c>
      <c r="AF1944" t="s">
        <v>50</v>
      </c>
      <c r="AG1944">
        <v>.9999999999999999999999999999999999999996</v>
      </c>
      <c r="AH1944">
        <v>0</v>
      </c>
      <c r="AI1944" t="s">
        <v>51</v>
      </c>
      <c r="AJ1944" t="s">
        <v>51</v>
      </c>
      <c r="AK1944" t="s">
        <v>51</v>
      </c>
    </row>
    <row r="1945" spans="1:37" x14ac:dyDescent="0.2">
      <c r="A1945">
        <v>59204</v>
      </c>
      <c r="B1945" t="s">
        <v>37</v>
      </c>
      <c r="C1945" t="s">
        <v>38</v>
      </c>
      <c r="D1945" t="s">
        <v>553</v>
      </c>
      <c r="E1945" t="s">
        <v>590</v>
      </c>
      <c r="G1945" s="4">
        <v>43946.543506944444</v>
      </c>
      <c r="H1945" s="4">
        <v>43946.543553240741</v>
      </c>
      <c r="I1945" t="s">
        <v>44</v>
      </c>
      <c r="J1945" s="5">
        <v>4</v>
      </c>
      <c r="K1945" t="s">
        <v>38</v>
      </c>
      <c r="M1945">
        <v>59232</v>
      </c>
      <c r="N1945" t="s">
        <v>590</v>
      </c>
      <c r="O1945" t="s">
        <v>591</v>
      </c>
      <c r="P1945" t="s">
        <v>38</v>
      </c>
      <c r="Q1945" t="s">
        <v>50</v>
      </c>
      <c r="R1945">
        <v>0</v>
      </c>
      <c r="S1945" t="s">
        <v>45</v>
      </c>
      <c r="T1945" t="str" s="2">
        <f>=HYPERLINK("http://demo.enginatics.com:80/ecc/user/applications/log/59204.log","http://demo.enginatics.com:80/ecc/user/applications/log/59204.log")</f>
        <v>"http://demo.enginatics.com:80/ecc/user/applications/log/59204.log")</v>
      </c>
      <c r="U1945">
        <v>59233</v>
      </c>
      <c r="V1945" t="s">
        <v>38</v>
      </c>
      <c r="W1945" t="s">
        <v>50</v>
      </c>
      <c r="X1945">
        <v>0</v>
      </c>
      <c r="Y1945">
        <v>0</v>
      </c>
      <c r="Z1945" t="s">
        <v>46</v>
      </c>
      <c r="AA1945">
        <v>59234</v>
      </c>
      <c r="AB1945" t="s">
        <v>592</v>
      </c>
      <c r="AC1945" t="s">
        <v>48</v>
      </c>
      <c r="AD1945" t="s">
        <v>38</v>
      </c>
      <c r="AE1945" t="s">
        <v>49</v>
      </c>
      <c r="AF1945" t="s">
        <v>50</v>
      </c>
      <c r="AG1945">
        <v>0</v>
      </c>
      <c r="AH1945">
        <v>0</v>
      </c>
      <c r="AI1945" t="s">
        <v>51</v>
      </c>
      <c r="AJ1945" t="s">
        <v>51</v>
      </c>
      <c r="AK1945" t="s">
        <v>51</v>
      </c>
    </row>
    <row r="1946" spans="1:37" x14ac:dyDescent="0.2">
      <c r="A1946">
        <v>59201</v>
      </c>
      <c r="B1946" t="s">
        <v>37</v>
      </c>
      <c r="C1946" t="s">
        <v>38</v>
      </c>
      <c r="D1946" t="s">
        <v>553</v>
      </c>
      <c r="E1946" t="s">
        <v>572</v>
      </c>
      <c r="G1946" s="4">
        <v>43946.543506944444</v>
      </c>
      <c r="H1946" s="4">
        <v>43946.543553240741</v>
      </c>
      <c r="I1946" t="s">
        <v>44</v>
      </c>
      <c r="J1946" s="5">
        <v>4</v>
      </c>
      <c r="K1946" t="s">
        <v>38</v>
      </c>
      <c r="M1946">
        <v>59229</v>
      </c>
      <c r="N1946" t="s">
        <v>572</v>
      </c>
      <c r="O1946" t="s">
        <v>573</v>
      </c>
      <c r="P1946" t="s">
        <v>38</v>
      </c>
      <c r="Q1946" t="s">
        <v>50</v>
      </c>
      <c r="R1946">
        <v>.9999999999999999999999999999999999999996</v>
      </c>
      <c r="S1946" t="s">
        <v>45</v>
      </c>
      <c r="T1946" t="str" s="2">
        <f>=HYPERLINK("http://demo.enginatics.com:80/ecc/user/applications/log/59201.log","http://demo.enginatics.com:80/ecc/user/applications/log/59201.log")</f>
        <v>"http://demo.enginatics.com:80/ecc/user/applications/log/59201.log")</v>
      </c>
      <c r="U1946">
        <v>59230</v>
      </c>
      <c r="V1946" t="s">
        <v>38</v>
      </c>
      <c r="W1946" t="s">
        <v>50</v>
      </c>
      <c r="X1946">
        <v>.9999999999999999999999999999999999999996</v>
      </c>
      <c r="Y1946">
        <v>0</v>
      </c>
      <c r="Z1946" t="s">
        <v>46</v>
      </c>
      <c r="AA1946">
        <v>59231</v>
      </c>
      <c r="AB1946" t="s">
        <v>574</v>
      </c>
      <c r="AC1946" t="s">
        <v>48</v>
      </c>
      <c r="AD1946" t="s">
        <v>38</v>
      </c>
      <c r="AE1946" t="s">
        <v>49</v>
      </c>
      <c r="AF1946" t="s">
        <v>50</v>
      </c>
      <c r="AG1946">
        <v>0</v>
      </c>
      <c r="AH1946">
        <v>0</v>
      </c>
      <c r="AI1946" t="s">
        <v>51</v>
      </c>
      <c r="AJ1946" t="s">
        <v>51</v>
      </c>
      <c r="AK1946" t="s">
        <v>51</v>
      </c>
    </row>
    <row r="1947" spans="1:37" x14ac:dyDescent="0.2">
      <c r="A1947">
        <v>59199</v>
      </c>
      <c r="B1947" t="s">
        <v>37</v>
      </c>
      <c r="C1947" t="s">
        <v>38</v>
      </c>
      <c r="D1947" t="s">
        <v>553</v>
      </c>
      <c r="E1947" t="s">
        <v>581</v>
      </c>
      <c r="G1947" s="4">
        <v>43946.543506944444</v>
      </c>
      <c r="H1947" s="4">
        <v>43946.543553240741</v>
      </c>
      <c r="I1947" t="s">
        <v>44</v>
      </c>
      <c r="J1947" s="5">
        <v>4</v>
      </c>
      <c r="K1947" t="s">
        <v>38</v>
      </c>
      <c r="M1947">
        <v>59226</v>
      </c>
      <c r="N1947" t="s">
        <v>581</v>
      </c>
      <c r="O1947" t="s">
        <v>582</v>
      </c>
      <c r="P1947" t="s">
        <v>38</v>
      </c>
      <c r="Q1947" t="s">
        <v>50</v>
      </c>
      <c r="R1947">
        <v>.9999999999999999999999999999999999999996</v>
      </c>
      <c r="S1947" t="s">
        <v>45</v>
      </c>
      <c r="T1947" t="str" s="2">
        <f>=HYPERLINK("http://demo.enginatics.com:80/ecc/user/applications/log/59199.log","http://demo.enginatics.com:80/ecc/user/applications/log/59199.log")</f>
        <v>"http://demo.enginatics.com:80/ecc/user/applications/log/59199.log")</v>
      </c>
      <c r="U1947">
        <v>59227</v>
      </c>
      <c r="V1947" t="s">
        <v>38</v>
      </c>
      <c r="W1947" t="s">
        <v>50</v>
      </c>
      <c r="X1947">
        <v>.9999999999999999999999999999999999999996</v>
      </c>
      <c r="Y1947">
        <v>0</v>
      </c>
      <c r="Z1947" t="s">
        <v>46</v>
      </c>
      <c r="AA1947">
        <v>59228</v>
      </c>
      <c r="AB1947" t="s">
        <v>583</v>
      </c>
      <c r="AC1947" t="s">
        <v>48</v>
      </c>
      <c r="AD1947" t="s">
        <v>38</v>
      </c>
      <c r="AE1947" t="s">
        <v>49</v>
      </c>
      <c r="AF1947" t="s">
        <v>50</v>
      </c>
      <c r="AG1947">
        <v>.9999999999999999999999999999999999999996</v>
      </c>
      <c r="AH1947">
        <v>0</v>
      </c>
      <c r="AI1947" t="s">
        <v>51</v>
      </c>
      <c r="AJ1947" t="s">
        <v>51</v>
      </c>
      <c r="AK1947" t="s">
        <v>51</v>
      </c>
    </row>
    <row r="1948" spans="1:37" x14ac:dyDescent="0.2">
      <c r="A1948">
        <v>59197</v>
      </c>
      <c r="B1948" t="s">
        <v>37</v>
      </c>
      <c r="C1948" t="s">
        <v>38</v>
      </c>
      <c r="D1948" t="s">
        <v>553</v>
      </c>
      <c r="E1948" t="s">
        <v>587</v>
      </c>
      <c r="G1948" s="4">
        <v>43946.543506944444</v>
      </c>
      <c r="H1948" s="4">
        <v>43946.543541666667</v>
      </c>
      <c r="I1948" t="s">
        <v>85</v>
      </c>
      <c r="J1948" s="5">
        <v>3</v>
      </c>
      <c r="K1948" t="s">
        <v>38</v>
      </c>
      <c r="M1948">
        <v>59223</v>
      </c>
      <c r="N1948" t="s">
        <v>587</v>
      </c>
      <c r="O1948" t="s">
        <v>588</v>
      </c>
      <c r="P1948" t="s">
        <v>38</v>
      </c>
      <c r="Q1948" t="s">
        <v>50</v>
      </c>
      <c r="R1948">
        <v>.9999999999999999999999999999999999999996</v>
      </c>
      <c r="S1948" t="s">
        <v>45</v>
      </c>
      <c r="T1948" t="str" s="2">
        <f>=HYPERLINK("http://demo.enginatics.com:80/ecc/user/applications/log/59197.log","http://demo.enginatics.com:80/ecc/user/applications/log/59197.log")</f>
        <v>"http://demo.enginatics.com:80/ecc/user/applications/log/59197.log")</v>
      </c>
      <c r="U1948">
        <v>59224</v>
      </c>
      <c r="V1948" t="s">
        <v>38</v>
      </c>
      <c r="W1948" t="s">
        <v>50</v>
      </c>
      <c r="X1948">
        <v>.9999999999999999999999999999999999999996</v>
      </c>
      <c r="Y1948">
        <v>0</v>
      </c>
      <c r="Z1948" t="s">
        <v>46</v>
      </c>
      <c r="AA1948">
        <v>59225</v>
      </c>
      <c r="AB1948" t="s">
        <v>589</v>
      </c>
      <c r="AC1948" t="s">
        <v>48</v>
      </c>
      <c r="AD1948" t="s">
        <v>38</v>
      </c>
      <c r="AE1948" t="s">
        <v>49</v>
      </c>
      <c r="AF1948" t="s">
        <v>50</v>
      </c>
      <c r="AG1948">
        <v>.9999999999999999999999999999999999999996</v>
      </c>
      <c r="AH1948">
        <v>0</v>
      </c>
      <c r="AI1948" t="s">
        <v>51</v>
      </c>
      <c r="AJ1948" t="s">
        <v>51</v>
      </c>
      <c r="AK1948" t="s">
        <v>51</v>
      </c>
    </row>
    <row r="1949" spans="1:37" x14ac:dyDescent="0.2">
      <c r="A1949">
        <v>59196</v>
      </c>
      <c r="B1949" t="s">
        <v>37</v>
      </c>
      <c r="C1949" t="s">
        <v>38</v>
      </c>
      <c r="D1949" t="s">
        <v>553</v>
      </c>
      <c r="E1949" t="s">
        <v>557</v>
      </c>
      <c r="G1949" s="4">
        <v>43946.543506944444</v>
      </c>
      <c r="H1949" s="4">
        <v>43946.543530092593</v>
      </c>
      <c r="I1949" t="s">
        <v>88</v>
      </c>
      <c r="J1949" s="5">
        <v>2</v>
      </c>
      <c r="K1949" t="s">
        <v>38</v>
      </c>
      <c r="M1949">
        <v>59220</v>
      </c>
      <c r="N1949" t="s">
        <v>557</v>
      </c>
      <c r="O1949" t="s">
        <v>558</v>
      </c>
      <c r="P1949" t="s">
        <v>38</v>
      </c>
      <c r="Q1949" t="s">
        <v>50</v>
      </c>
      <c r="R1949">
        <v>0</v>
      </c>
      <c r="S1949" t="s">
        <v>45</v>
      </c>
      <c r="T1949" t="str" s="2">
        <f>=HYPERLINK("http://demo.enginatics.com:80/ecc/user/applications/log/59196.log","http://demo.enginatics.com:80/ecc/user/applications/log/59196.log")</f>
        <v>"http://demo.enginatics.com:80/ecc/user/applications/log/59196.log")</v>
      </c>
      <c r="U1949">
        <v>59221</v>
      </c>
      <c r="V1949" t="s">
        <v>38</v>
      </c>
      <c r="W1949" t="s">
        <v>50</v>
      </c>
      <c r="X1949">
        <v>0</v>
      </c>
      <c r="Y1949">
        <v>0</v>
      </c>
      <c r="Z1949" t="s">
        <v>46</v>
      </c>
      <c r="AA1949">
        <v>59222</v>
      </c>
      <c r="AB1949" t="s">
        <v>559</v>
      </c>
      <c r="AC1949" t="s">
        <v>48</v>
      </c>
      <c r="AD1949" t="s">
        <v>38</v>
      </c>
      <c r="AE1949" t="s">
        <v>49</v>
      </c>
      <c r="AF1949" t="s">
        <v>50</v>
      </c>
      <c r="AG1949">
        <v>0</v>
      </c>
      <c r="AH1949">
        <v>0</v>
      </c>
      <c r="AI1949" t="s">
        <v>51</v>
      </c>
      <c r="AJ1949" t="s">
        <v>51</v>
      </c>
      <c r="AK1949" t="s">
        <v>51</v>
      </c>
    </row>
    <row r="1950" spans="1:37" x14ac:dyDescent="0.2">
      <c r="A1950">
        <v>59195</v>
      </c>
      <c r="B1950" t="s">
        <v>37</v>
      </c>
      <c r="C1950" t="s">
        <v>38</v>
      </c>
      <c r="D1950" t="s">
        <v>553</v>
      </c>
      <c r="E1950" t="s">
        <v>593</v>
      </c>
      <c r="G1950" s="4">
        <v>43946.543506944444</v>
      </c>
      <c r="H1950" s="4">
        <v>43946.543541666667</v>
      </c>
      <c r="I1950" t="s">
        <v>85</v>
      </c>
      <c r="J1950" s="5">
        <v>3</v>
      </c>
      <c r="K1950" t="s">
        <v>38</v>
      </c>
      <c r="M1950">
        <v>59217</v>
      </c>
      <c r="N1950" t="s">
        <v>593</v>
      </c>
      <c r="O1950" t="s">
        <v>594</v>
      </c>
      <c r="P1950" t="s">
        <v>38</v>
      </c>
      <c r="Q1950" t="s">
        <v>88</v>
      </c>
      <c r="R1950">
        <v>2</v>
      </c>
      <c r="S1950" t="s">
        <v>45</v>
      </c>
      <c r="T1950" t="str" s="2">
        <f>=HYPERLINK("http://demo.enginatics.com:80/ecc/user/applications/log/59195.log","http://demo.enginatics.com:80/ecc/user/applications/log/59195.log")</f>
        <v>"http://demo.enginatics.com:80/ecc/user/applications/log/59195.log")</v>
      </c>
      <c r="U1950">
        <v>59218</v>
      </c>
      <c r="V1950" t="s">
        <v>38</v>
      </c>
      <c r="W1950" t="s">
        <v>88</v>
      </c>
      <c r="X1950">
        <v>2</v>
      </c>
      <c r="Y1950">
        <v>0</v>
      </c>
      <c r="Z1950" t="s">
        <v>46</v>
      </c>
      <c r="AA1950">
        <v>59219</v>
      </c>
      <c r="AB1950" t="s">
        <v>1466</v>
      </c>
      <c r="AC1950" t="s">
        <v>48</v>
      </c>
      <c r="AD1950" t="s">
        <v>38</v>
      </c>
      <c r="AE1950" t="s">
        <v>49</v>
      </c>
      <c r="AF1950" t="s">
        <v>88</v>
      </c>
      <c r="AG1950">
        <v>2</v>
      </c>
      <c r="AH1950">
        <v>1</v>
      </c>
      <c r="AI1950" t="s">
        <v>51</v>
      </c>
      <c r="AJ1950" t="s">
        <v>51</v>
      </c>
      <c r="AK1950" t="s">
        <v>51</v>
      </c>
    </row>
    <row r="1951" spans="1:37" x14ac:dyDescent="0.2">
      <c r="A1951">
        <v>59194</v>
      </c>
      <c r="B1951" t="s">
        <v>37</v>
      </c>
      <c r="C1951" t="s">
        <v>38</v>
      </c>
      <c r="D1951" t="s">
        <v>553</v>
      </c>
      <c r="E1951" t="s">
        <v>575</v>
      </c>
      <c r="G1951" s="4">
        <v>43946.543506944444</v>
      </c>
      <c r="H1951" s="4">
        <v>43946.543530092593</v>
      </c>
      <c r="I1951" t="s">
        <v>88</v>
      </c>
      <c r="J1951" s="5">
        <v>2</v>
      </c>
      <c r="K1951" t="s">
        <v>38</v>
      </c>
      <c r="M1951">
        <v>59214</v>
      </c>
      <c r="N1951" t="s">
        <v>575</v>
      </c>
      <c r="O1951" t="s">
        <v>576</v>
      </c>
      <c r="P1951" t="s">
        <v>38</v>
      </c>
      <c r="Q1951" t="s">
        <v>50</v>
      </c>
      <c r="R1951">
        <v>.9999999999999999999999999999999999999996</v>
      </c>
      <c r="S1951" t="s">
        <v>45</v>
      </c>
      <c r="T1951" t="str" s="2">
        <f>=HYPERLINK("http://demo.enginatics.com:80/ecc/user/applications/log/59194.log","http://demo.enginatics.com:80/ecc/user/applications/log/59194.log")</f>
        <v>"http://demo.enginatics.com:80/ecc/user/applications/log/59194.log")</v>
      </c>
      <c r="U1951">
        <v>59215</v>
      </c>
      <c r="V1951" t="s">
        <v>38</v>
      </c>
      <c r="W1951" t="s">
        <v>50</v>
      </c>
      <c r="X1951">
        <v>.9999999999999999999999999999999999999996</v>
      </c>
      <c r="Y1951">
        <v>0</v>
      </c>
      <c r="Z1951" t="s">
        <v>46</v>
      </c>
      <c r="AA1951">
        <v>59216</v>
      </c>
      <c r="AB1951" t="s">
        <v>577</v>
      </c>
      <c r="AC1951" t="s">
        <v>48</v>
      </c>
      <c r="AD1951" t="s">
        <v>38</v>
      </c>
      <c r="AE1951" t="s">
        <v>49</v>
      </c>
      <c r="AF1951" t="s">
        <v>50</v>
      </c>
      <c r="AG1951">
        <v>.9999999999999999999999999999999999999996</v>
      </c>
      <c r="AH1951">
        <v>0</v>
      </c>
      <c r="AI1951" t="s">
        <v>51</v>
      </c>
      <c r="AJ1951" t="s">
        <v>51</v>
      </c>
      <c r="AK1951" t="s">
        <v>51</v>
      </c>
    </row>
    <row r="1952" spans="1:37" x14ac:dyDescent="0.2">
      <c r="A1952">
        <v>59193</v>
      </c>
      <c r="B1952" t="s">
        <v>37</v>
      </c>
      <c r="C1952" t="s">
        <v>38</v>
      </c>
      <c r="D1952" t="s">
        <v>553</v>
      </c>
      <c r="E1952" t="s">
        <v>584</v>
      </c>
      <c r="G1952" s="4">
        <v>43946.543506944444</v>
      </c>
      <c r="H1952" s="4">
        <v>43946.543518518519</v>
      </c>
      <c r="I1952" t="s">
        <v>50</v>
      </c>
      <c r="J1952" s="5">
        <v>.9999999999999999999999999999999999999996</v>
      </c>
      <c r="K1952" t="s">
        <v>38</v>
      </c>
      <c r="M1952">
        <v>59211</v>
      </c>
      <c r="N1952" t="s">
        <v>584</v>
      </c>
      <c r="O1952" t="s">
        <v>585</v>
      </c>
      <c r="P1952" t="s">
        <v>38</v>
      </c>
      <c r="Q1952" t="s">
        <v>50</v>
      </c>
      <c r="R1952">
        <v>0</v>
      </c>
      <c r="S1952" t="s">
        <v>45</v>
      </c>
      <c r="T1952" t="str" s="2">
        <f>=HYPERLINK("http://demo.enginatics.com:80/ecc/user/applications/log/59193.log","http://demo.enginatics.com:80/ecc/user/applications/log/59193.log")</f>
        <v>"http://demo.enginatics.com:80/ecc/user/applications/log/59193.log")</v>
      </c>
      <c r="U1952">
        <v>59212</v>
      </c>
      <c r="V1952" t="s">
        <v>38</v>
      </c>
      <c r="W1952" t="s">
        <v>50</v>
      </c>
      <c r="X1952">
        <v>0</v>
      </c>
      <c r="Y1952">
        <v>0</v>
      </c>
      <c r="Z1952" t="s">
        <v>46</v>
      </c>
      <c r="AA1952">
        <v>59213</v>
      </c>
      <c r="AB1952" t="s">
        <v>586</v>
      </c>
      <c r="AC1952" t="s">
        <v>48</v>
      </c>
      <c r="AD1952" t="s">
        <v>38</v>
      </c>
      <c r="AE1952" t="s">
        <v>49</v>
      </c>
      <c r="AF1952" t="s">
        <v>50</v>
      </c>
      <c r="AG1952">
        <v>0</v>
      </c>
      <c r="AH1952">
        <v>0</v>
      </c>
      <c r="AI1952" t="s">
        <v>51</v>
      </c>
      <c r="AJ1952" t="s">
        <v>51</v>
      </c>
      <c r="AK1952" t="s">
        <v>51</v>
      </c>
    </row>
    <row r="1953" spans="1:37" x14ac:dyDescent="0.2">
      <c r="A1953">
        <v>59192</v>
      </c>
      <c r="B1953" t="s">
        <v>37</v>
      </c>
      <c r="C1953" t="s">
        <v>38</v>
      </c>
      <c r="D1953" t="s">
        <v>553</v>
      </c>
      <c r="E1953" t="s">
        <v>569</v>
      </c>
      <c r="G1953" s="4">
        <v>43946.543506944444</v>
      </c>
      <c r="H1953" s="4">
        <v>43946.543518518519</v>
      </c>
      <c r="I1953" t="s">
        <v>50</v>
      </c>
      <c r="J1953" s="5">
        <v>.9999999999999999999999999999999999999996</v>
      </c>
      <c r="K1953" t="s">
        <v>38</v>
      </c>
      <c r="M1953">
        <v>59202</v>
      </c>
      <c r="N1953" t="s">
        <v>569</v>
      </c>
      <c r="O1953" t="s">
        <v>570</v>
      </c>
      <c r="P1953" t="s">
        <v>38</v>
      </c>
      <c r="Q1953" t="s">
        <v>50</v>
      </c>
      <c r="R1953">
        <v>.9999999999999999999999999999999999999996</v>
      </c>
      <c r="S1953" t="s">
        <v>45</v>
      </c>
      <c r="T1953" t="str" s="2">
        <f>=HYPERLINK("http://demo.enginatics.com:80/ecc/user/applications/log/59192.log","http://demo.enginatics.com:80/ecc/user/applications/log/59192.log")</f>
        <v>"http://demo.enginatics.com:80/ecc/user/applications/log/59192.log")</v>
      </c>
      <c r="U1953">
        <v>59203</v>
      </c>
      <c r="V1953" t="s">
        <v>38</v>
      </c>
      <c r="W1953" t="s">
        <v>50</v>
      </c>
      <c r="X1953">
        <v>.9999999999999999999999999999999999999996</v>
      </c>
      <c r="Y1953">
        <v>0</v>
      </c>
      <c r="Z1953" t="s">
        <v>46</v>
      </c>
      <c r="AA1953">
        <v>59210</v>
      </c>
      <c r="AB1953" t="s">
        <v>571</v>
      </c>
      <c r="AC1953" t="s">
        <v>48</v>
      </c>
      <c r="AD1953" t="s">
        <v>38</v>
      </c>
      <c r="AE1953" t="s">
        <v>49</v>
      </c>
      <c r="AF1953" t="s">
        <v>50</v>
      </c>
      <c r="AG1953">
        <v>.9999999999999999999999999999999999999996</v>
      </c>
      <c r="AH1953">
        <v>0</v>
      </c>
      <c r="AI1953" t="s">
        <v>51</v>
      </c>
      <c r="AJ1953" t="s">
        <v>51</v>
      </c>
      <c r="AK1953" t="s">
        <v>51</v>
      </c>
    </row>
    <row r="1954" spans="1:37" x14ac:dyDescent="0.2">
      <c r="A1954">
        <v>59191</v>
      </c>
      <c r="B1954" t="s">
        <v>37</v>
      </c>
      <c r="C1954" t="s">
        <v>38</v>
      </c>
      <c r="D1954" t="s">
        <v>553</v>
      </c>
      <c r="E1954" t="s">
        <v>563</v>
      </c>
      <c r="G1954" s="4">
        <v>43946.543506944444</v>
      </c>
      <c r="H1954" s="4">
        <v>43946.543518518519</v>
      </c>
      <c r="I1954" t="s">
        <v>50</v>
      </c>
      <c r="J1954" s="5">
        <v>.9999999999999999999999999999999999999996</v>
      </c>
      <c r="K1954" t="s">
        <v>38</v>
      </c>
      <c r="M1954">
        <v>59198</v>
      </c>
      <c r="N1954" t="s">
        <v>563</v>
      </c>
      <c r="O1954" t="s">
        <v>564</v>
      </c>
      <c r="P1954" t="s">
        <v>38</v>
      </c>
      <c r="Q1954" t="s">
        <v>50</v>
      </c>
      <c r="R1954">
        <v>.9999999999999999999999999999999999999996</v>
      </c>
      <c r="S1954" t="s">
        <v>45</v>
      </c>
      <c r="T1954" t="str" s="2">
        <f>=HYPERLINK("http://demo.enginatics.com:80/ecc/user/applications/log/59191.log","http://demo.enginatics.com:80/ecc/user/applications/log/59191.log")</f>
        <v>"http://demo.enginatics.com:80/ecc/user/applications/log/59191.log")</v>
      </c>
      <c r="U1954">
        <v>59200</v>
      </c>
      <c r="V1954" t="s">
        <v>38</v>
      </c>
      <c r="W1954" t="s">
        <v>50</v>
      </c>
      <c r="X1954">
        <v>.9999999999999999999999999999999999999996</v>
      </c>
      <c r="Y1954">
        <v>0</v>
      </c>
      <c r="Z1954" t="s">
        <v>46</v>
      </c>
      <c r="AA1954">
        <v>59208</v>
      </c>
      <c r="AB1954" t="s">
        <v>565</v>
      </c>
      <c r="AC1954" t="s">
        <v>48</v>
      </c>
      <c r="AD1954" t="s">
        <v>38</v>
      </c>
      <c r="AE1954" t="s">
        <v>49</v>
      </c>
      <c r="AF1954" t="s">
        <v>50</v>
      </c>
      <c r="AG1954">
        <v>.9999999999999999999999999999999999999996</v>
      </c>
      <c r="AH1954">
        <v>0</v>
      </c>
      <c r="AI1954" t="s">
        <v>51</v>
      </c>
      <c r="AJ1954" t="s">
        <v>51</v>
      </c>
      <c r="AK1954" t="s">
        <v>51</v>
      </c>
    </row>
    <row r="1955" spans="1:37" x14ac:dyDescent="0.2">
      <c r="A1955">
        <v>59187</v>
      </c>
      <c r="B1955" t="s">
        <v>37</v>
      </c>
      <c r="C1955" t="s">
        <v>38</v>
      </c>
      <c r="D1955" t="s">
        <v>553</v>
      </c>
      <c r="E1955" t="s">
        <v>596</v>
      </c>
      <c r="G1955" s="4">
        <v>43946.543425925926</v>
      </c>
      <c r="H1955" s="4">
        <v>43946.543506944444</v>
      </c>
      <c r="I1955" t="s">
        <v>247</v>
      </c>
      <c r="J1955" s="5">
        <v>7</v>
      </c>
      <c r="K1955" t="s">
        <v>38</v>
      </c>
      <c r="M1955">
        <v>59188</v>
      </c>
      <c r="N1955" t="s">
        <v>596</v>
      </c>
      <c r="O1955" t="s">
        <v>597</v>
      </c>
      <c r="P1955" t="s">
        <v>38</v>
      </c>
      <c r="Q1955" t="s">
        <v>75</v>
      </c>
      <c r="R1955">
        <v>6</v>
      </c>
      <c r="S1955" t="s">
        <v>45</v>
      </c>
      <c r="T1955" t="str" s="2">
        <f>=HYPERLINK("http://demo.enginatics.com:80/ecc/user/applications/log/59187.log","http://demo.enginatics.com:80/ecc/user/applications/log/59187.log")</f>
        <v>"http://demo.enginatics.com:80/ecc/user/applications/log/59187.log")</v>
      </c>
      <c r="U1955">
        <v>59189</v>
      </c>
      <c r="V1955" t="s">
        <v>38</v>
      </c>
      <c r="W1955" t="s">
        <v>75</v>
      </c>
      <c r="X1955">
        <v>6</v>
      </c>
      <c r="Y1955">
        <v>0</v>
      </c>
      <c r="Z1955" t="s">
        <v>46</v>
      </c>
      <c r="AA1955">
        <v>59190</v>
      </c>
      <c r="AB1955" t="s">
        <v>1467</v>
      </c>
      <c r="AC1955" t="s">
        <v>48</v>
      </c>
      <c r="AD1955" t="s">
        <v>38</v>
      </c>
      <c r="AE1955" t="s">
        <v>49</v>
      </c>
      <c r="AF1955" t="s">
        <v>75</v>
      </c>
      <c r="AG1955">
        <v>6</v>
      </c>
      <c r="AH1955">
        <v>6</v>
      </c>
      <c r="AI1955" t="s">
        <v>51</v>
      </c>
      <c r="AJ1955" t="s">
        <v>51</v>
      </c>
      <c r="AK1955" t="s">
        <v>51</v>
      </c>
    </row>
    <row r="1956" spans="1:37" x14ac:dyDescent="0.2">
      <c r="A1956">
        <v>59183</v>
      </c>
      <c r="B1956" t="s">
        <v>37</v>
      </c>
      <c r="C1956" t="s">
        <v>38</v>
      </c>
      <c r="D1956" t="s">
        <v>83</v>
      </c>
      <c r="E1956" t="s">
        <v>599</v>
      </c>
      <c r="G1956" s="4">
        <v>43946.542789351852</v>
      </c>
      <c r="H1956" s="4">
        <v>43946.542835648148</v>
      </c>
      <c r="I1956" t="s">
        <v>44</v>
      </c>
      <c r="J1956" s="5">
        <v>4</v>
      </c>
      <c r="K1956" t="s">
        <v>38</v>
      </c>
      <c r="M1956">
        <v>59184</v>
      </c>
      <c r="N1956" t="s">
        <v>599</v>
      </c>
      <c r="O1956" t="s">
        <v>600</v>
      </c>
      <c r="P1956" t="s">
        <v>38</v>
      </c>
      <c r="Q1956" t="s">
        <v>44</v>
      </c>
      <c r="R1956">
        <v>4</v>
      </c>
      <c r="S1956" t="s">
        <v>45</v>
      </c>
      <c r="T1956" t="str" s="2">
        <f>=HYPERLINK("http://demo.enginatics.com:80/ecc/user/applications/log/59183.log","http://demo.enginatics.com:80/ecc/user/applications/log/59183.log")</f>
        <v>"http://demo.enginatics.com:80/ecc/user/applications/log/59183.log")</v>
      </c>
      <c r="U1956">
        <v>59185</v>
      </c>
      <c r="V1956" t="s">
        <v>38</v>
      </c>
      <c r="W1956" t="s">
        <v>44</v>
      </c>
      <c r="X1956">
        <v>4</v>
      </c>
      <c r="Y1956">
        <v>0</v>
      </c>
      <c r="Z1956" t="s">
        <v>46</v>
      </c>
      <c r="AA1956">
        <v>59186</v>
      </c>
      <c r="AB1956" t="s">
        <v>1690</v>
      </c>
      <c r="AC1956" t="s">
        <v>68</v>
      </c>
      <c r="AD1956" t="s">
        <v>38</v>
      </c>
      <c r="AE1956" t="s">
        <v>49</v>
      </c>
      <c r="AF1956" t="s">
        <v>85</v>
      </c>
      <c r="AG1956">
        <v>3</v>
      </c>
      <c r="AH1956">
        <v>2</v>
      </c>
      <c r="AI1956" t="s">
        <v>51</v>
      </c>
      <c r="AJ1956" t="s">
        <v>51</v>
      </c>
      <c r="AK1956" t="s">
        <v>51</v>
      </c>
    </row>
    <row r="1957" spans="1:37" x14ac:dyDescent="0.2">
      <c r="A1957">
        <v>59179</v>
      </c>
      <c r="B1957" t="s">
        <v>37</v>
      </c>
      <c r="C1957" t="s">
        <v>38</v>
      </c>
      <c r="D1957" t="s">
        <v>602</v>
      </c>
      <c r="E1957" t="s">
        <v>603</v>
      </c>
      <c r="G1957" s="4">
        <v>43946.532083333333</v>
      </c>
      <c r="H1957" s="4">
        <v>43946.53212962963</v>
      </c>
      <c r="I1957" t="s">
        <v>44</v>
      </c>
      <c r="J1957" s="5">
        <v>4</v>
      </c>
      <c r="K1957" t="s">
        <v>38</v>
      </c>
      <c r="M1957">
        <v>59180</v>
      </c>
      <c r="N1957" t="s">
        <v>603</v>
      </c>
      <c r="O1957" t="s">
        <v>604</v>
      </c>
      <c r="P1957" t="s">
        <v>38</v>
      </c>
      <c r="Q1957" t="s">
        <v>44</v>
      </c>
      <c r="R1957">
        <v>4</v>
      </c>
      <c r="S1957" t="s">
        <v>45</v>
      </c>
      <c r="T1957" t="str" s="2">
        <f>=HYPERLINK("http://demo.enginatics.com:80/ecc/user/applications/log/59179.log","http://demo.enginatics.com:80/ecc/user/applications/log/59179.log")</f>
        <v>"http://demo.enginatics.com:80/ecc/user/applications/log/59179.log")</v>
      </c>
      <c r="U1957">
        <v>59181</v>
      </c>
      <c r="V1957" t="s">
        <v>38</v>
      </c>
      <c r="W1957" t="s">
        <v>44</v>
      </c>
      <c r="X1957">
        <v>4</v>
      </c>
      <c r="Y1957">
        <v>0</v>
      </c>
      <c r="Z1957" t="s">
        <v>46</v>
      </c>
      <c r="AA1957">
        <v>59182</v>
      </c>
      <c r="AB1957" t="s">
        <v>605</v>
      </c>
      <c r="AC1957" t="s">
        <v>68</v>
      </c>
      <c r="AD1957" t="s">
        <v>38</v>
      </c>
      <c r="AE1957" t="s">
        <v>49</v>
      </c>
      <c r="AF1957" t="s">
        <v>85</v>
      </c>
      <c r="AG1957">
        <v>3</v>
      </c>
      <c r="AH1957">
        <v>3</v>
      </c>
      <c r="AI1957" t="s">
        <v>51</v>
      </c>
      <c r="AJ1957" t="s">
        <v>51</v>
      </c>
      <c r="AK1957" t="s">
        <v>51</v>
      </c>
    </row>
    <row r="1958" spans="1:37" x14ac:dyDescent="0.2">
      <c r="A1958">
        <v>59174</v>
      </c>
      <c r="B1958" t="s">
        <v>37</v>
      </c>
      <c r="C1958" t="s">
        <v>38</v>
      </c>
      <c r="D1958" t="s">
        <v>606</v>
      </c>
      <c r="E1958" t="s">
        <v>607</v>
      </c>
      <c r="G1958" s="4">
        <v>43946.529837962963</v>
      </c>
      <c r="H1958" s="4">
        <v>43946.529837962963</v>
      </c>
      <c r="I1958" t="s">
        <v>50</v>
      </c>
      <c r="J1958" s="5">
        <v>0</v>
      </c>
      <c r="K1958" t="s">
        <v>38</v>
      </c>
      <c r="M1958">
        <v>59175</v>
      </c>
      <c r="N1958" t="s">
        <v>607</v>
      </c>
      <c r="O1958" t="s">
        <v>608</v>
      </c>
      <c r="P1958" t="s">
        <v>38</v>
      </c>
      <c r="Q1958" t="s">
        <v>50</v>
      </c>
      <c r="R1958">
        <v>0</v>
      </c>
      <c r="S1958" t="s">
        <v>45</v>
      </c>
      <c r="T1958" t="str" s="2">
        <f>=HYPERLINK("http://demo.enginatics.com:80/ecc/user/applications/log/59174.log","http://demo.enginatics.com:80/ecc/user/applications/log/59174.log")</f>
        <v>"http://demo.enginatics.com:80/ecc/user/applications/log/59174.log")</v>
      </c>
      <c r="U1958">
        <v>59176</v>
      </c>
      <c r="V1958" t="s">
        <v>38</v>
      </c>
      <c r="W1958" t="s">
        <v>50</v>
      </c>
      <c r="X1958">
        <v>0</v>
      </c>
      <c r="Y1958">
        <v>0</v>
      </c>
      <c r="Z1958" t="s">
        <v>46</v>
      </c>
      <c r="AA1958">
        <v>59178</v>
      </c>
      <c r="AB1958" t="s">
        <v>609</v>
      </c>
      <c r="AC1958" t="s">
        <v>48</v>
      </c>
      <c r="AD1958" t="s">
        <v>38</v>
      </c>
      <c r="AE1958" t="s">
        <v>49</v>
      </c>
      <c r="AF1958" t="s">
        <v>50</v>
      </c>
      <c r="AG1958">
        <v>0</v>
      </c>
      <c r="AH1958">
        <v>0</v>
      </c>
      <c r="AI1958" t="s">
        <v>51</v>
      </c>
      <c r="AJ1958" t="s">
        <v>51</v>
      </c>
      <c r="AK1958" t="s">
        <v>51</v>
      </c>
    </row>
    <row r="1959" spans="1:37" x14ac:dyDescent="0.2">
      <c r="A1959">
        <v>59174</v>
      </c>
      <c r="B1959" t="s">
        <v>37</v>
      </c>
      <c r="C1959" t="s">
        <v>38</v>
      </c>
      <c r="D1959" t="s">
        <v>606</v>
      </c>
      <c r="E1959" t="s">
        <v>607</v>
      </c>
      <c r="G1959" s="4">
        <v>43946.529837962963</v>
      </c>
      <c r="H1959" s="4">
        <v>43946.529837962963</v>
      </c>
      <c r="I1959" t="s">
        <v>50</v>
      </c>
      <c r="J1959" s="5">
        <v>0</v>
      </c>
      <c r="K1959" t="s">
        <v>38</v>
      </c>
      <c r="M1959">
        <v>59175</v>
      </c>
      <c r="N1959" t="s">
        <v>607</v>
      </c>
      <c r="O1959" t="s">
        <v>608</v>
      </c>
      <c r="P1959" t="s">
        <v>38</v>
      </c>
      <c r="Q1959" t="s">
        <v>50</v>
      </c>
      <c r="R1959">
        <v>0</v>
      </c>
      <c r="S1959" t="s">
        <v>45</v>
      </c>
      <c r="T1959" t="str" s="2">
        <f>=HYPERLINK("http://demo.enginatics.com:80/ecc/user/applications/log/59174.log","http://demo.enginatics.com:80/ecc/user/applications/log/59174.log")</f>
        <v>"http://demo.enginatics.com:80/ecc/user/applications/log/59174.log")</v>
      </c>
      <c r="U1959">
        <v>59176</v>
      </c>
      <c r="V1959" t="s">
        <v>38</v>
      </c>
      <c r="W1959" t="s">
        <v>50</v>
      </c>
      <c r="X1959">
        <v>0</v>
      </c>
      <c r="Y1959">
        <v>0</v>
      </c>
      <c r="Z1959" t="s">
        <v>46</v>
      </c>
      <c r="AA1959">
        <v>59177</v>
      </c>
      <c r="AB1959" t="s">
        <v>610</v>
      </c>
      <c r="AC1959" t="s">
        <v>56</v>
      </c>
      <c r="AD1959" t="s">
        <v>38</v>
      </c>
      <c r="AE1959" t="s">
        <v>49</v>
      </c>
      <c r="AF1959" t="s">
        <v>50</v>
      </c>
      <c r="AG1959">
        <v>0</v>
      </c>
      <c r="AH1959">
        <v>0</v>
      </c>
      <c r="AI1959" t="s">
        <v>51</v>
      </c>
      <c r="AJ1959" t="s">
        <v>51</v>
      </c>
      <c r="AK1959" t="s">
        <v>51</v>
      </c>
    </row>
    <row r="1960" spans="1:37" x14ac:dyDescent="0.2">
      <c r="A1960">
        <v>59169</v>
      </c>
      <c r="B1960" t="s">
        <v>37</v>
      </c>
      <c r="C1960" t="s">
        <v>38</v>
      </c>
      <c r="D1960" t="s">
        <v>606</v>
      </c>
      <c r="E1960" t="s">
        <v>611</v>
      </c>
      <c r="G1960" s="4">
        <v>43946.529768518519</v>
      </c>
      <c r="H1960" s="4">
        <v>43946.529768518519</v>
      </c>
      <c r="I1960" t="s">
        <v>50</v>
      </c>
      <c r="J1960" s="5">
        <v>0</v>
      </c>
      <c r="K1960" t="s">
        <v>38</v>
      </c>
      <c r="M1960">
        <v>59170</v>
      </c>
      <c r="N1960" t="s">
        <v>611</v>
      </c>
      <c r="O1960" t="s">
        <v>612</v>
      </c>
      <c r="P1960" t="s">
        <v>38</v>
      </c>
      <c r="Q1960" t="s">
        <v>50</v>
      </c>
      <c r="R1960">
        <v>0</v>
      </c>
      <c r="S1960" t="s">
        <v>45</v>
      </c>
      <c r="T1960" t="str" s="2">
        <f>=HYPERLINK("http://demo.enginatics.com:80/ecc/user/applications/log/59169.log","http://demo.enginatics.com:80/ecc/user/applications/log/59169.log")</f>
        <v>"http://demo.enginatics.com:80/ecc/user/applications/log/59169.log")</v>
      </c>
      <c r="U1960">
        <v>59171</v>
      </c>
      <c r="V1960" t="s">
        <v>38</v>
      </c>
      <c r="W1960" t="s">
        <v>50</v>
      </c>
      <c r="X1960">
        <v>0</v>
      </c>
      <c r="Y1960">
        <v>0</v>
      </c>
      <c r="Z1960" t="s">
        <v>46</v>
      </c>
      <c r="AA1960">
        <v>59173</v>
      </c>
      <c r="AB1960" t="s">
        <v>613</v>
      </c>
      <c r="AC1960" t="s">
        <v>48</v>
      </c>
      <c r="AD1960" t="s">
        <v>38</v>
      </c>
      <c r="AE1960" t="s">
        <v>49</v>
      </c>
      <c r="AF1960" t="s">
        <v>50</v>
      </c>
      <c r="AG1960">
        <v>0</v>
      </c>
      <c r="AH1960">
        <v>0</v>
      </c>
      <c r="AI1960" t="s">
        <v>51</v>
      </c>
      <c r="AJ1960" t="s">
        <v>51</v>
      </c>
      <c r="AK1960" t="s">
        <v>51</v>
      </c>
    </row>
    <row r="1961" spans="1:37" x14ac:dyDescent="0.2">
      <c r="A1961">
        <v>59169</v>
      </c>
      <c r="B1961" t="s">
        <v>37</v>
      </c>
      <c r="C1961" t="s">
        <v>38</v>
      </c>
      <c r="D1961" t="s">
        <v>606</v>
      </c>
      <c r="E1961" t="s">
        <v>611</v>
      </c>
      <c r="G1961" s="4">
        <v>43946.529768518519</v>
      </c>
      <c r="H1961" s="4">
        <v>43946.529768518519</v>
      </c>
      <c r="I1961" t="s">
        <v>50</v>
      </c>
      <c r="J1961" s="5">
        <v>0</v>
      </c>
      <c r="K1961" t="s">
        <v>38</v>
      </c>
      <c r="M1961">
        <v>59170</v>
      </c>
      <c r="N1961" t="s">
        <v>611</v>
      </c>
      <c r="O1961" t="s">
        <v>612</v>
      </c>
      <c r="P1961" t="s">
        <v>38</v>
      </c>
      <c r="Q1961" t="s">
        <v>50</v>
      </c>
      <c r="R1961">
        <v>0</v>
      </c>
      <c r="S1961" t="s">
        <v>45</v>
      </c>
      <c r="T1961" t="str" s="2">
        <f>=HYPERLINK("http://demo.enginatics.com:80/ecc/user/applications/log/59169.log","http://demo.enginatics.com:80/ecc/user/applications/log/59169.log")</f>
        <v>"http://demo.enginatics.com:80/ecc/user/applications/log/59169.log")</v>
      </c>
      <c r="U1961">
        <v>59171</v>
      </c>
      <c r="V1961" t="s">
        <v>38</v>
      </c>
      <c r="W1961" t="s">
        <v>50</v>
      </c>
      <c r="X1961">
        <v>0</v>
      </c>
      <c r="Y1961">
        <v>0</v>
      </c>
      <c r="Z1961" t="s">
        <v>46</v>
      </c>
      <c r="AA1961">
        <v>59172</v>
      </c>
      <c r="AB1961" t="s">
        <v>614</v>
      </c>
      <c r="AC1961" t="s">
        <v>56</v>
      </c>
      <c r="AD1961" t="s">
        <v>38</v>
      </c>
      <c r="AE1961" t="s">
        <v>49</v>
      </c>
      <c r="AF1961" t="s">
        <v>50</v>
      </c>
      <c r="AG1961">
        <v>0</v>
      </c>
      <c r="AH1961">
        <v>0</v>
      </c>
      <c r="AI1961" t="s">
        <v>51</v>
      </c>
      <c r="AJ1961" t="s">
        <v>51</v>
      </c>
      <c r="AK1961" t="s">
        <v>51</v>
      </c>
    </row>
    <row r="1962" spans="1:37" x14ac:dyDescent="0.2">
      <c r="A1962">
        <v>59164</v>
      </c>
      <c r="B1962" t="s">
        <v>37</v>
      </c>
      <c r="C1962" t="s">
        <v>38</v>
      </c>
      <c r="D1962" t="s">
        <v>606</v>
      </c>
      <c r="E1962" t="s">
        <v>615</v>
      </c>
      <c r="G1962" s="4">
        <v>43946.529722222222</v>
      </c>
      <c r="H1962" s="4">
        <v>43946.529722222222</v>
      </c>
      <c r="I1962" t="s">
        <v>50</v>
      </c>
      <c r="J1962" s="5">
        <v>0</v>
      </c>
      <c r="K1962" t="s">
        <v>38</v>
      </c>
      <c r="M1962">
        <v>59165</v>
      </c>
      <c r="N1962" t="s">
        <v>615</v>
      </c>
      <c r="O1962" t="s">
        <v>616</v>
      </c>
      <c r="P1962" t="s">
        <v>38</v>
      </c>
      <c r="Q1962" t="s">
        <v>50</v>
      </c>
      <c r="R1962">
        <v>0</v>
      </c>
      <c r="S1962" t="s">
        <v>45</v>
      </c>
      <c r="T1962" t="str" s="2">
        <f>=HYPERLINK("http://demo.enginatics.com:80/ecc/user/applications/log/59164.log","http://demo.enginatics.com:80/ecc/user/applications/log/59164.log")</f>
        <v>"http://demo.enginatics.com:80/ecc/user/applications/log/59164.log")</v>
      </c>
      <c r="U1962">
        <v>59166</v>
      </c>
      <c r="V1962" t="s">
        <v>38</v>
      </c>
      <c r="W1962" t="s">
        <v>50</v>
      </c>
      <c r="X1962">
        <v>0</v>
      </c>
      <c r="Y1962">
        <v>0</v>
      </c>
      <c r="Z1962" t="s">
        <v>46</v>
      </c>
      <c r="AA1962">
        <v>59168</v>
      </c>
      <c r="AB1962" t="s">
        <v>617</v>
      </c>
      <c r="AC1962" t="s">
        <v>48</v>
      </c>
      <c r="AD1962" t="s">
        <v>38</v>
      </c>
      <c r="AE1962" t="s">
        <v>49</v>
      </c>
      <c r="AF1962" t="s">
        <v>50</v>
      </c>
      <c r="AG1962">
        <v>0</v>
      </c>
      <c r="AH1962">
        <v>0</v>
      </c>
      <c r="AI1962" t="s">
        <v>51</v>
      </c>
      <c r="AJ1962" t="s">
        <v>51</v>
      </c>
      <c r="AK1962" t="s">
        <v>51</v>
      </c>
    </row>
    <row r="1963" spans="1:37" x14ac:dyDescent="0.2">
      <c r="A1963">
        <v>59164</v>
      </c>
      <c r="B1963" t="s">
        <v>37</v>
      </c>
      <c r="C1963" t="s">
        <v>38</v>
      </c>
      <c r="D1963" t="s">
        <v>606</v>
      </c>
      <c r="E1963" t="s">
        <v>615</v>
      </c>
      <c r="G1963" s="4">
        <v>43946.529722222222</v>
      </c>
      <c r="H1963" s="4">
        <v>43946.529722222222</v>
      </c>
      <c r="I1963" t="s">
        <v>50</v>
      </c>
      <c r="J1963" s="5">
        <v>0</v>
      </c>
      <c r="K1963" t="s">
        <v>38</v>
      </c>
      <c r="M1963">
        <v>59165</v>
      </c>
      <c r="N1963" t="s">
        <v>615</v>
      </c>
      <c r="O1963" t="s">
        <v>616</v>
      </c>
      <c r="P1963" t="s">
        <v>38</v>
      </c>
      <c r="Q1963" t="s">
        <v>50</v>
      </c>
      <c r="R1963">
        <v>0</v>
      </c>
      <c r="S1963" t="s">
        <v>45</v>
      </c>
      <c r="T1963" t="str" s="2">
        <f>=HYPERLINK("http://demo.enginatics.com:80/ecc/user/applications/log/59164.log","http://demo.enginatics.com:80/ecc/user/applications/log/59164.log")</f>
        <v>"http://demo.enginatics.com:80/ecc/user/applications/log/59164.log")</v>
      </c>
      <c r="U1963">
        <v>59166</v>
      </c>
      <c r="V1963" t="s">
        <v>38</v>
      </c>
      <c r="W1963" t="s">
        <v>50</v>
      </c>
      <c r="X1963">
        <v>0</v>
      </c>
      <c r="Y1963">
        <v>0</v>
      </c>
      <c r="Z1963" t="s">
        <v>46</v>
      </c>
      <c r="AA1963">
        <v>59167</v>
      </c>
      <c r="AB1963" t="s">
        <v>618</v>
      </c>
      <c r="AC1963" t="s">
        <v>56</v>
      </c>
      <c r="AD1963" t="s">
        <v>38</v>
      </c>
      <c r="AE1963" t="s">
        <v>49</v>
      </c>
      <c r="AF1963" t="s">
        <v>50</v>
      </c>
      <c r="AG1963">
        <v>0</v>
      </c>
      <c r="AH1963">
        <v>0</v>
      </c>
      <c r="AI1963" t="s">
        <v>51</v>
      </c>
      <c r="AJ1963" t="s">
        <v>51</v>
      </c>
      <c r="AK1963" t="s">
        <v>51</v>
      </c>
    </row>
    <row r="1964" spans="1:37" x14ac:dyDescent="0.2">
      <c r="A1964">
        <v>59159</v>
      </c>
      <c r="B1964" t="s">
        <v>37</v>
      </c>
      <c r="C1964" t="s">
        <v>38</v>
      </c>
      <c r="D1964" t="s">
        <v>606</v>
      </c>
      <c r="E1964" t="s">
        <v>619</v>
      </c>
      <c r="G1964" s="4">
        <v>43946.529571759259</v>
      </c>
      <c r="H1964" s="4">
        <v>43946.529583333333</v>
      </c>
      <c r="I1964" t="s">
        <v>50</v>
      </c>
      <c r="J1964" s="5">
        <v>.9999999999999999999999999999999999999996</v>
      </c>
      <c r="K1964" t="s">
        <v>38</v>
      </c>
      <c r="M1964">
        <v>59160</v>
      </c>
      <c r="N1964" t="s">
        <v>619</v>
      </c>
      <c r="O1964" t="s">
        <v>620</v>
      </c>
      <c r="P1964" t="s">
        <v>38</v>
      </c>
      <c r="Q1964" t="s">
        <v>50</v>
      </c>
      <c r="R1964">
        <v>.9999999999999999999999999999999999999996</v>
      </c>
      <c r="S1964" t="s">
        <v>45</v>
      </c>
      <c r="T1964" t="str" s="2">
        <f>=HYPERLINK("http://demo.enginatics.com:80/ecc/user/applications/log/59159.log","http://demo.enginatics.com:80/ecc/user/applications/log/59159.log")</f>
        <v>"http://demo.enginatics.com:80/ecc/user/applications/log/59159.log")</v>
      </c>
      <c r="U1964">
        <v>59161</v>
      </c>
      <c r="V1964" t="s">
        <v>38</v>
      </c>
      <c r="W1964" t="s">
        <v>50</v>
      </c>
      <c r="X1964">
        <v>.9999999999999999999999999999999999999996</v>
      </c>
      <c r="Y1964">
        <v>0</v>
      </c>
      <c r="Z1964" t="s">
        <v>46</v>
      </c>
      <c r="AA1964">
        <v>59163</v>
      </c>
      <c r="AB1964" t="s">
        <v>621</v>
      </c>
      <c r="AC1964" t="s">
        <v>48</v>
      </c>
      <c r="AD1964" t="s">
        <v>38</v>
      </c>
      <c r="AE1964" t="s">
        <v>49</v>
      </c>
      <c r="AF1964" t="s">
        <v>50</v>
      </c>
      <c r="AG1964">
        <v>0</v>
      </c>
      <c r="AH1964">
        <v>0</v>
      </c>
      <c r="AI1964" t="s">
        <v>51</v>
      </c>
      <c r="AJ1964" t="s">
        <v>51</v>
      </c>
      <c r="AK1964" t="s">
        <v>51</v>
      </c>
    </row>
    <row r="1965" spans="1:37" x14ac:dyDescent="0.2">
      <c r="A1965">
        <v>59159</v>
      </c>
      <c r="B1965" t="s">
        <v>37</v>
      </c>
      <c r="C1965" t="s">
        <v>38</v>
      </c>
      <c r="D1965" t="s">
        <v>606</v>
      </c>
      <c r="E1965" t="s">
        <v>619</v>
      </c>
      <c r="G1965" s="4">
        <v>43946.529571759259</v>
      </c>
      <c r="H1965" s="4">
        <v>43946.529583333333</v>
      </c>
      <c r="I1965" t="s">
        <v>50</v>
      </c>
      <c r="J1965" s="5">
        <v>.9999999999999999999999999999999999999996</v>
      </c>
      <c r="K1965" t="s">
        <v>38</v>
      </c>
      <c r="M1965">
        <v>59160</v>
      </c>
      <c r="N1965" t="s">
        <v>619</v>
      </c>
      <c r="O1965" t="s">
        <v>620</v>
      </c>
      <c r="P1965" t="s">
        <v>38</v>
      </c>
      <c r="Q1965" t="s">
        <v>50</v>
      </c>
      <c r="R1965">
        <v>.9999999999999999999999999999999999999996</v>
      </c>
      <c r="S1965" t="s">
        <v>45</v>
      </c>
      <c r="T1965" t="str" s="2">
        <f>=HYPERLINK("http://demo.enginatics.com:80/ecc/user/applications/log/59159.log","http://demo.enginatics.com:80/ecc/user/applications/log/59159.log")</f>
        <v>"http://demo.enginatics.com:80/ecc/user/applications/log/59159.log")</v>
      </c>
      <c r="U1965">
        <v>59161</v>
      </c>
      <c r="V1965" t="s">
        <v>38</v>
      </c>
      <c r="W1965" t="s">
        <v>50</v>
      </c>
      <c r="X1965">
        <v>.9999999999999999999999999999999999999996</v>
      </c>
      <c r="Y1965">
        <v>0</v>
      </c>
      <c r="Z1965" t="s">
        <v>46</v>
      </c>
      <c r="AA1965">
        <v>59162</v>
      </c>
      <c r="AB1965" t="s">
        <v>622</v>
      </c>
      <c r="AC1965" t="s">
        <v>56</v>
      </c>
      <c r="AD1965" t="s">
        <v>38</v>
      </c>
      <c r="AE1965" t="s">
        <v>49</v>
      </c>
      <c r="AF1965" t="s">
        <v>50</v>
      </c>
      <c r="AG1965">
        <v>0</v>
      </c>
      <c r="AH1965">
        <v>0</v>
      </c>
      <c r="AI1965" t="s">
        <v>51</v>
      </c>
      <c r="AJ1965" t="s">
        <v>51</v>
      </c>
      <c r="AK1965" t="s">
        <v>51</v>
      </c>
    </row>
    <row r="1966" spans="1:37" x14ac:dyDescent="0.2">
      <c r="A1966">
        <v>59140</v>
      </c>
      <c r="B1966" t="s">
        <v>37</v>
      </c>
      <c r="C1966" t="s">
        <v>38</v>
      </c>
      <c r="D1966" t="s">
        <v>623</v>
      </c>
      <c r="E1966" t="s">
        <v>624</v>
      </c>
      <c r="G1966" s="4">
        <v>43946.524918981481</v>
      </c>
      <c r="H1966" s="4">
        <v>43946.524930555556</v>
      </c>
      <c r="I1966" t="s">
        <v>50</v>
      </c>
      <c r="J1966" s="5">
        <v>.9999999999999999999999999999999999999996</v>
      </c>
      <c r="K1966" t="s">
        <v>38</v>
      </c>
      <c r="M1966">
        <v>59141</v>
      </c>
      <c r="N1966" t="s">
        <v>624</v>
      </c>
      <c r="O1966" t="s">
        <v>623</v>
      </c>
      <c r="P1966" t="s">
        <v>38</v>
      </c>
      <c r="Q1966" t="s">
        <v>50</v>
      </c>
      <c r="R1966">
        <v>.9999999999999999999999999999999999999996</v>
      </c>
      <c r="S1966" t="s">
        <v>45</v>
      </c>
      <c r="T1966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66">
        <v>59142</v>
      </c>
      <c r="V1966" t="s">
        <v>38</v>
      </c>
      <c r="W1966" t="s">
        <v>50</v>
      </c>
      <c r="X1966">
        <v>.9999999999999999999999999999999999999996</v>
      </c>
      <c r="Y1966">
        <v>0</v>
      </c>
      <c r="Z1966" t="s">
        <v>46</v>
      </c>
      <c r="AA1966">
        <v>59158</v>
      </c>
      <c r="AB1966" t="s">
        <v>625</v>
      </c>
      <c r="AC1966" t="s">
        <v>56</v>
      </c>
      <c r="AD1966" t="s">
        <v>38</v>
      </c>
      <c r="AE1966" t="s">
        <v>49</v>
      </c>
      <c r="AF1966" t="s">
        <v>50</v>
      </c>
      <c r="AG1966">
        <v>0</v>
      </c>
      <c r="AH1966">
        <v>0</v>
      </c>
      <c r="AI1966" t="s">
        <v>51</v>
      </c>
      <c r="AJ1966" t="s">
        <v>51</v>
      </c>
      <c r="AK1966" t="s">
        <v>51</v>
      </c>
    </row>
    <row r="1967" spans="1:37" x14ac:dyDescent="0.2">
      <c r="A1967">
        <v>59140</v>
      </c>
      <c r="B1967" t="s">
        <v>37</v>
      </c>
      <c r="C1967" t="s">
        <v>38</v>
      </c>
      <c r="D1967" t="s">
        <v>623</v>
      </c>
      <c r="E1967" t="s">
        <v>624</v>
      </c>
      <c r="G1967" s="4">
        <v>43946.524918981481</v>
      </c>
      <c r="H1967" s="4">
        <v>43946.524930555556</v>
      </c>
      <c r="I1967" t="s">
        <v>50</v>
      </c>
      <c r="J1967" s="5">
        <v>.9999999999999999999999999999999999999996</v>
      </c>
      <c r="K1967" t="s">
        <v>38</v>
      </c>
      <c r="M1967">
        <v>59141</v>
      </c>
      <c r="N1967" t="s">
        <v>624</v>
      </c>
      <c r="O1967" t="s">
        <v>623</v>
      </c>
      <c r="P1967" t="s">
        <v>38</v>
      </c>
      <c r="Q1967" t="s">
        <v>50</v>
      </c>
      <c r="R1967">
        <v>.9999999999999999999999999999999999999996</v>
      </c>
      <c r="S1967" t="s">
        <v>45</v>
      </c>
      <c r="T1967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67">
        <v>59142</v>
      </c>
      <c r="V1967" t="s">
        <v>38</v>
      </c>
      <c r="W1967" t="s">
        <v>50</v>
      </c>
      <c r="X1967">
        <v>.9999999999999999999999999999999999999996</v>
      </c>
      <c r="Y1967">
        <v>0</v>
      </c>
      <c r="Z1967" t="s">
        <v>46</v>
      </c>
      <c r="AA1967">
        <v>59157</v>
      </c>
      <c r="AB1967" t="s">
        <v>626</v>
      </c>
      <c r="AC1967" t="s">
        <v>56</v>
      </c>
      <c r="AD1967" t="s">
        <v>38</v>
      </c>
      <c r="AE1967" t="s">
        <v>49</v>
      </c>
      <c r="AF1967" t="s">
        <v>50</v>
      </c>
      <c r="AG1967">
        <v>0</v>
      </c>
      <c r="AH1967">
        <v>0</v>
      </c>
      <c r="AI1967" t="s">
        <v>51</v>
      </c>
      <c r="AJ1967" t="s">
        <v>51</v>
      </c>
      <c r="AK1967" t="s">
        <v>51</v>
      </c>
    </row>
    <row r="1968" spans="1:37" x14ac:dyDescent="0.2">
      <c r="A1968">
        <v>59140</v>
      </c>
      <c r="B1968" t="s">
        <v>37</v>
      </c>
      <c r="C1968" t="s">
        <v>38</v>
      </c>
      <c r="D1968" t="s">
        <v>623</v>
      </c>
      <c r="E1968" t="s">
        <v>624</v>
      </c>
      <c r="G1968" s="4">
        <v>43946.524918981481</v>
      </c>
      <c r="H1968" s="4">
        <v>43946.524930555556</v>
      </c>
      <c r="I1968" t="s">
        <v>50</v>
      </c>
      <c r="J1968" s="5">
        <v>.9999999999999999999999999999999999999996</v>
      </c>
      <c r="K1968" t="s">
        <v>38</v>
      </c>
      <c r="M1968">
        <v>59141</v>
      </c>
      <c r="N1968" t="s">
        <v>624</v>
      </c>
      <c r="O1968" t="s">
        <v>623</v>
      </c>
      <c r="P1968" t="s">
        <v>38</v>
      </c>
      <c r="Q1968" t="s">
        <v>50</v>
      </c>
      <c r="R1968">
        <v>.9999999999999999999999999999999999999996</v>
      </c>
      <c r="S1968" t="s">
        <v>45</v>
      </c>
      <c r="T1968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68">
        <v>59142</v>
      </c>
      <c r="V1968" t="s">
        <v>38</v>
      </c>
      <c r="W1968" t="s">
        <v>50</v>
      </c>
      <c r="X1968">
        <v>.9999999999999999999999999999999999999996</v>
      </c>
      <c r="Y1968">
        <v>0</v>
      </c>
      <c r="Z1968" t="s">
        <v>46</v>
      </c>
      <c r="AA1968">
        <v>59156</v>
      </c>
      <c r="AB1968" t="s">
        <v>627</v>
      </c>
      <c r="AC1968" t="s">
        <v>56</v>
      </c>
      <c r="AD1968" t="s">
        <v>38</v>
      </c>
      <c r="AE1968" t="s">
        <v>49</v>
      </c>
      <c r="AF1968" t="s">
        <v>50</v>
      </c>
      <c r="AG1968">
        <v>0</v>
      </c>
      <c r="AH1968">
        <v>0</v>
      </c>
      <c r="AI1968" t="s">
        <v>51</v>
      </c>
      <c r="AJ1968" t="s">
        <v>51</v>
      </c>
      <c r="AK1968" t="s">
        <v>51</v>
      </c>
    </row>
    <row r="1969" spans="1:37" x14ac:dyDescent="0.2">
      <c r="A1969">
        <v>59140</v>
      </c>
      <c r="B1969" t="s">
        <v>37</v>
      </c>
      <c r="C1969" t="s">
        <v>38</v>
      </c>
      <c r="D1969" t="s">
        <v>623</v>
      </c>
      <c r="E1969" t="s">
        <v>624</v>
      </c>
      <c r="G1969" s="4">
        <v>43946.524918981481</v>
      </c>
      <c r="H1969" s="4">
        <v>43946.524930555556</v>
      </c>
      <c r="I1969" t="s">
        <v>50</v>
      </c>
      <c r="J1969" s="5">
        <v>.9999999999999999999999999999999999999996</v>
      </c>
      <c r="K1969" t="s">
        <v>38</v>
      </c>
      <c r="M1969">
        <v>59141</v>
      </c>
      <c r="N1969" t="s">
        <v>624</v>
      </c>
      <c r="O1969" t="s">
        <v>623</v>
      </c>
      <c r="P1969" t="s">
        <v>38</v>
      </c>
      <c r="Q1969" t="s">
        <v>50</v>
      </c>
      <c r="R1969">
        <v>.9999999999999999999999999999999999999996</v>
      </c>
      <c r="S1969" t="s">
        <v>45</v>
      </c>
      <c r="T1969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69">
        <v>59142</v>
      </c>
      <c r="V1969" t="s">
        <v>38</v>
      </c>
      <c r="W1969" t="s">
        <v>50</v>
      </c>
      <c r="X1969">
        <v>.9999999999999999999999999999999999999996</v>
      </c>
      <c r="Y1969">
        <v>0</v>
      </c>
      <c r="Z1969" t="s">
        <v>46</v>
      </c>
      <c r="AA1969">
        <v>59155</v>
      </c>
      <c r="AB1969" t="s">
        <v>628</v>
      </c>
      <c r="AC1969" t="s">
        <v>56</v>
      </c>
      <c r="AD1969" t="s">
        <v>38</v>
      </c>
      <c r="AE1969" t="s">
        <v>49</v>
      </c>
      <c r="AF1969" t="s">
        <v>50</v>
      </c>
      <c r="AG1969">
        <v>0</v>
      </c>
      <c r="AH1969">
        <v>0</v>
      </c>
      <c r="AI1969" t="s">
        <v>51</v>
      </c>
      <c r="AJ1969" t="s">
        <v>51</v>
      </c>
      <c r="AK1969" t="s">
        <v>51</v>
      </c>
    </row>
    <row r="1970" spans="1:37" x14ac:dyDescent="0.2">
      <c r="A1970">
        <v>59140</v>
      </c>
      <c r="B1970" t="s">
        <v>37</v>
      </c>
      <c r="C1970" t="s">
        <v>38</v>
      </c>
      <c r="D1970" t="s">
        <v>623</v>
      </c>
      <c r="E1970" t="s">
        <v>624</v>
      </c>
      <c r="G1970" s="4">
        <v>43946.524918981481</v>
      </c>
      <c r="H1970" s="4">
        <v>43946.524930555556</v>
      </c>
      <c r="I1970" t="s">
        <v>50</v>
      </c>
      <c r="J1970" s="5">
        <v>.9999999999999999999999999999999999999996</v>
      </c>
      <c r="K1970" t="s">
        <v>38</v>
      </c>
      <c r="M1970">
        <v>59141</v>
      </c>
      <c r="N1970" t="s">
        <v>624</v>
      </c>
      <c r="O1970" t="s">
        <v>623</v>
      </c>
      <c r="P1970" t="s">
        <v>38</v>
      </c>
      <c r="Q1970" t="s">
        <v>50</v>
      </c>
      <c r="R1970">
        <v>.9999999999999999999999999999999999999996</v>
      </c>
      <c r="S1970" t="s">
        <v>45</v>
      </c>
      <c r="T1970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0">
        <v>59142</v>
      </c>
      <c r="V1970" t="s">
        <v>38</v>
      </c>
      <c r="W1970" t="s">
        <v>50</v>
      </c>
      <c r="X1970">
        <v>.9999999999999999999999999999999999999996</v>
      </c>
      <c r="Y1970">
        <v>0</v>
      </c>
      <c r="Z1970" t="s">
        <v>46</v>
      </c>
      <c r="AA1970">
        <v>59154</v>
      </c>
      <c r="AB1970" t="s">
        <v>629</v>
      </c>
      <c r="AC1970" t="s">
        <v>56</v>
      </c>
      <c r="AD1970" t="s">
        <v>38</v>
      </c>
      <c r="AE1970" t="s">
        <v>49</v>
      </c>
      <c r="AF1970" t="s">
        <v>50</v>
      </c>
      <c r="AG1970">
        <v>0</v>
      </c>
      <c r="AH1970">
        <v>0</v>
      </c>
      <c r="AI1970" t="s">
        <v>51</v>
      </c>
      <c r="AJ1970" t="s">
        <v>51</v>
      </c>
      <c r="AK1970" t="s">
        <v>51</v>
      </c>
    </row>
    <row r="1971" spans="1:37" x14ac:dyDescent="0.2">
      <c r="A1971">
        <v>59140</v>
      </c>
      <c r="B1971" t="s">
        <v>37</v>
      </c>
      <c r="C1971" t="s">
        <v>38</v>
      </c>
      <c r="D1971" t="s">
        <v>623</v>
      </c>
      <c r="E1971" t="s">
        <v>624</v>
      </c>
      <c r="G1971" s="4">
        <v>43946.524918981481</v>
      </c>
      <c r="H1971" s="4">
        <v>43946.524930555556</v>
      </c>
      <c r="I1971" t="s">
        <v>50</v>
      </c>
      <c r="J1971" s="5">
        <v>.9999999999999999999999999999999999999996</v>
      </c>
      <c r="K1971" t="s">
        <v>38</v>
      </c>
      <c r="M1971">
        <v>59141</v>
      </c>
      <c r="N1971" t="s">
        <v>624</v>
      </c>
      <c r="O1971" t="s">
        <v>623</v>
      </c>
      <c r="P1971" t="s">
        <v>38</v>
      </c>
      <c r="Q1971" t="s">
        <v>50</v>
      </c>
      <c r="R1971">
        <v>.9999999999999999999999999999999999999996</v>
      </c>
      <c r="S1971" t="s">
        <v>45</v>
      </c>
      <c r="T1971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1">
        <v>59142</v>
      </c>
      <c r="V1971" t="s">
        <v>38</v>
      </c>
      <c r="W1971" t="s">
        <v>50</v>
      </c>
      <c r="X1971">
        <v>.9999999999999999999999999999999999999996</v>
      </c>
      <c r="Y1971">
        <v>0</v>
      </c>
      <c r="Z1971" t="s">
        <v>46</v>
      </c>
      <c r="AA1971">
        <v>59153</v>
      </c>
      <c r="AB1971" t="s">
        <v>630</v>
      </c>
      <c r="AC1971" t="s">
        <v>56</v>
      </c>
      <c r="AD1971" t="s">
        <v>38</v>
      </c>
      <c r="AE1971" t="s">
        <v>49</v>
      </c>
      <c r="AF1971" t="s">
        <v>50</v>
      </c>
      <c r="AG1971">
        <v>0</v>
      </c>
      <c r="AH1971">
        <v>0</v>
      </c>
      <c r="AI1971" t="s">
        <v>51</v>
      </c>
      <c r="AJ1971" t="s">
        <v>51</v>
      </c>
      <c r="AK1971" t="s">
        <v>51</v>
      </c>
    </row>
    <row r="1972" spans="1:37" x14ac:dyDescent="0.2">
      <c r="A1972">
        <v>59140</v>
      </c>
      <c r="B1972" t="s">
        <v>37</v>
      </c>
      <c r="C1972" t="s">
        <v>38</v>
      </c>
      <c r="D1972" t="s">
        <v>623</v>
      </c>
      <c r="E1972" t="s">
        <v>624</v>
      </c>
      <c r="G1972" s="4">
        <v>43946.524918981481</v>
      </c>
      <c r="H1972" s="4">
        <v>43946.524930555556</v>
      </c>
      <c r="I1972" t="s">
        <v>50</v>
      </c>
      <c r="J1972" s="5">
        <v>.9999999999999999999999999999999999999996</v>
      </c>
      <c r="K1972" t="s">
        <v>38</v>
      </c>
      <c r="M1972">
        <v>59141</v>
      </c>
      <c r="N1972" t="s">
        <v>624</v>
      </c>
      <c r="O1972" t="s">
        <v>623</v>
      </c>
      <c r="P1972" t="s">
        <v>38</v>
      </c>
      <c r="Q1972" t="s">
        <v>50</v>
      </c>
      <c r="R1972">
        <v>.9999999999999999999999999999999999999996</v>
      </c>
      <c r="S1972" t="s">
        <v>45</v>
      </c>
      <c r="T1972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2">
        <v>59142</v>
      </c>
      <c r="V1972" t="s">
        <v>38</v>
      </c>
      <c r="W1972" t="s">
        <v>50</v>
      </c>
      <c r="X1972">
        <v>.9999999999999999999999999999999999999996</v>
      </c>
      <c r="Y1972">
        <v>0</v>
      </c>
      <c r="Z1972" t="s">
        <v>46</v>
      </c>
      <c r="AA1972">
        <v>59152</v>
      </c>
      <c r="AB1972" t="s">
        <v>631</v>
      </c>
      <c r="AC1972" t="s">
        <v>56</v>
      </c>
      <c r="AD1972" t="s">
        <v>38</v>
      </c>
      <c r="AE1972" t="s">
        <v>49</v>
      </c>
      <c r="AF1972" t="s">
        <v>50</v>
      </c>
      <c r="AG1972">
        <v>0</v>
      </c>
      <c r="AH1972">
        <v>0</v>
      </c>
      <c r="AI1972" t="s">
        <v>51</v>
      </c>
      <c r="AJ1972" t="s">
        <v>51</v>
      </c>
      <c r="AK1972" t="s">
        <v>51</v>
      </c>
    </row>
    <row r="1973" spans="1:37" x14ac:dyDescent="0.2">
      <c r="A1973">
        <v>59140</v>
      </c>
      <c r="B1973" t="s">
        <v>37</v>
      </c>
      <c r="C1973" t="s">
        <v>38</v>
      </c>
      <c r="D1973" t="s">
        <v>623</v>
      </c>
      <c r="E1973" t="s">
        <v>624</v>
      </c>
      <c r="G1973" s="4">
        <v>43946.524918981481</v>
      </c>
      <c r="H1973" s="4">
        <v>43946.524930555556</v>
      </c>
      <c r="I1973" t="s">
        <v>50</v>
      </c>
      <c r="J1973" s="5">
        <v>.9999999999999999999999999999999999999996</v>
      </c>
      <c r="K1973" t="s">
        <v>38</v>
      </c>
      <c r="M1973">
        <v>59141</v>
      </c>
      <c r="N1973" t="s">
        <v>624</v>
      </c>
      <c r="O1973" t="s">
        <v>623</v>
      </c>
      <c r="P1973" t="s">
        <v>38</v>
      </c>
      <c r="Q1973" t="s">
        <v>50</v>
      </c>
      <c r="R1973">
        <v>.9999999999999999999999999999999999999996</v>
      </c>
      <c r="S1973" t="s">
        <v>45</v>
      </c>
      <c r="T1973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3">
        <v>59142</v>
      </c>
      <c r="V1973" t="s">
        <v>38</v>
      </c>
      <c r="W1973" t="s">
        <v>50</v>
      </c>
      <c r="X1973">
        <v>.9999999999999999999999999999999999999996</v>
      </c>
      <c r="Y1973">
        <v>0</v>
      </c>
      <c r="Z1973" t="s">
        <v>46</v>
      </c>
      <c r="AA1973">
        <v>59151</v>
      </c>
      <c r="AB1973" t="s">
        <v>632</v>
      </c>
      <c r="AC1973" t="s">
        <v>56</v>
      </c>
      <c r="AD1973" t="s">
        <v>38</v>
      </c>
      <c r="AE1973" t="s">
        <v>49</v>
      </c>
      <c r="AF1973" t="s">
        <v>50</v>
      </c>
      <c r="AG1973">
        <v>0</v>
      </c>
      <c r="AH1973">
        <v>0</v>
      </c>
      <c r="AI1973" t="s">
        <v>51</v>
      </c>
      <c r="AJ1973" t="s">
        <v>51</v>
      </c>
      <c r="AK1973" t="s">
        <v>51</v>
      </c>
    </row>
    <row r="1974" spans="1:37" x14ac:dyDescent="0.2">
      <c r="A1974">
        <v>59140</v>
      </c>
      <c r="B1974" t="s">
        <v>37</v>
      </c>
      <c r="C1974" t="s">
        <v>38</v>
      </c>
      <c r="D1974" t="s">
        <v>623</v>
      </c>
      <c r="E1974" t="s">
        <v>624</v>
      </c>
      <c r="G1974" s="4">
        <v>43946.524918981481</v>
      </c>
      <c r="H1974" s="4">
        <v>43946.524930555556</v>
      </c>
      <c r="I1974" t="s">
        <v>50</v>
      </c>
      <c r="J1974" s="5">
        <v>.9999999999999999999999999999999999999996</v>
      </c>
      <c r="K1974" t="s">
        <v>38</v>
      </c>
      <c r="M1974">
        <v>59141</v>
      </c>
      <c r="N1974" t="s">
        <v>624</v>
      </c>
      <c r="O1974" t="s">
        <v>623</v>
      </c>
      <c r="P1974" t="s">
        <v>38</v>
      </c>
      <c r="Q1974" t="s">
        <v>50</v>
      </c>
      <c r="R1974">
        <v>.9999999999999999999999999999999999999996</v>
      </c>
      <c r="S1974" t="s">
        <v>45</v>
      </c>
      <c r="T1974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4">
        <v>59142</v>
      </c>
      <c r="V1974" t="s">
        <v>38</v>
      </c>
      <c r="W1974" t="s">
        <v>50</v>
      </c>
      <c r="X1974">
        <v>.9999999999999999999999999999999999999996</v>
      </c>
      <c r="Y1974">
        <v>0</v>
      </c>
      <c r="Z1974" t="s">
        <v>46</v>
      </c>
      <c r="AA1974">
        <v>59150</v>
      </c>
      <c r="AB1974" t="s">
        <v>1469</v>
      </c>
      <c r="AC1974" t="s">
        <v>103</v>
      </c>
      <c r="AD1974" t="s">
        <v>38</v>
      </c>
      <c r="AE1974" t="s">
        <v>49</v>
      </c>
      <c r="AF1974" t="s">
        <v>50</v>
      </c>
      <c r="AG1974">
        <v>0</v>
      </c>
      <c r="AH1974">
        <v>0</v>
      </c>
      <c r="AI1974" t="s">
        <v>51</v>
      </c>
      <c r="AJ1974" t="s">
        <v>51</v>
      </c>
      <c r="AK1974" t="s">
        <v>51</v>
      </c>
    </row>
    <row r="1975" spans="1:37" x14ac:dyDescent="0.2">
      <c r="A1975">
        <v>59140</v>
      </c>
      <c r="B1975" t="s">
        <v>37</v>
      </c>
      <c r="C1975" t="s">
        <v>38</v>
      </c>
      <c r="D1975" t="s">
        <v>623</v>
      </c>
      <c r="E1975" t="s">
        <v>624</v>
      </c>
      <c r="G1975" s="4">
        <v>43946.524918981481</v>
      </c>
      <c r="H1975" s="4">
        <v>43946.524930555556</v>
      </c>
      <c r="I1975" t="s">
        <v>50</v>
      </c>
      <c r="J1975" s="5">
        <v>.9999999999999999999999999999999999999996</v>
      </c>
      <c r="K1975" t="s">
        <v>38</v>
      </c>
      <c r="M1975">
        <v>59141</v>
      </c>
      <c r="N1975" t="s">
        <v>624</v>
      </c>
      <c r="O1975" t="s">
        <v>623</v>
      </c>
      <c r="P1975" t="s">
        <v>38</v>
      </c>
      <c r="Q1975" t="s">
        <v>50</v>
      </c>
      <c r="R1975">
        <v>.9999999999999999999999999999999999999996</v>
      </c>
      <c r="S1975" t="s">
        <v>45</v>
      </c>
      <c r="T1975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5">
        <v>59142</v>
      </c>
      <c r="V1975" t="s">
        <v>38</v>
      </c>
      <c r="W1975" t="s">
        <v>50</v>
      </c>
      <c r="X1975">
        <v>.9999999999999999999999999999999999999996</v>
      </c>
      <c r="Y1975">
        <v>0</v>
      </c>
      <c r="Z1975" t="s">
        <v>46</v>
      </c>
      <c r="AA1975">
        <v>59149</v>
      </c>
      <c r="AB1975" t="s">
        <v>1470</v>
      </c>
      <c r="AC1975" t="s">
        <v>103</v>
      </c>
      <c r="AD1975" t="s">
        <v>38</v>
      </c>
      <c r="AE1975" t="s">
        <v>49</v>
      </c>
      <c r="AF1975" t="s">
        <v>50</v>
      </c>
      <c r="AG1975">
        <v>0</v>
      </c>
      <c r="AH1975">
        <v>0</v>
      </c>
      <c r="AI1975" t="s">
        <v>51</v>
      </c>
      <c r="AJ1975" t="s">
        <v>51</v>
      </c>
      <c r="AK1975" t="s">
        <v>51</v>
      </c>
    </row>
    <row r="1976" spans="1:37" x14ac:dyDescent="0.2">
      <c r="A1976">
        <v>59140</v>
      </c>
      <c r="B1976" t="s">
        <v>37</v>
      </c>
      <c r="C1976" t="s">
        <v>38</v>
      </c>
      <c r="D1976" t="s">
        <v>623</v>
      </c>
      <c r="E1976" t="s">
        <v>624</v>
      </c>
      <c r="G1976" s="4">
        <v>43946.524918981481</v>
      </c>
      <c r="H1976" s="4">
        <v>43946.524930555556</v>
      </c>
      <c r="I1976" t="s">
        <v>50</v>
      </c>
      <c r="J1976" s="5">
        <v>.9999999999999999999999999999999999999996</v>
      </c>
      <c r="K1976" t="s">
        <v>38</v>
      </c>
      <c r="M1976">
        <v>59141</v>
      </c>
      <c r="N1976" t="s">
        <v>624</v>
      </c>
      <c r="O1976" t="s">
        <v>623</v>
      </c>
      <c r="P1976" t="s">
        <v>38</v>
      </c>
      <c r="Q1976" t="s">
        <v>50</v>
      </c>
      <c r="R1976">
        <v>.9999999999999999999999999999999999999996</v>
      </c>
      <c r="S1976" t="s">
        <v>45</v>
      </c>
      <c r="T1976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6">
        <v>59142</v>
      </c>
      <c r="V1976" t="s">
        <v>38</v>
      </c>
      <c r="W1976" t="s">
        <v>50</v>
      </c>
      <c r="X1976">
        <v>.9999999999999999999999999999999999999996</v>
      </c>
      <c r="Y1976">
        <v>0</v>
      </c>
      <c r="Z1976" t="s">
        <v>46</v>
      </c>
      <c r="AA1976">
        <v>59148</v>
      </c>
      <c r="AB1976" t="s">
        <v>1471</v>
      </c>
      <c r="AC1976" t="s">
        <v>103</v>
      </c>
      <c r="AD1976" t="s">
        <v>38</v>
      </c>
      <c r="AE1976" t="s">
        <v>49</v>
      </c>
      <c r="AF1976" t="s">
        <v>50</v>
      </c>
      <c r="AG1976">
        <v>0</v>
      </c>
      <c r="AH1976">
        <v>0</v>
      </c>
      <c r="AI1976" t="s">
        <v>51</v>
      </c>
      <c r="AJ1976" t="s">
        <v>51</v>
      </c>
      <c r="AK1976" t="s">
        <v>51</v>
      </c>
    </row>
    <row r="1977" spans="1:37" x14ac:dyDescent="0.2">
      <c r="A1977">
        <v>59140</v>
      </c>
      <c r="B1977" t="s">
        <v>37</v>
      </c>
      <c r="C1977" t="s">
        <v>38</v>
      </c>
      <c r="D1977" t="s">
        <v>623</v>
      </c>
      <c r="E1977" t="s">
        <v>624</v>
      </c>
      <c r="G1977" s="4">
        <v>43946.524918981481</v>
      </c>
      <c r="H1977" s="4">
        <v>43946.524930555556</v>
      </c>
      <c r="I1977" t="s">
        <v>50</v>
      </c>
      <c r="J1977" s="5">
        <v>.9999999999999999999999999999999999999996</v>
      </c>
      <c r="K1977" t="s">
        <v>38</v>
      </c>
      <c r="M1977">
        <v>59141</v>
      </c>
      <c r="N1977" t="s">
        <v>624</v>
      </c>
      <c r="O1977" t="s">
        <v>623</v>
      </c>
      <c r="P1977" t="s">
        <v>38</v>
      </c>
      <c r="Q1977" t="s">
        <v>50</v>
      </c>
      <c r="R1977">
        <v>.9999999999999999999999999999999999999996</v>
      </c>
      <c r="S1977" t="s">
        <v>45</v>
      </c>
      <c r="T1977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7">
        <v>59142</v>
      </c>
      <c r="V1977" t="s">
        <v>38</v>
      </c>
      <c r="W1977" t="s">
        <v>50</v>
      </c>
      <c r="X1977">
        <v>.9999999999999999999999999999999999999996</v>
      </c>
      <c r="Y1977">
        <v>0</v>
      </c>
      <c r="Z1977" t="s">
        <v>46</v>
      </c>
      <c r="AA1977">
        <v>59147</v>
      </c>
      <c r="AB1977" t="s">
        <v>1472</v>
      </c>
      <c r="AC1977" t="s">
        <v>103</v>
      </c>
      <c r="AD1977" t="s">
        <v>38</v>
      </c>
      <c r="AE1977" t="s">
        <v>49</v>
      </c>
      <c r="AF1977" t="s">
        <v>50</v>
      </c>
      <c r="AG1977">
        <v>0</v>
      </c>
      <c r="AH1977">
        <v>0</v>
      </c>
      <c r="AI1977" t="s">
        <v>51</v>
      </c>
      <c r="AJ1977" t="s">
        <v>51</v>
      </c>
      <c r="AK1977" t="s">
        <v>51</v>
      </c>
    </row>
    <row r="1978" spans="1:37" x14ac:dyDescent="0.2">
      <c r="A1978">
        <v>59140</v>
      </c>
      <c r="B1978" t="s">
        <v>37</v>
      </c>
      <c r="C1978" t="s">
        <v>38</v>
      </c>
      <c r="D1978" t="s">
        <v>623</v>
      </c>
      <c r="E1978" t="s">
        <v>624</v>
      </c>
      <c r="G1978" s="4">
        <v>43946.524918981481</v>
      </c>
      <c r="H1978" s="4">
        <v>43946.524930555556</v>
      </c>
      <c r="I1978" t="s">
        <v>50</v>
      </c>
      <c r="J1978" s="5">
        <v>.9999999999999999999999999999999999999996</v>
      </c>
      <c r="K1978" t="s">
        <v>38</v>
      </c>
      <c r="M1978">
        <v>59141</v>
      </c>
      <c r="N1978" t="s">
        <v>624</v>
      </c>
      <c r="O1978" t="s">
        <v>623</v>
      </c>
      <c r="P1978" t="s">
        <v>38</v>
      </c>
      <c r="Q1978" t="s">
        <v>50</v>
      </c>
      <c r="R1978">
        <v>.9999999999999999999999999999999999999996</v>
      </c>
      <c r="S1978" t="s">
        <v>45</v>
      </c>
      <c r="T1978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8">
        <v>59142</v>
      </c>
      <c r="V1978" t="s">
        <v>38</v>
      </c>
      <c r="W1978" t="s">
        <v>50</v>
      </c>
      <c r="X1978">
        <v>.9999999999999999999999999999999999999996</v>
      </c>
      <c r="Y1978">
        <v>0</v>
      </c>
      <c r="Z1978" t="s">
        <v>46</v>
      </c>
      <c r="AA1978">
        <v>59146</v>
      </c>
      <c r="AB1978" t="s">
        <v>1473</v>
      </c>
      <c r="AC1978" t="s">
        <v>103</v>
      </c>
      <c r="AD1978" t="s">
        <v>38</v>
      </c>
      <c r="AE1978" t="s">
        <v>49</v>
      </c>
      <c r="AF1978" t="s">
        <v>50</v>
      </c>
      <c r="AG1978">
        <v>0</v>
      </c>
      <c r="AH1978">
        <v>0</v>
      </c>
      <c r="AI1978" t="s">
        <v>51</v>
      </c>
      <c r="AJ1978" t="s">
        <v>51</v>
      </c>
      <c r="AK1978" t="s">
        <v>51</v>
      </c>
    </row>
    <row r="1979" spans="1:37" x14ac:dyDescent="0.2">
      <c r="A1979">
        <v>59140</v>
      </c>
      <c r="B1979" t="s">
        <v>37</v>
      </c>
      <c r="C1979" t="s">
        <v>38</v>
      </c>
      <c r="D1979" t="s">
        <v>623</v>
      </c>
      <c r="E1979" t="s">
        <v>624</v>
      </c>
      <c r="G1979" s="4">
        <v>43946.524918981481</v>
      </c>
      <c r="H1979" s="4">
        <v>43946.524930555556</v>
      </c>
      <c r="I1979" t="s">
        <v>50</v>
      </c>
      <c r="J1979" s="5">
        <v>.9999999999999999999999999999999999999996</v>
      </c>
      <c r="K1979" t="s">
        <v>38</v>
      </c>
      <c r="M1979">
        <v>59141</v>
      </c>
      <c r="N1979" t="s">
        <v>624</v>
      </c>
      <c r="O1979" t="s">
        <v>623</v>
      </c>
      <c r="P1979" t="s">
        <v>38</v>
      </c>
      <c r="Q1979" t="s">
        <v>50</v>
      </c>
      <c r="R1979">
        <v>.9999999999999999999999999999999999999996</v>
      </c>
      <c r="S1979" t="s">
        <v>45</v>
      </c>
      <c r="T1979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79">
        <v>59142</v>
      </c>
      <c r="V1979" t="s">
        <v>38</v>
      </c>
      <c r="W1979" t="s">
        <v>50</v>
      </c>
      <c r="X1979">
        <v>.9999999999999999999999999999999999999996</v>
      </c>
      <c r="Y1979">
        <v>0</v>
      </c>
      <c r="Z1979" t="s">
        <v>46</v>
      </c>
      <c r="AA1979">
        <v>59145</v>
      </c>
      <c r="AB1979" t="s">
        <v>1474</v>
      </c>
      <c r="AC1979" t="s">
        <v>103</v>
      </c>
      <c r="AD1979" t="s">
        <v>38</v>
      </c>
      <c r="AE1979" t="s">
        <v>49</v>
      </c>
      <c r="AF1979" t="s">
        <v>50</v>
      </c>
      <c r="AG1979">
        <v>0</v>
      </c>
      <c r="AH1979">
        <v>0</v>
      </c>
      <c r="AI1979" t="s">
        <v>51</v>
      </c>
      <c r="AJ1979" t="s">
        <v>51</v>
      </c>
      <c r="AK1979" t="s">
        <v>51</v>
      </c>
    </row>
    <row r="1980" spans="1:37" x14ac:dyDescent="0.2">
      <c r="A1980">
        <v>59140</v>
      </c>
      <c r="B1980" t="s">
        <v>37</v>
      </c>
      <c r="C1980" t="s">
        <v>38</v>
      </c>
      <c r="D1980" t="s">
        <v>623</v>
      </c>
      <c r="E1980" t="s">
        <v>624</v>
      </c>
      <c r="G1980" s="4">
        <v>43946.524918981481</v>
      </c>
      <c r="H1980" s="4">
        <v>43946.524930555556</v>
      </c>
      <c r="I1980" t="s">
        <v>50</v>
      </c>
      <c r="J1980" s="5">
        <v>.9999999999999999999999999999999999999996</v>
      </c>
      <c r="K1980" t="s">
        <v>38</v>
      </c>
      <c r="M1980">
        <v>59141</v>
      </c>
      <c r="N1980" t="s">
        <v>624</v>
      </c>
      <c r="O1980" t="s">
        <v>623</v>
      </c>
      <c r="P1980" t="s">
        <v>38</v>
      </c>
      <c r="Q1980" t="s">
        <v>50</v>
      </c>
      <c r="R1980">
        <v>.9999999999999999999999999999999999999996</v>
      </c>
      <c r="S1980" t="s">
        <v>45</v>
      </c>
      <c r="T1980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80">
        <v>59142</v>
      </c>
      <c r="V1980" t="s">
        <v>38</v>
      </c>
      <c r="W1980" t="s">
        <v>50</v>
      </c>
      <c r="X1980">
        <v>.9999999999999999999999999999999999999996</v>
      </c>
      <c r="Y1980">
        <v>0</v>
      </c>
      <c r="Z1980" t="s">
        <v>46</v>
      </c>
      <c r="AA1980">
        <v>59144</v>
      </c>
      <c r="AB1980" t="s">
        <v>1475</v>
      </c>
      <c r="AC1980" t="s">
        <v>103</v>
      </c>
      <c r="AD1980" t="s">
        <v>38</v>
      </c>
      <c r="AE1980" t="s">
        <v>49</v>
      </c>
      <c r="AF1980" t="s">
        <v>50</v>
      </c>
      <c r="AG1980">
        <v>0</v>
      </c>
      <c r="AH1980">
        <v>0</v>
      </c>
      <c r="AI1980" t="s">
        <v>51</v>
      </c>
      <c r="AJ1980" t="s">
        <v>51</v>
      </c>
      <c r="AK1980" t="s">
        <v>51</v>
      </c>
    </row>
    <row r="1981" spans="1:37" x14ac:dyDescent="0.2">
      <c r="A1981">
        <v>59140</v>
      </c>
      <c r="B1981" t="s">
        <v>37</v>
      </c>
      <c r="C1981" t="s">
        <v>38</v>
      </c>
      <c r="D1981" t="s">
        <v>623</v>
      </c>
      <c r="E1981" t="s">
        <v>624</v>
      </c>
      <c r="G1981" s="4">
        <v>43946.524918981481</v>
      </c>
      <c r="H1981" s="4">
        <v>43946.524930555556</v>
      </c>
      <c r="I1981" t="s">
        <v>50</v>
      </c>
      <c r="J1981" s="5">
        <v>.9999999999999999999999999999999999999996</v>
      </c>
      <c r="K1981" t="s">
        <v>38</v>
      </c>
      <c r="M1981">
        <v>59141</v>
      </c>
      <c r="N1981" t="s">
        <v>624</v>
      </c>
      <c r="O1981" t="s">
        <v>623</v>
      </c>
      <c r="P1981" t="s">
        <v>38</v>
      </c>
      <c r="Q1981" t="s">
        <v>50</v>
      </c>
      <c r="R1981">
        <v>.9999999999999999999999999999999999999996</v>
      </c>
      <c r="S1981" t="s">
        <v>45</v>
      </c>
      <c r="T1981" t="str" s="2">
        <f>=HYPERLINK("http://demo.enginatics.com:80/ecc/user/applications/log/59140.log","http://demo.enginatics.com:80/ecc/user/applications/log/59140.log")</f>
        <v>"http://demo.enginatics.com:80/ecc/user/applications/log/59140.log")</v>
      </c>
      <c r="U1981">
        <v>59142</v>
      </c>
      <c r="V1981" t="s">
        <v>38</v>
      </c>
      <c r="W1981" t="s">
        <v>50</v>
      </c>
      <c r="X1981">
        <v>.9999999999999999999999999999999999999996</v>
      </c>
      <c r="Y1981">
        <v>0</v>
      </c>
      <c r="Z1981" t="s">
        <v>46</v>
      </c>
      <c r="AA1981">
        <v>59143</v>
      </c>
      <c r="AB1981" t="s">
        <v>1476</v>
      </c>
      <c r="AC1981" t="s">
        <v>103</v>
      </c>
      <c r="AD1981" t="s">
        <v>38</v>
      </c>
      <c r="AE1981" t="s">
        <v>49</v>
      </c>
      <c r="AF1981" t="s">
        <v>50</v>
      </c>
      <c r="AG1981">
        <v>0</v>
      </c>
      <c r="AH1981">
        <v>0</v>
      </c>
      <c r="AI1981" t="s">
        <v>51</v>
      </c>
      <c r="AJ1981" t="s">
        <v>51</v>
      </c>
      <c r="AK1981" t="s">
        <v>51</v>
      </c>
    </row>
    <row r="1982" spans="1:37" x14ac:dyDescent="0.2">
      <c r="A1982">
        <v>59130</v>
      </c>
      <c r="B1982" t="s">
        <v>37</v>
      </c>
      <c r="C1982" t="s">
        <v>38</v>
      </c>
      <c r="D1982" t="s">
        <v>641</v>
      </c>
      <c r="E1982" t="s">
        <v>40</v>
      </c>
      <c r="G1982" s="4">
        <v>43946.521886574074</v>
      </c>
      <c r="H1982" s="4">
        <v>43946.521909722222</v>
      </c>
      <c r="I1982" t="s">
        <v>88</v>
      </c>
      <c r="J1982" s="5">
        <v>2</v>
      </c>
      <c r="K1982" t="s">
        <v>38</v>
      </c>
      <c r="M1982">
        <v>59137</v>
      </c>
      <c r="N1982" t="s">
        <v>642</v>
      </c>
      <c r="O1982" t="s">
        <v>643</v>
      </c>
      <c r="P1982" t="s">
        <v>38</v>
      </c>
      <c r="Q1982" t="s">
        <v>88</v>
      </c>
      <c r="R1982">
        <v>2</v>
      </c>
      <c r="S1982" t="s">
        <v>45</v>
      </c>
      <c r="T1982" t="str" s="2">
        <f>=HYPERLINK("http://demo.enginatics.com:80/ecc/user/applications/log/59130.log","http://demo.enginatics.com:80/ecc/user/applications/log/59130.log")</f>
        <v>"http://demo.enginatics.com:80/ecc/user/applications/log/59130.log")</v>
      </c>
      <c r="U1982">
        <v>59138</v>
      </c>
      <c r="V1982" t="s">
        <v>38</v>
      </c>
      <c r="W1982" t="s">
        <v>50</v>
      </c>
      <c r="X1982">
        <v>0</v>
      </c>
      <c r="Y1982">
        <v>0</v>
      </c>
      <c r="Z1982" t="s">
        <v>46</v>
      </c>
      <c r="AA1982">
        <v>59139</v>
      </c>
      <c r="AB1982" t="s">
        <v>1477</v>
      </c>
      <c r="AC1982" t="s">
        <v>68</v>
      </c>
      <c r="AD1982" t="s">
        <v>38</v>
      </c>
      <c r="AE1982" t="s">
        <v>49</v>
      </c>
      <c r="AF1982" t="s">
        <v>50</v>
      </c>
      <c r="AG1982">
        <v>0</v>
      </c>
      <c r="AH1982">
        <v>0</v>
      </c>
      <c r="AI1982" t="s">
        <v>51</v>
      </c>
      <c r="AJ1982" t="s">
        <v>51</v>
      </c>
      <c r="AK1982" t="s">
        <v>51</v>
      </c>
    </row>
    <row r="1983" spans="1:37" x14ac:dyDescent="0.2">
      <c r="A1983">
        <v>59130</v>
      </c>
      <c r="B1983" t="s">
        <v>37</v>
      </c>
      <c r="C1983" t="s">
        <v>38</v>
      </c>
      <c r="D1983" t="s">
        <v>641</v>
      </c>
      <c r="E1983" t="s">
        <v>40</v>
      </c>
      <c r="G1983" s="4">
        <v>43946.521886574074</v>
      </c>
      <c r="H1983" s="4">
        <v>43946.521909722222</v>
      </c>
      <c r="I1983" t="s">
        <v>88</v>
      </c>
      <c r="J1983" s="5">
        <v>2</v>
      </c>
      <c r="K1983" t="s">
        <v>38</v>
      </c>
      <c r="M1983">
        <v>59134</v>
      </c>
      <c r="N1983" t="s">
        <v>645</v>
      </c>
      <c r="O1983" t="s">
        <v>646</v>
      </c>
      <c r="P1983" t="s">
        <v>38</v>
      </c>
      <c r="Q1983" t="s">
        <v>50</v>
      </c>
      <c r="R1983">
        <v>0</v>
      </c>
      <c r="S1983" t="s">
        <v>45</v>
      </c>
      <c r="T1983" t="str" s="2">
        <f>=HYPERLINK("http://demo.enginatics.com:80/ecc/user/applications/log/59130.log","http://demo.enginatics.com:80/ecc/user/applications/log/59130.log")</f>
        <v>"http://demo.enginatics.com:80/ecc/user/applications/log/59130.log")</v>
      </c>
      <c r="U1983">
        <v>59135</v>
      </c>
      <c r="V1983" t="s">
        <v>38</v>
      </c>
      <c r="W1983" t="s">
        <v>50</v>
      </c>
      <c r="X1983">
        <v>0</v>
      </c>
      <c r="Y1983">
        <v>0</v>
      </c>
      <c r="Z1983" t="s">
        <v>46</v>
      </c>
      <c r="AA1983">
        <v>59136</v>
      </c>
      <c r="AB1983" t="s">
        <v>1478</v>
      </c>
      <c r="AC1983" t="s">
        <v>68</v>
      </c>
      <c r="AD1983" t="s">
        <v>38</v>
      </c>
      <c r="AE1983" t="s">
        <v>49</v>
      </c>
      <c r="AF1983" t="s">
        <v>50</v>
      </c>
      <c r="AG1983">
        <v>0</v>
      </c>
      <c r="AH1983">
        <v>0</v>
      </c>
      <c r="AI1983" t="s">
        <v>51</v>
      </c>
      <c r="AJ1983" t="s">
        <v>51</v>
      </c>
      <c r="AK1983" t="s">
        <v>51</v>
      </c>
    </row>
    <row r="1984" spans="1:37" x14ac:dyDescent="0.2">
      <c r="A1984">
        <v>59130</v>
      </c>
      <c r="B1984" t="s">
        <v>37</v>
      </c>
      <c r="C1984" t="s">
        <v>38</v>
      </c>
      <c r="D1984" t="s">
        <v>641</v>
      </c>
      <c r="E1984" t="s">
        <v>40</v>
      </c>
      <c r="G1984" s="4">
        <v>43946.521886574074</v>
      </c>
      <c r="H1984" s="4">
        <v>43946.521909722222</v>
      </c>
      <c r="I1984" t="s">
        <v>88</v>
      </c>
      <c r="J1984" s="5">
        <v>2</v>
      </c>
      <c r="K1984" t="s">
        <v>38</v>
      </c>
      <c r="M1984">
        <v>59131</v>
      </c>
      <c r="N1984" t="s">
        <v>648</v>
      </c>
      <c r="O1984" t="s">
        <v>649</v>
      </c>
      <c r="P1984" t="s">
        <v>38</v>
      </c>
      <c r="Q1984" t="s">
        <v>50</v>
      </c>
      <c r="R1984">
        <v>0</v>
      </c>
      <c r="S1984" t="s">
        <v>45</v>
      </c>
      <c r="T1984" t="str" s="2">
        <f>=HYPERLINK("http://demo.enginatics.com:80/ecc/user/applications/log/59130.log","http://demo.enginatics.com:80/ecc/user/applications/log/59130.log")</f>
        <v>"http://demo.enginatics.com:80/ecc/user/applications/log/59130.log")</v>
      </c>
      <c r="U1984">
        <v>59132</v>
      </c>
      <c r="V1984" t="s">
        <v>38</v>
      </c>
      <c r="W1984" t="s">
        <v>50</v>
      </c>
      <c r="X1984">
        <v>0</v>
      </c>
      <c r="Y1984">
        <v>0</v>
      </c>
      <c r="Z1984" t="s">
        <v>46</v>
      </c>
      <c r="AA1984">
        <v>59133</v>
      </c>
      <c r="AB1984" t="s">
        <v>1479</v>
      </c>
      <c r="AC1984" t="s">
        <v>68</v>
      </c>
      <c r="AD1984" t="s">
        <v>38</v>
      </c>
      <c r="AE1984" t="s">
        <v>49</v>
      </c>
      <c r="AF1984" t="s">
        <v>50</v>
      </c>
      <c r="AG1984">
        <v>0</v>
      </c>
      <c r="AH1984">
        <v>0</v>
      </c>
      <c r="AI1984" t="s">
        <v>51</v>
      </c>
      <c r="AJ1984" t="s">
        <v>51</v>
      </c>
      <c r="AK1984" t="s">
        <v>51</v>
      </c>
    </row>
    <row r="1985" spans="1:37" x14ac:dyDescent="0.2">
      <c r="A1985">
        <v>59108</v>
      </c>
      <c r="B1985" t="s">
        <v>37</v>
      </c>
      <c r="C1985" t="s">
        <v>38</v>
      </c>
      <c r="D1985" t="s">
        <v>651</v>
      </c>
      <c r="E1985" t="s">
        <v>40</v>
      </c>
      <c r="G1985" s="4">
        <v>43946.51474537037</v>
      </c>
      <c r="H1985" s="4">
        <v>43946.514849537037</v>
      </c>
      <c r="I1985" t="s">
        <v>238</v>
      </c>
      <c r="J1985" s="5">
        <v>9.00000000000000000000000000000000000003</v>
      </c>
      <c r="K1985" t="s">
        <v>38</v>
      </c>
      <c r="M1985">
        <v>59127</v>
      </c>
      <c r="N1985" t="s">
        <v>653</v>
      </c>
      <c r="O1985" t="s">
        <v>654</v>
      </c>
      <c r="P1985" t="s">
        <v>38</v>
      </c>
      <c r="Q1985" t="s">
        <v>44</v>
      </c>
      <c r="R1985">
        <v>4</v>
      </c>
      <c r="S1985" t="s">
        <v>45</v>
      </c>
      <c r="T1985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85">
        <v>59128</v>
      </c>
      <c r="V1985" t="s">
        <v>38</v>
      </c>
      <c r="W1985" t="s">
        <v>44</v>
      </c>
      <c r="X1985">
        <v>4</v>
      </c>
      <c r="Y1985">
        <v>0</v>
      </c>
      <c r="Z1985" t="s">
        <v>46</v>
      </c>
      <c r="AA1985">
        <v>59129</v>
      </c>
      <c r="AB1985" t="s">
        <v>655</v>
      </c>
      <c r="AC1985" t="s">
        <v>48</v>
      </c>
      <c r="AD1985" t="s">
        <v>38</v>
      </c>
      <c r="AE1985" t="s">
        <v>49</v>
      </c>
      <c r="AF1985" t="s">
        <v>44</v>
      </c>
      <c r="AG1985">
        <v>4</v>
      </c>
      <c r="AH1985">
        <v>3</v>
      </c>
      <c r="AI1985" t="s">
        <v>51</v>
      </c>
      <c r="AJ1985" t="s">
        <v>51</v>
      </c>
      <c r="AK1985" t="s">
        <v>51</v>
      </c>
    </row>
    <row r="1986" spans="1:37" x14ac:dyDescent="0.2">
      <c r="A1986">
        <v>59108</v>
      </c>
      <c r="B1986" t="s">
        <v>37</v>
      </c>
      <c r="C1986" t="s">
        <v>38</v>
      </c>
      <c r="D1986" t="s">
        <v>651</v>
      </c>
      <c r="E1986" t="s">
        <v>40</v>
      </c>
      <c r="G1986" s="4">
        <v>43946.51474537037</v>
      </c>
      <c r="H1986" s="4">
        <v>43946.514849537037</v>
      </c>
      <c r="I1986" t="s">
        <v>238</v>
      </c>
      <c r="J1986" s="5">
        <v>9.00000000000000000000000000000000000003</v>
      </c>
      <c r="K1986" t="s">
        <v>38</v>
      </c>
      <c r="M1986">
        <v>59124</v>
      </c>
      <c r="N1986" t="s">
        <v>656</v>
      </c>
      <c r="O1986" t="s">
        <v>657</v>
      </c>
      <c r="P1986" t="s">
        <v>38</v>
      </c>
      <c r="Q1986" t="s">
        <v>50</v>
      </c>
      <c r="R1986">
        <v>.9999999999999999999999999999999999999996</v>
      </c>
      <c r="S1986" t="s">
        <v>45</v>
      </c>
      <c r="T1986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86">
        <v>59125</v>
      </c>
      <c r="V1986" t="s">
        <v>38</v>
      </c>
      <c r="W1986" t="s">
        <v>50</v>
      </c>
      <c r="X1986">
        <v>.9999999999999999999999999999999999999996</v>
      </c>
      <c r="Y1986">
        <v>0</v>
      </c>
      <c r="Z1986" t="s">
        <v>46</v>
      </c>
      <c r="AA1986">
        <v>59126</v>
      </c>
      <c r="AB1986" t="s">
        <v>658</v>
      </c>
      <c r="AC1986" t="s">
        <v>48</v>
      </c>
      <c r="AD1986" t="s">
        <v>38</v>
      </c>
      <c r="AE1986" t="s">
        <v>49</v>
      </c>
      <c r="AF1986" t="s">
        <v>50</v>
      </c>
      <c r="AG1986">
        <v>.9999999999999999999999999999999999999996</v>
      </c>
      <c r="AH1986">
        <v>0</v>
      </c>
      <c r="AI1986" t="s">
        <v>51</v>
      </c>
      <c r="AJ1986" t="s">
        <v>51</v>
      </c>
      <c r="AK1986" t="s">
        <v>51</v>
      </c>
    </row>
    <row r="1987" spans="1:37" x14ac:dyDescent="0.2">
      <c r="A1987">
        <v>59108</v>
      </c>
      <c r="B1987" t="s">
        <v>37</v>
      </c>
      <c r="C1987" t="s">
        <v>38</v>
      </c>
      <c r="D1987" t="s">
        <v>651</v>
      </c>
      <c r="E1987" t="s">
        <v>40</v>
      </c>
      <c r="G1987" s="4">
        <v>43946.51474537037</v>
      </c>
      <c r="H1987" s="4">
        <v>43946.514849537037</v>
      </c>
      <c r="I1987" t="s">
        <v>238</v>
      </c>
      <c r="J1987" s="5">
        <v>9.00000000000000000000000000000000000003</v>
      </c>
      <c r="K1987" t="s">
        <v>38</v>
      </c>
      <c r="M1987">
        <v>59121</v>
      </c>
      <c r="N1987" t="s">
        <v>659</v>
      </c>
      <c r="O1987" t="s">
        <v>660</v>
      </c>
      <c r="P1987" t="s">
        <v>38</v>
      </c>
      <c r="Q1987" t="s">
        <v>50</v>
      </c>
      <c r="R1987">
        <v>0</v>
      </c>
      <c r="S1987" t="s">
        <v>45</v>
      </c>
      <c r="T1987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87">
        <v>59122</v>
      </c>
      <c r="V1987" t="s">
        <v>38</v>
      </c>
      <c r="W1987" t="s">
        <v>50</v>
      </c>
      <c r="X1987">
        <v>0</v>
      </c>
      <c r="Y1987">
        <v>0</v>
      </c>
      <c r="Z1987" t="s">
        <v>46</v>
      </c>
      <c r="AA1987">
        <v>59123</v>
      </c>
      <c r="AB1987" t="s">
        <v>661</v>
      </c>
      <c r="AC1987" t="s">
        <v>48</v>
      </c>
      <c r="AD1987" t="s">
        <v>38</v>
      </c>
      <c r="AE1987" t="s">
        <v>49</v>
      </c>
      <c r="AF1987" t="s">
        <v>50</v>
      </c>
      <c r="AG1987">
        <v>0</v>
      </c>
      <c r="AH1987">
        <v>0</v>
      </c>
      <c r="AI1987" t="s">
        <v>51</v>
      </c>
      <c r="AJ1987" t="s">
        <v>51</v>
      </c>
      <c r="AK1987" t="s">
        <v>51</v>
      </c>
    </row>
    <row r="1988" spans="1:37" x14ac:dyDescent="0.2">
      <c r="A1988">
        <v>59108</v>
      </c>
      <c r="B1988" t="s">
        <v>37</v>
      </c>
      <c r="C1988" t="s">
        <v>38</v>
      </c>
      <c r="D1988" t="s">
        <v>651</v>
      </c>
      <c r="E1988" t="s">
        <v>40</v>
      </c>
      <c r="G1988" s="4">
        <v>43946.51474537037</v>
      </c>
      <c r="H1988" s="4">
        <v>43946.514849537037</v>
      </c>
      <c r="I1988" t="s">
        <v>238</v>
      </c>
      <c r="J1988" s="5">
        <v>9.00000000000000000000000000000000000003</v>
      </c>
      <c r="K1988" t="s">
        <v>38</v>
      </c>
      <c r="M1988">
        <v>59118</v>
      </c>
      <c r="N1988" t="s">
        <v>662</v>
      </c>
      <c r="O1988" t="s">
        <v>663</v>
      </c>
      <c r="P1988" t="s">
        <v>38</v>
      </c>
      <c r="Q1988" t="s">
        <v>50</v>
      </c>
      <c r="R1988">
        <v>.9999999999999999999999999999999999999996</v>
      </c>
      <c r="S1988" t="s">
        <v>45</v>
      </c>
      <c r="T1988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88">
        <v>59119</v>
      </c>
      <c r="V1988" t="s">
        <v>38</v>
      </c>
      <c r="W1988" t="s">
        <v>50</v>
      </c>
      <c r="X1988">
        <v>.9999999999999999999999999999999999999996</v>
      </c>
      <c r="Y1988">
        <v>0</v>
      </c>
      <c r="Z1988" t="s">
        <v>46</v>
      </c>
      <c r="AA1988">
        <v>59120</v>
      </c>
      <c r="AB1988" t="s">
        <v>664</v>
      </c>
      <c r="AC1988" t="s">
        <v>48</v>
      </c>
      <c r="AD1988" t="s">
        <v>38</v>
      </c>
      <c r="AE1988" t="s">
        <v>49</v>
      </c>
      <c r="AF1988" t="s">
        <v>50</v>
      </c>
      <c r="AG1988">
        <v>.9999999999999999999999999999999999999996</v>
      </c>
      <c r="AH1988">
        <v>0</v>
      </c>
      <c r="AI1988" t="s">
        <v>51</v>
      </c>
      <c r="AJ1988" t="s">
        <v>51</v>
      </c>
      <c r="AK1988" t="s">
        <v>51</v>
      </c>
    </row>
    <row r="1989" spans="1:37" x14ac:dyDescent="0.2">
      <c r="A1989">
        <v>59108</v>
      </c>
      <c r="B1989" t="s">
        <v>37</v>
      </c>
      <c r="C1989" t="s">
        <v>38</v>
      </c>
      <c r="D1989" t="s">
        <v>651</v>
      </c>
      <c r="E1989" t="s">
        <v>40</v>
      </c>
      <c r="G1989" s="4">
        <v>43946.51474537037</v>
      </c>
      <c r="H1989" s="4">
        <v>43946.514849537037</v>
      </c>
      <c r="I1989" t="s">
        <v>238</v>
      </c>
      <c r="J1989" s="5">
        <v>9.00000000000000000000000000000000000003</v>
      </c>
      <c r="K1989" t="s">
        <v>38</v>
      </c>
      <c r="M1989">
        <v>59115</v>
      </c>
      <c r="N1989" t="s">
        <v>665</v>
      </c>
      <c r="O1989" t="s">
        <v>666</v>
      </c>
      <c r="P1989" t="s">
        <v>38</v>
      </c>
      <c r="Q1989" t="s">
        <v>50</v>
      </c>
      <c r="R1989">
        <v>0</v>
      </c>
      <c r="S1989" t="s">
        <v>45</v>
      </c>
      <c r="T1989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89">
        <v>59116</v>
      </c>
      <c r="V1989" t="s">
        <v>38</v>
      </c>
      <c r="W1989" t="s">
        <v>50</v>
      </c>
      <c r="X1989">
        <v>0</v>
      </c>
      <c r="Y1989">
        <v>0</v>
      </c>
      <c r="Z1989" t="s">
        <v>46</v>
      </c>
      <c r="AA1989">
        <v>59117</v>
      </c>
      <c r="AB1989" t="s">
        <v>667</v>
      </c>
      <c r="AC1989" t="s">
        <v>48</v>
      </c>
      <c r="AD1989" t="s">
        <v>38</v>
      </c>
      <c r="AE1989" t="s">
        <v>49</v>
      </c>
      <c r="AF1989" t="s">
        <v>50</v>
      </c>
      <c r="AG1989">
        <v>0</v>
      </c>
      <c r="AH1989">
        <v>0</v>
      </c>
      <c r="AI1989" t="s">
        <v>51</v>
      </c>
      <c r="AJ1989" t="s">
        <v>51</v>
      </c>
      <c r="AK1989" t="s">
        <v>51</v>
      </c>
    </row>
    <row r="1990" spans="1:37" x14ac:dyDescent="0.2">
      <c r="A1990">
        <v>59108</v>
      </c>
      <c r="B1990" t="s">
        <v>37</v>
      </c>
      <c r="C1990" t="s">
        <v>38</v>
      </c>
      <c r="D1990" t="s">
        <v>651</v>
      </c>
      <c r="E1990" t="s">
        <v>40</v>
      </c>
      <c r="G1990" s="4">
        <v>43946.51474537037</v>
      </c>
      <c r="H1990" s="4">
        <v>43946.514849537037</v>
      </c>
      <c r="I1990" t="s">
        <v>238</v>
      </c>
      <c r="J1990" s="5">
        <v>9.00000000000000000000000000000000000003</v>
      </c>
      <c r="K1990" t="s">
        <v>38</v>
      </c>
      <c r="M1990">
        <v>59112</v>
      </c>
      <c r="N1990" t="s">
        <v>668</v>
      </c>
      <c r="O1990" t="s">
        <v>669</v>
      </c>
      <c r="P1990" t="s">
        <v>38</v>
      </c>
      <c r="Q1990" t="s">
        <v>50</v>
      </c>
      <c r="R1990">
        <v>.9999999999999999999999999999999999999996</v>
      </c>
      <c r="S1990" t="s">
        <v>45</v>
      </c>
      <c r="T1990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90">
        <v>59113</v>
      </c>
      <c r="V1990" t="s">
        <v>38</v>
      </c>
      <c r="W1990" t="s">
        <v>50</v>
      </c>
      <c r="X1990">
        <v>0</v>
      </c>
      <c r="Y1990">
        <v>0</v>
      </c>
      <c r="Z1990" t="s">
        <v>46</v>
      </c>
      <c r="AA1990">
        <v>59114</v>
      </c>
      <c r="AB1990" t="s">
        <v>670</v>
      </c>
      <c r="AC1990" t="s">
        <v>48</v>
      </c>
      <c r="AD1990" t="s">
        <v>38</v>
      </c>
      <c r="AE1990" t="s">
        <v>49</v>
      </c>
      <c r="AF1990" t="s">
        <v>50</v>
      </c>
      <c r="AG1990">
        <v>0</v>
      </c>
      <c r="AH1990">
        <v>0</v>
      </c>
      <c r="AI1990" t="s">
        <v>51</v>
      </c>
      <c r="AJ1990" t="s">
        <v>51</v>
      </c>
      <c r="AK1990" t="s">
        <v>51</v>
      </c>
    </row>
    <row r="1991" spans="1:37" x14ac:dyDescent="0.2">
      <c r="A1991">
        <v>59108</v>
      </c>
      <c r="B1991" t="s">
        <v>37</v>
      </c>
      <c r="C1991" t="s">
        <v>38</v>
      </c>
      <c r="D1991" t="s">
        <v>651</v>
      </c>
      <c r="E1991" t="s">
        <v>40</v>
      </c>
      <c r="G1991" s="4">
        <v>43946.51474537037</v>
      </c>
      <c r="H1991" s="4">
        <v>43946.514849537037</v>
      </c>
      <c r="I1991" t="s">
        <v>238</v>
      </c>
      <c r="J1991" s="5">
        <v>9.00000000000000000000000000000000000003</v>
      </c>
      <c r="K1991" t="s">
        <v>38</v>
      </c>
      <c r="M1991">
        <v>59109</v>
      </c>
      <c r="N1991" t="s">
        <v>671</v>
      </c>
      <c r="O1991" t="s">
        <v>672</v>
      </c>
      <c r="P1991" t="s">
        <v>38</v>
      </c>
      <c r="Q1991" t="s">
        <v>88</v>
      </c>
      <c r="R1991">
        <v>2</v>
      </c>
      <c r="S1991" t="s">
        <v>45</v>
      </c>
      <c r="T1991" t="str" s="2">
        <f>=HYPERLINK("http://demo.enginatics.com:80/ecc/user/applications/log/59108.log","http://demo.enginatics.com:80/ecc/user/applications/log/59108.log")</f>
        <v>"http://demo.enginatics.com:80/ecc/user/applications/log/59108.log")</v>
      </c>
      <c r="U1991">
        <v>59110</v>
      </c>
      <c r="V1991" t="s">
        <v>38</v>
      </c>
      <c r="W1991" t="s">
        <v>88</v>
      </c>
      <c r="X1991">
        <v>2</v>
      </c>
      <c r="Y1991">
        <v>0</v>
      </c>
      <c r="Z1991" t="s">
        <v>46</v>
      </c>
      <c r="AA1991">
        <v>59111</v>
      </c>
      <c r="AB1991" t="s">
        <v>673</v>
      </c>
      <c r="AC1991" t="s">
        <v>48</v>
      </c>
      <c r="AD1991" t="s">
        <v>38</v>
      </c>
      <c r="AE1991" t="s">
        <v>49</v>
      </c>
      <c r="AF1991" t="s">
        <v>50</v>
      </c>
      <c r="AG1991">
        <v>.9999999999999999999999999999999999999996</v>
      </c>
      <c r="AH1991">
        <v>0</v>
      </c>
      <c r="AI1991" t="s">
        <v>51</v>
      </c>
      <c r="AJ1991" t="s">
        <v>51</v>
      </c>
      <c r="AK1991" t="s">
        <v>51</v>
      </c>
    </row>
    <row r="1992" spans="1:37" x14ac:dyDescent="0.2">
      <c r="A1992">
        <v>58935</v>
      </c>
      <c r="B1992" t="s">
        <v>37</v>
      </c>
      <c r="C1992" t="s">
        <v>38</v>
      </c>
      <c r="D1992" t="s">
        <v>674</v>
      </c>
      <c r="E1992" t="s">
        <v>40</v>
      </c>
      <c r="G1992" s="4">
        <v>43946.507337962963</v>
      </c>
      <c r="H1992" s="4">
        <v>43946.507951388889</v>
      </c>
      <c r="I1992" t="s">
        <v>1691</v>
      </c>
      <c r="J1992" s="5">
        <v>53.00000000000000000000000000000000000001</v>
      </c>
      <c r="K1992" t="s">
        <v>38</v>
      </c>
      <c r="M1992">
        <v>59105</v>
      </c>
      <c r="N1992" t="s">
        <v>676</v>
      </c>
      <c r="O1992" t="s">
        <v>677</v>
      </c>
      <c r="P1992" t="s">
        <v>38</v>
      </c>
      <c r="Q1992" t="s">
        <v>78</v>
      </c>
      <c r="R1992">
        <v>5</v>
      </c>
      <c r="S1992" t="s">
        <v>45</v>
      </c>
      <c r="T199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2">
        <v>59106</v>
      </c>
      <c r="V1992" t="s">
        <v>38</v>
      </c>
      <c r="W1992" t="s">
        <v>78</v>
      </c>
      <c r="X1992">
        <v>5</v>
      </c>
      <c r="Y1992">
        <v>0</v>
      </c>
      <c r="Z1992" t="s">
        <v>46</v>
      </c>
      <c r="AA1992">
        <v>59107</v>
      </c>
      <c r="AB1992" t="s">
        <v>678</v>
      </c>
      <c r="AC1992" t="s">
        <v>48</v>
      </c>
      <c r="AD1992" t="s">
        <v>38</v>
      </c>
      <c r="AE1992" t="s">
        <v>1206</v>
      </c>
      <c r="AF1992" t="s">
        <v>78</v>
      </c>
      <c r="AG1992">
        <v>5</v>
      </c>
      <c r="AH1992">
        <v>0</v>
      </c>
      <c r="AI1992" t="s">
        <v>1207</v>
      </c>
      <c r="AJ1992" t="s">
        <v>51</v>
      </c>
      <c r="AK1992" t="s">
        <v>1207</v>
      </c>
    </row>
    <row r="1993" spans="1:37" x14ac:dyDescent="0.2">
      <c r="A1993">
        <v>58935</v>
      </c>
      <c r="B1993" t="s">
        <v>37</v>
      </c>
      <c r="C1993" t="s">
        <v>38</v>
      </c>
      <c r="D1993" t="s">
        <v>674</v>
      </c>
      <c r="E1993" t="s">
        <v>40</v>
      </c>
      <c r="G1993" s="4">
        <v>43946.507337962963</v>
      </c>
      <c r="H1993" s="4">
        <v>43946.507951388889</v>
      </c>
      <c r="I1993" t="s">
        <v>1691</v>
      </c>
      <c r="J1993" s="5">
        <v>53.00000000000000000000000000000000000001</v>
      </c>
      <c r="K1993" t="s">
        <v>38</v>
      </c>
      <c r="M1993">
        <v>59102</v>
      </c>
      <c r="N1993" t="s">
        <v>681</v>
      </c>
      <c r="O1993" t="s">
        <v>682</v>
      </c>
      <c r="P1993" t="s">
        <v>38</v>
      </c>
      <c r="Q1993" t="s">
        <v>247</v>
      </c>
      <c r="R1993">
        <v>7</v>
      </c>
      <c r="S1993" t="s">
        <v>45</v>
      </c>
      <c r="T199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3">
        <v>59103</v>
      </c>
      <c r="V1993" t="s">
        <v>38</v>
      </c>
      <c r="W1993" t="s">
        <v>247</v>
      </c>
      <c r="X1993">
        <v>7</v>
      </c>
      <c r="Y1993">
        <v>0</v>
      </c>
      <c r="Z1993" t="s">
        <v>46</v>
      </c>
      <c r="AA1993">
        <v>59104</v>
      </c>
      <c r="AB1993" t="s">
        <v>683</v>
      </c>
      <c r="AC1993" t="s">
        <v>48</v>
      </c>
      <c r="AD1993" t="s">
        <v>38</v>
      </c>
      <c r="AE1993" t="s">
        <v>1208</v>
      </c>
      <c r="AF1993" t="s">
        <v>247</v>
      </c>
      <c r="AG1993">
        <v>7</v>
      </c>
      <c r="AH1993">
        <v>0</v>
      </c>
      <c r="AI1993" t="s">
        <v>1209</v>
      </c>
      <c r="AJ1993" t="s">
        <v>51</v>
      </c>
      <c r="AK1993" t="s">
        <v>1209</v>
      </c>
    </row>
    <row r="1994" spans="1:37" x14ac:dyDescent="0.2">
      <c r="A1994">
        <v>58935</v>
      </c>
      <c r="B1994" t="s">
        <v>37</v>
      </c>
      <c r="C1994" t="s">
        <v>38</v>
      </c>
      <c r="D1994" t="s">
        <v>674</v>
      </c>
      <c r="E1994" t="s">
        <v>40</v>
      </c>
      <c r="G1994" s="4">
        <v>43946.507337962963</v>
      </c>
      <c r="H1994" s="4">
        <v>43946.507951388889</v>
      </c>
      <c r="I1994" t="s">
        <v>1691</v>
      </c>
      <c r="J1994" s="5">
        <v>53.00000000000000000000000000000000000001</v>
      </c>
      <c r="K1994" t="s">
        <v>38</v>
      </c>
      <c r="M1994">
        <v>59099</v>
      </c>
      <c r="N1994" t="s">
        <v>686</v>
      </c>
      <c r="O1994" t="s">
        <v>687</v>
      </c>
      <c r="P1994" t="s">
        <v>38</v>
      </c>
      <c r="Q1994" t="s">
        <v>78</v>
      </c>
      <c r="R1994">
        <v>5</v>
      </c>
      <c r="S1994" t="s">
        <v>45</v>
      </c>
      <c r="T199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4">
        <v>59100</v>
      </c>
      <c r="V1994" t="s">
        <v>38</v>
      </c>
      <c r="W1994" t="s">
        <v>78</v>
      </c>
      <c r="X1994">
        <v>5</v>
      </c>
      <c r="Y1994">
        <v>0</v>
      </c>
      <c r="Z1994" t="s">
        <v>46</v>
      </c>
      <c r="AA1994">
        <v>59101</v>
      </c>
      <c r="AB1994" t="s">
        <v>688</v>
      </c>
      <c r="AC1994" t="s">
        <v>48</v>
      </c>
      <c r="AD1994" t="s">
        <v>38</v>
      </c>
      <c r="AE1994" t="s">
        <v>689</v>
      </c>
      <c r="AF1994" t="s">
        <v>78</v>
      </c>
      <c r="AG1994">
        <v>5</v>
      </c>
      <c r="AH1994">
        <v>0</v>
      </c>
      <c r="AI1994" t="s">
        <v>690</v>
      </c>
      <c r="AJ1994" t="s">
        <v>51</v>
      </c>
      <c r="AK1994" t="s">
        <v>690</v>
      </c>
    </row>
    <row r="1995" spans="1:37" x14ac:dyDescent="0.2">
      <c r="A1995">
        <v>58935</v>
      </c>
      <c r="B1995" t="s">
        <v>37</v>
      </c>
      <c r="C1995" t="s">
        <v>38</v>
      </c>
      <c r="D1995" t="s">
        <v>674</v>
      </c>
      <c r="E1995" t="s">
        <v>40</v>
      </c>
      <c r="G1995" s="4">
        <v>43946.507337962963</v>
      </c>
      <c r="H1995" s="4">
        <v>43946.507951388889</v>
      </c>
      <c r="I1995" t="s">
        <v>1691</v>
      </c>
      <c r="J1995" s="5">
        <v>53.00000000000000000000000000000000000001</v>
      </c>
      <c r="K1995" t="s">
        <v>38</v>
      </c>
      <c r="M1995">
        <v>59095</v>
      </c>
      <c r="N1995" t="s">
        <v>691</v>
      </c>
      <c r="O1995" t="s">
        <v>692</v>
      </c>
      <c r="P1995" t="s">
        <v>38</v>
      </c>
      <c r="Q1995" t="s">
        <v>315</v>
      </c>
      <c r="R1995">
        <v>14.99999999999999999999999999999999999999</v>
      </c>
      <c r="S1995" t="s">
        <v>45</v>
      </c>
      <c r="T199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5">
        <v>59096</v>
      </c>
      <c r="V1995" t="s">
        <v>38</v>
      </c>
      <c r="W1995" t="s">
        <v>315</v>
      </c>
      <c r="X1995">
        <v>14.99999999999999999999999999999999999999</v>
      </c>
      <c r="Y1995">
        <v>0</v>
      </c>
      <c r="Z1995" t="s">
        <v>46</v>
      </c>
      <c r="AA1995">
        <v>59098</v>
      </c>
      <c r="AB1995" t="s">
        <v>694</v>
      </c>
      <c r="AC1995" t="s">
        <v>103</v>
      </c>
      <c r="AD1995" t="s">
        <v>38</v>
      </c>
      <c r="AE1995" t="s">
        <v>992</v>
      </c>
      <c r="AF1995" t="s">
        <v>78</v>
      </c>
      <c r="AG1995">
        <v>5</v>
      </c>
      <c r="AH1995">
        <v>4</v>
      </c>
      <c r="AI1995" t="s">
        <v>993</v>
      </c>
      <c r="AJ1995" t="s">
        <v>51</v>
      </c>
      <c r="AK1995" t="s">
        <v>993</v>
      </c>
    </row>
    <row r="1996" spans="1:37" x14ac:dyDescent="0.2">
      <c r="A1996">
        <v>58935</v>
      </c>
      <c r="B1996" t="s">
        <v>37</v>
      </c>
      <c r="C1996" t="s">
        <v>38</v>
      </c>
      <c r="D1996" t="s">
        <v>674</v>
      </c>
      <c r="E1996" t="s">
        <v>40</v>
      </c>
      <c r="G1996" s="4">
        <v>43946.507337962963</v>
      </c>
      <c r="H1996" s="4">
        <v>43946.507951388889</v>
      </c>
      <c r="I1996" t="s">
        <v>1691</v>
      </c>
      <c r="J1996" s="5">
        <v>53.00000000000000000000000000000000000001</v>
      </c>
      <c r="K1996" t="s">
        <v>38</v>
      </c>
      <c r="M1996">
        <v>59095</v>
      </c>
      <c r="N1996" t="s">
        <v>691</v>
      </c>
      <c r="O1996" t="s">
        <v>692</v>
      </c>
      <c r="P1996" t="s">
        <v>38</v>
      </c>
      <c r="Q1996" t="s">
        <v>315</v>
      </c>
      <c r="R1996">
        <v>14.99999999999999999999999999999999999999</v>
      </c>
      <c r="S1996" t="s">
        <v>45</v>
      </c>
      <c r="T199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6">
        <v>59096</v>
      </c>
      <c r="V1996" t="s">
        <v>38</v>
      </c>
      <c r="W1996" t="s">
        <v>315</v>
      </c>
      <c r="X1996">
        <v>14.99999999999999999999999999999999999999</v>
      </c>
      <c r="Y1996">
        <v>0</v>
      </c>
      <c r="Z1996" t="s">
        <v>46</v>
      </c>
      <c r="AA1996">
        <v>59097</v>
      </c>
      <c r="AB1996" t="s">
        <v>697</v>
      </c>
      <c r="AC1996" t="s">
        <v>48</v>
      </c>
      <c r="AD1996" t="s">
        <v>38</v>
      </c>
      <c r="AE1996" t="s">
        <v>992</v>
      </c>
      <c r="AF1996" t="s">
        <v>300</v>
      </c>
      <c r="AG1996">
        <v>10.00000000000000000000000000000000000002</v>
      </c>
      <c r="AH1996">
        <v>7</v>
      </c>
      <c r="AI1996" t="s">
        <v>993</v>
      </c>
      <c r="AJ1996" t="s">
        <v>51</v>
      </c>
      <c r="AK1996" t="s">
        <v>993</v>
      </c>
    </row>
    <row r="1997" spans="1:37" x14ac:dyDescent="0.2">
      <c r="A1997">
        <v>58935</v>
      </c>
      <c r="B1997" t="s">
        <v>37</v>
      </c>
      <c r="C1997" t="s">
        <v>38</v>
      </c>
      <c r="D1997" t="s">
        <v>674</v>
      </c>
      <c r="E1997" t="s">
        <v>40</v>
      </c>
      <c r="G1997" s="4">
        <v>43946.507337962963</v>
      </c>
      <c r="H1997" s="4">
        <v>43946.507951388889</v>
      </c>
      <c r="I1997" t="s">
        <v>1691</v>
      </c>
      <c r="J1997" s="5">
        <v>53.00000000000000000000000000000000000001</v>
      </c>
      <c r="K1997" t="s">
        <v>38</v>
      </c>
      <c r="M1997">
        <v>59091</v>
      </c>
      <c r="N1997" t="s">
        <v>698</v>
      </c>
      <c r="O1997" t="s">
        <v>699</v>
      </c>
      <c r="P1997" t="s">
        <v>38</v>
      </c>
      <c r="Q1997" t="s">
        <v>238</v>
      </c>
      <c r="R1997">
        <v>9.00000000000000000000000000000000000003</v>
      </c>
      <c r="S1997" t="s">
        <v>45</v>
      </c>
      <c r="T199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7">
        <v>59092</v>
      </c>
      <c r="V1997" t="s">
        <v>38</v>
      </c>
      <c r="W1997" t="s">
        <v>238</v>
      </c>
      <c r="X1997">
        <v>9.00000000000000000000000000000000000003</v>
      </c>
      <c r="Y1997">
        <v>0</v>
      </c>
      <c r="Z1997" t="s">
        <v>46</v>
      </c>
      <c r="AA1997">
        <v>59094</v>
      </c>
      <c r="AB1997" t="s">
        <v>700</v>
      </c>
      <c r="AC1997" t="s">
        <v>103</v>
      </c>
      <c r="AD1997" t="s">
        <v>38</v>
      </c>
      <c r="AE1997" t="s">
        <v>909</v>
      </c>
      <c r="AF1997" t="s">
        <v>78</v>
      </c>
      <c r="AG1997">
        <v>5</v>
      </c>
      <c r="AH1997">
        <v>0</v>
      </c>
      <c r="AI1997" t="s">
        <v>1210</v>
      </c>
      <c r="AJ1997" t="s">
        <v>51</v>
      </c>
      <c r="AK1997" t="s">
        <v>910</v>
      </c>
    </row>
    <row r="1998" spans="1:37" x14ac:dyDescent="0.2">
      <c r="A1998">
        <v>58935</v>
      </c>
      <c r="B1998" t="s">
        <v>37</v>
      </c>
      <c r="C1998" t="s">
        <v>38</v>
      </c>
      <c r="D1998" t="s">
        <v>674</v>
      </c>
      <c r="E1998" t="s">
        <v>40</v>
      </c>
      <c r="G1998" s="4">
        <v>43946.507337962963</v>
      </c>
      <c r="H1998" s="4">
        <v>43946.507951388889</v>
      </c>
      <c r="I1998" t="s">
        <v>1691</v>
      </c>
      <c r="J1998" s="5">
        <v>53.00000000000000000000000000000000000001</v>
      </c>
      <c r="K1998" t="s">
        <v>38</v>
      </c>
      <c r="M1998">
        <v>59091</v>
      </c>
      <c r="N1998" t="s">
        <v>698</v>
      </c>
      <c r="O1998" t="s">
        <v>699</v>
      </c>
      <c r="P1998" t="s">
        <v>38</v>
      </c>
      <c r="Q1998" t="s">
        <v>238</v>
      </c>
      <c r="R1998">
        <v>9.00000000000000000000000000000000000003</v>
      </c>
      <c r="S1998" t="s">
        <v>45</v>
      </c>
      <c r="T199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8">
        <v>59092</v>
      </c>
      <c r="V1998" t="s">
        <v>38</v>
      </c>
      <c r="W1998" t="s">
        <v>238</v>
      </c>
      <c r="X1998">
        <v>9.00000000000000000000000000000000000003</v>
      </c>
      <c r="Y1998">
        <v>0</v>
      </c>
      <c r="Z1998" t="s">
        <v>46</v>
      </c>
      <c r="AA1998">
        <v>59093</v>
      </c>
      <c r="AB1998" t="s">
        <v>704</v>
      </c>
      <c r="AC1998" t="s">
        <v>48</v>
      </c>
      <c r="AD1998" t="s">
        <v>38</v>
      </c>
      <c r="AE1998" t="s">
        <v>909</v>
      </c>
      <c r="AF1998" t="s">
        <v>44</v>
      </c>
      <c r="AG1998">
        <v>4</v>
      </c>
      <c r="AH1998">
        <v>0</v>
      </c>
      <c r="AI1998" t="s">
        <v>910</v>
      </c>
      <c r="AJ1998" t="s">
        <v>51</v>
      </c>
      <c r="AK1998" t="s">
        <v>910</v>
      </c>
    </row>
    <row r="1999" spans="1:37" x14ac:dyDescent="0.2">
      <c r="A1999">
        <v>58935</v>
      </c>
      <c r="B1999" t="s">
        <v>37</v>
      </c>
      <c r="C1999" t="s">
        <v>38</v>
      </c>
      <c r="D1999" t="s">
        <v>674</v>
      </c>
      <c r="E1999" t="s">
        <v>40</v>
      </c>
      <c r="G1999" s="4">
        <v>43946.507337962963</v>
      </c>
      <c r="H1999" s="4">
        <v>43946.507951388889</v>
      </c>
      <c r="I1999" t="s">
        <v>1691</v>
      </c>
      <c r="J1999" s="5">
        <v>53.00000000000000000000000000000000000001</v>
      </c>
      <c r="K1999" t="s">
        <v>38</v>
      </c>
      <c r="M1999">
        <v>58936</v>
      </c>
      <c r="N1999" t="s">
        <v>705</v>
      </c>
      <c r="O1999" t="s">
        <v>706</v>
      </c>
      <c r="P1999" t="s">
        <v>38</v>
      </c>
      <c r="Q1999" t="s">
        <v>236</v>
      </c>
      <c r="R1999">
        <v>12.00000000000000000000000000000000000001</v>
      </c>
      <c r="S1999" t="s">
        <v>45</v>
      </c>
      <c r="T199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1999">
        <v>58937</v>
      </c>
      <c r="V1999" t="s">
        <v>38</v>
      </c>
      <c r="W1999" t="s">
        <v>337</v>
      </c>
      <c r="X1999">
        <v>11.00000000000000000000000000000000000002</v>
      </c>
      <c r="Y1999">
        <v>0</v>
      </c>
      <c r="Z1999" t="s">
        <v>46</v>
      </c>
      <c r="AA1999">
        <v>59090</v>
      </c>
      <c r="AB1999" t="s">
        <v>1692</v>
      </c>
      <c r="AC1999" t="s">
        <v>103</v>
      </c>
      <c r="AD1999" t="s">
        <v>38</v>
      </c>
      <c r="AE1999" t="s">
        <v>49</v>
      </c>
      <c r="AF1999" t="s">
        <v>50</v>
      </c>
      <c r="AG1999">
        <v>0</v>
      </c>
      <c r="AH1999">
        <v>0</v>
      </c>
      <c r="AI1999" t="s">
        <v>51</v>
      </c>
      <c r="AJ1999" t="s">
        <v>51</v>
      </c>
      <c r="AK1999" t="s">
        <v>51</v>
      </c>
    </row>
    <row r="2000" spans="1:37" x14ac:dyDescent="0.2">
      <c r="A2000">
        <v>58935</v>
      </c>
      <c r="B2000" t="s">
        <v>37</v>
      </c>
      <c r="C2000" t="s">
        <v>38</v>
      </c>
      <c r="D2000" t="s">
        <v>674</v>
      </c>
      <c r="E2000" t="s">
        <v>40</v>
      </c>
      <c r="G2000" s="4">
        <v>43946.507337962963</v>
      </c>
      <c r="H2000" s="4">
        <v>43946.507951388889</v>
      </c>
      <c r="I2000" t="s">
        <v>1691</v>
      </c>
      <c r="J2000" s="5">
        <v>53.00000000000000000000000000000000000001</v>
      </c>
      <c r="K2000" t="s">
        <v>38</v>
      </c>
      <c r="M2000">
        <v>58936</v>
      </c>
      <c r="N2000" t="s">
        <v>705</v>
      </c>
      <c r="O2000" t="s">
        <v>706</v>
      </c>
      <c r="P2000" t="s">
        <v>38</v>
      </c>
      <c r="Q2000" t="s">
        <v>236</v>
      </c>
      <c r="R2000">
        <v>12.00000000000000000000000000000000000001</v>
      </c>
      <c r="S2000" t="s">
        <v>45</v>
      </c>
      <c r="T200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0">
        <v>58937</v>
      </c>
      <c r="V2000" t="s">
        <v>38</v>
      </c>
      <c r="W2000" t="s">
        <v>337</v>
      </c>
      <c r="X2000">
        <v>11.00000000000000000000000000000000000002</v>
      </c>
      <c r="Y2000">
        <v>0</v>
      </c>
      <c r="Z2000" t="s">
        <v>46</v>
      </c>
      <c r="AA2000">
        <v>59089</v>
      </c>
      <c r="AB2000" t="s">
        <v>1693</v>
      </c>
      <c r="AC2000" t="s">
        <v>103</v>
      </c>
      <c r="AD2000" t="s">
        <v>38</v>
      </c>
      <c r="AE2000" t="s">
        <v>49</v>
      </c>
      <c r="AF2000" t="s">
        <v>50</v>
      </c>
      <c r="AG2000">
        <v>0</v>
      </c>
      <c r="AH2000">
        <v>0</v>
      </c>
      <c r="AI2000" t="s">
        <v>51</v>
      </c>
      <c r="AJ2000" t="s">
        <v>51</v>
      </c>
      <c r="AK2000" t="s">
        <v>51</v>
      </c>
    </row>
    <row r="2001" spans="1:37" x14ac:dyDescent="0.2">
      <c r="A2001">
        <v>58935</v>
      </c>
      <c r="B2001" t="s">
        <v>37</v>
      </c>
      <c r="C2001" t="s">
        <v>38</v>
      </c>
      <c r="D2001" t="s">
        <v>674</v>
      </c>
      <c r="E2001" t="s">
        <v>40</v>
      </c>
      <c r="G2001" s="4">
        <v>43946.507337962963</v>
      </c>
      <c r="H2001" s="4">
        <v>43946.507951388889</v>
      </c>
      <c r="I2001" t="s">
        <v>1691</v>
      </c>
      <c r="J2001" s="5">
        <v>53.00000000000000000000000000000000000001</v>
      </c>
      <c r="K2001" t="s">
        <v>38</v>
      </c>
      <c r="M2001">
        <v>58936</v>
      </c>
      <c r="N2001" t="s">
        <v>705</v>
      </c>
      <c r="O2001" t="s">
        <v>706</v>
      </c>
      <c r="P2001" t="s">
        <v>38</v>
      </c>
      <c r="Q2001" t="s">
        <v>236</v>
      </c>
      <c r="R2001">
        <v>12.00000000000000000000000000000000000001</v>
      </c>
      <c r="S2001" t="s">
        <v>45</v>
      </c>
      <c r="T200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1">
        <v>58937</v>
      </c>
      <c r="V2001" t="s">
        <v>38</v>
      </c>
      <c r="W2001" t="s">
        <v>337</v>
      </c>
      <c r="X2001">
        <v>11.00000000000000000000000000000000000002</v>
      </c>
      <c r="Y2001">
        <v>0</v>
      </c>
      <c r="Z2001" t="s">
        <v>46</v>
      </c>
      <c r="AA2001">
        <v>59088</v>
      </c>
      <c r="AB2001" t="s">
        <v>1694</v>
      </c>
      <c r="AC2001" t="s">
        <v>103</v>
      </c>
      <c r="AD2001" t="s">
        <v>38</v>
      </c>
      <c r="AE2001" t="s">
        <v>49</v>
      </c>
      <c r="AF2001" t="s">
        <v>50</v>
      </c>
      <c r="AG2001">
        <v>0</v>
      </c>
      <c r="AH2001">
        <v>0</v>
      </c>
      <c r="AI2001" t="s">
        <v>51</v>
      </c>
      <c r="AJ2001" t="s">
        <v>51</v>
      </c>
      <c r="AK2001" t="s">
        <v>51</v>
      </c>
    </row>
    <row r="2002" spans="1:37" x14ac:dyDescent="0.2">
      <c r="A2002">
        <v>58935</v>
      </c>
      <c r="B2002" t="s">
        <v>37</v>
      </c>
      <c r="C2002" t="s">
        <v>38</v>
      </c>
      <c r="D2002" t="s">
        <v>674</v>
      </c>
      <c r="E2002" t="s">
        <v>40</v>
      </c>
      <c r="G2002" s="4">
        <v>43946.507337962963</v>
      </c>
      <c r="H2002" s="4">
        <v>43946.507951388889</v>
      </c>
      <c r="I2002" t="s">
        <v>1691</v>
      </c>
      <c r="J2002" s="5">
        <v>53.00000000000000000000000000000000000001</v>
      </c>
      <c r="K2002" t="s">
        <v>38</v>
      </c>
      <c r="M2002">
        <v>58936</v>
      </c>
      <c r="N2002" t="s">
        <v>705</v>
      </c>
      <c r="O2002" t="s">
        <v>706</v>
      </c>
      <c r="P2002" t="s">
        <v>38</v>
      </c>
      <c r="Q2002" t="s">
        <v>236</v>
      </c>
      <c r="R2002">
        <v>12.00000000000000000000000000000000000001</v>
      </c>
      <c r="S2002" t="s">
        <v>45</v>
      </c>
      <c r="T200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2">
        <v>58937</v>
      </c>
      <c r="V2002" t="s">
        <v>38</v>
      </c>
      <c r="W2002" t="s">
        <v>337</v>
      </c>
      <c r="X2002">
        <v>11.00000000000000000000000000000000000002</v>
      </c>
      <c r="Y2002">
        <v>0</v>
      </c>
      <c r="Z2002" t="s">
        <v>46</v>
      </c>
      <c r="AA2002">
        <v>59087</v>
      </c>
      <c r="AB2002" t="s">
        <v>1695</v>
      </c>
      <c r="AC2002" t="s">
        <v>103</v>
      </c>
      <c r="AD2002" t="s">
        <v>38</v>
      </c>
      <c r="AE2002" t="s">
        <v>49</v>
      </c>
      <c r="AF2002" t="s">
        <v>50</v>
      </c>
      <c r="AG2002">
        <v>0</v>
      </c>
      <c r="AH2002">
        <v>0</v>
      </c>
      <c r="AI2002" t="s">
        <v>51</v>
      </c>
      <c r="AJ2002" t="s">
        <v>51</v>
      </c>
      <c r="AK2002" t="s">
        <v>51</v>
      </c>
    </row>
    <row r="2003" spans="1:37" x14ac:dyDescent="0.2">
      <c r="A2003">
        <v>58935</v>
      </c>
      <c r="B2003" t="s">
        <v>37</v>
      </c>
      <c r="C2003" t="s">
        <v>38</v>
      </c>
      <c r="D2003" t="s">
        <v>674</v>
      </c>
      <c r="E2003" t="s">
        <v>40</v>
      </c>
      <c r="G2003" s="4">
        <v>43946.507337962963</v>
      </c>
      <c r="H2003" s="4">
        <v>43946.507951388889</v>
      </c>
      <c r="I2003" t="s">
        <v>1691</v>
      </c>
      <c r="J2003" s="5">
        <v>53.00000000000000000000000000000000000001</v>
      </c>
      <c r="K2003" t="s">
        <v>38</v>
      </c>
      <c r="M2003">
        <v>58936</v>
      </c>
      <c r="N2003" t="s">
        <v>705</v>
      </c>
      <c r="O2003" t="s">
        <v>706</v>
      </c>
      <c r="P2003" t="s">
        <v>38</v>
      </c>
      <c r="Q2003" t="s">
        <v>236</v>
      </c>
      <c r="R2003">
        <v>12.00000000000000000000000000000000000001</v>
      </c>
      <c r="S2003" t="s">
        <v>45</v>
      </c>
      <c r="T200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3">
        <v>58937</v>
      </c>
      <c r="V2003" t="s">
        <v>38</v>
      </c>
      <c r="W2003" t="s">
        <v>337</v>
      </c>
      <c r="X2003">
        <v>11.00000000000000000000000000000000000002</v>
      </c>
      <c r="Y2003">
        <v>0</v>
      </c>
      <c r="Z2003" t="s">
        <v>46</v>
      </c>
      <c r="AA2003">
        <v>59086</v>
      </c>
      <c r="AB2003" t="s">
        <v>1696</v>
      </c>
      <c r="AC2003" t="s">
        <v>103</v>
      </c>
      <c r="AD2003" t="s">
        <v>38</v>
      </c>
      <c r="AE2003" t="s">
        <v>49</v>
      </c>
      <c r="AF2003" t="s">
        <v>50</v>
      </c>
      <c r="AG2003">
        <v>0</v>
      </c>
      <c r="AH2003">
        <v>0</v>
      </c>
      <c r="AI2003" t="s">
        <v>51</v>
      </c>
      <c r="AJ2003" t="s">
        <v>51</v>
      </c>
      <c r="AK2003" t="s">
        <v>51</v>
      </c>
    </row>
    <row r="2004" spans="1:37" x14ac:dyDescent="0.2">
      <c r="A2004">
        <v>58935</v>
      </c>
      <c r="B2004" t="s">
        <v>37</v>
      </c>
      <c r="C2004" t="s">
        <v>38</v>
      </c>
      <c r="D2004" t="s">
        <v>674</v>
      </c>
      <c r="E2004" t="s">
        <v>40</v>
      </c>
      <c r="G2004" s="4">
        <v>43946.507337962963</v>
      </c>
      <c r="H2004" s="4">
        <v>43946.507951388889</v>
      </c>
      <c r="I2004" t="s">
        <v>1691</v>
      </c>
      <c r="J2004" s="5">
        <v>53.00000000000000000000000000000000000001</v>
      </c>
      <c r="K2004" t="s">
        <v>38</v>
      </c>
      <c r="M2004">
        <v>58936</v>
      </c>
      <c r="N2004" t="s">
        <v>705</v>
      </c>
      <c r="O2004" t="s">
        <v>706</v>
      </c>
      <c r="P2004" t="s">
        <v>38</v>
      </c>
      <c r="Q2004" t="s">
        <v>236</v>
      </c>
      <c r="R2004">
        <v>12.00000000000000000000000000000000000001</v>
      </c>
      <c r="S2004" t="s">
        <v>45</v>
      </c>
      <c r="T200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4">
        <v>58937</v>
      </c>
      <c r="V2004" t="s">
        <v>38</v>
      </c>
      <c r="W2004" t="s">
        <v>337</v>
      </c>
      <c r="X2004">
        <v>11.00000000000000000000000000000000000002</v>
      </c>
      <c r="Y2004">
        <v>0</v>
      </c>
      <c r="Z2004" t="s">
        <v>46</v>
      </c>
      <c r="AA2004">
        <v>59085</v>
      </c>
      <c r="AB2004" t="s">
        <v>1697</v>
      </c>
      <c r="AC2004" t="s">
        <v>103</v>
      </c>
      <c r="AD2004" t="s">
        <v>38</v>
      </c>
      <c r="AE2004" t="s">
        <v>49</v>
      </c>
      <c r="AF2004" t="s">
        <v>50</v>
      </c>
      <c r="AG2004">
        <v>0</v>
      </c>
      <c r="AH2004">
        <v>0</v>
      </c>
      <c r="AI2004" t="s">
        <v>51</v>
      </c>
      <c r="AJ2004" t="s">
        <v>51</v>
      </c>
      <c r="AK2004" t="s">
        <v>51</v>
      </c>
    </row>
    <row r="2005" spans="1:37" x14ac:dyDescent="0.2">
      <c r="A2005">
        <v>58935</v>
      </c>
      <c r="B2005" t="s">
        <v>37</v>
      </c>
      <c r="C2005" t="s">
        <v>38</v>
      </c>
      <c r="D2005" t="s">
        <v>674</v>
      </c>
      <c r="E2005" t="s">
        <v>40</v>
      </c>
      <c r="G2005" s="4">
        <v>43946.507337962963</v>
      </c>
      <c r="H2005" s="4">
        <v>43946.507951388889</v>
      </c>
      <c r="I2005" t="s">
        <v>1691</v>
      </c>
      <c r="J2005" s="5">
        <v>53.00000000000000000000000000000000000001</v>
      </c>
      <c r="K2005" t="s">
        <v>38</v>
      </c>
      <c r="M2005">
        <v>58936</v>
      </c>
      <c r="N2005" t="s">
        <v>705</v>
      </c>
      <c r="O2005" t="s">
        <v>706</v>
      </c>
      <c r="P2005" t="s">
        <v>38</v>
      </c>
      <c r="Q2005" t="s">
        <v>236</v>
      </c>
      <c r="R2005">
        <v>12.00000000000000000000000000000000000001</v>
      </c>
      <c r="S2005" t="s">
        <v>45</v>
      </c>
      <c r="T200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5">
        <v>58937</v>
      </c>
      <c r="V2005" t="s">
        <v>38</v>
      </c>
      <c r="W2005" t="s">
        <v>337</v>
      </c>
      <c r="X2005">
        <v>11.00000000000000000000000000000000000002</v>
      </c>
      <c r="Y2005">
        <v>0</v>
      </c>
      <c r="Z2005" t="s">
        <v>46</v>
      </c>
      <c r="AA2005">
        <v>59084</v>
      </c>
      <c r="AB2005" t="s">
        <v>1698</v>
      </c>
      <c r="AC2005" t="s">
        <v>103</v>
      </c>
      <c r="AD2005" t="s">
        <v>38</v>
      </c>
      <c r="AE2005" t="s">
        <v>49</v>
      </c>
      <c r="AF2005" t="s">
        <v>50</v>
      </c>
      <c r="AG2005">
        <v>0</v>
      </c>
      <c r="AH2005">
        <v>0</v>
      </c>
      <c r="AI2005" t="s">
        <v>51</v>
      </c>
      <c r="AJ2005" t="s">
        <v>51</v>
      </c>
      <c r="AK2005" t="s">
        <v>51</v>
      </c>
    </row>
    <row r="2006" spans="1:37" x14ac:dyDescent="0.2">
      <c r="A2006">
        <v>58935</v>
      </c>
      <c r="B2006" t="s">
        <v>37</v>
      </c>
      <c r="C2006" t="s">
        <v>38</v>
      </c>
      <c r="D2006" t="s">
        <v>674</v>
      </c>
      <c r="E2006" t="s">
        <v>40</v>
      </c>
      <c r="G2006" s="4">
        <v>43946.507337962963</v>
      </c>
      <c r="H2006" s="4">
        <v>43946.507951388889</v>
      </c>
      <c r="I2006" t="s">
        <v>1691</v>
      </c>
      <c r="J2006" s="5">
        <v>53.00000000000000000000000000000000000001</v>
      </c>
      <c r="K2006" t="s">
        <v>38</v>
      </c>
      <c r="M2006">
        <v>58936</v>
      </c>
      <c r="N2006" t="s">
        <v>705</v>
      </c>
      <c r="O2006" t="s">
        <v>706</v>
      </c>
      <c r="P2006" t="s">
        <v>38</v>
      </c>
      <c r="Q2006" t="s">
        <v>236</v>
      </c>
      <c r="R2006">
        <v>12.00000000000000000000000000000000000001</v>
      </c>
      <c r="S2006" t="s">
        <v>45</v>
      </c>
      <c r="T200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6">
        <v>58937</v>
      </c>
      <c r="V2006" t="s">
        <v>38</v>
      </c>
      <c r="W2006" t="s">
        <v>337</v>
      </c>
      <c r="X2006">
        <v>11.00000000000000000000000000000000000002</v>
      </c>
      <c r="Y2006">
        <v>0</v>
      </c>
      <c r="Z2006" t="s">
        <v>46</v>
      </c>
      <c r="AA2006">
        <v>59083</v>
      </c>
      <c r="AB2006" t="s">
        <v>1699</v>
      </c>
      <c r="AC2006" t="s">
        <v>103</v>
      </c>
      <c r="AD2006" t="s">
        <v>38</v>
      </c>
      <c r="AE2006" t="s">
        <v>49</v>
      </c>
      <c r="AF2006" t="s">
        <v>50</v>
      </c>
      <c r="AG2006">
        <v>0</v>
      </c>
      <c r="AH2006">
        <v>0</v>
      </c>
      <c r="AI2006" t="s">
        <v>51</v>
      </c>
      <c r="AJ2006" t="s">
        <v>51</v>
      </c>
      <c r="AK2006" t="s">
        <v>51</v>
      </c>
    </row>
    <row r="2007" spans="1:37" x14ac:dyDescent="0.2">
      <c r="A2007">
        <v>58935</v>
      </c>
      <c r="B2007" t="s">
        <v>37</v>
      </c>
      <c r="C2007" t="s">
        <v>38</v>
      </c>
      <c r="D2007" t="s">
        <v>674</v>
      </c>
      <c r="E2007" t="s">
        <v>40</v>
      </c>
      <c r="G2007" s="4">
        <v>43946.507337962963</v>
      </c>
      <c r="H2007" s="4">
        <v>43946.507951388889</v>
      </c>
      <c r="I2007" t="s">
        <v>1691</v>
      </c>
      <c r="J2007" s="5">
        <v>53.00000000000000000000000000000000000001</v>
      </c>
      <c r="K2007" t="s">
        <v>38</v>
      </c>
      <c r="M2007">
        <v>58936</v>
      </c>
      <c r="N2007" t="s">
        <v>705</v>
      </c>
      <c r="O2007" t="s">
        <v>706</v>
      </c>
      <c r="P2007" t="s">
        <v>38</v>
      </c>
      <c r="Q2007" t="s">
        <v>236</v>
      </c>
      <c r="R2007">
        <v>12.00000000000000000000000000000000000001</v>
      </c>
      <c r="S2007" t="s">
        <v>45</v>
      </c>
      <c r="T200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7">
        <v>58937</v>
      </c>
      <c r="V2007" t="s">
        <v>38</v>
      </c>
      <c r="W2007" t="s">
        <v>337</v>
      </c>
      <c r="X2007">
        <v>11.00000000000000000000000000000000000002</v>
      </c>
      <c r="Y2007">
        <v>0</v>
      </c>
      <c r="Z2007" t="s">
        <v>46</v>
      </c>
      <c r="AA2007">
        <v>59082</v>
      </c>
      <c r="AB2007" t="s">
        <v>1700</v>
      </c>
      <c r="AC2007" t="s">
        <v>103</v>
      </c>
      <c r="AD2007" t="s">
        <v>38</v>
      </c>
      <c r="AE2007" t="s">
        <v>49</v>
      </c>
      <c r="AF2007" t="s">
        <v>50</v>
      </c>
      <c r="AG2007">
        <v>0</v>
      </c>
      <c r="AH2007">
        <v>0</v>
      </c>
      <c r="AI2007" t="s">
        <v>51</v>
      </c>
      <c r="AJ2007" t="s">
        <v>51</v>
      </c>
      <c r="AK2007" t="s">
        <v>51</v>
      </c>
    </row>
    <row r="2008" spans="1:37" x14ac:dyDescent="0.2">
      <c r="A2008">
        <v>58935</v>
      </c>
      <c r="B2008" t="s">
        <v>37</v>
      </c>
      <c r="C2008" t="s">
        <v>38</v>
      </c>
      <c r="D2008" t="s">
        <v>674</v>
      </c>
      <c r="E2008" t="s">
        <v>40</v>
      </c>
      <c r="G2008" s="4">
        <v>43946.507337962963</v>
      </c>
      <c r="H2008" s="4">
        <v>43946.507951388889</v>
      </c>
      <c r="I2008" t="s">
        <v>1691</v>
      </c>
      <c r="J2008" s="5">
        <v>53.00000000000000000000000000000000000001</v>
      </c>
      <c r="K2008" t="s">
        <v>38</v>
      </c>
      <c r="M2008">
        <v>58936</v>
      </c>
      <c r="N2008" t="s">
        <v>705</v>
      </c>
      <c r="O2008" t="s">
        <v>706</v>
      </c>
      <c r="P2008" t="s">
        <v>38</v>
      </c>
      <c r="Q2008" t="s">
        <v>236</v>
      </c>
      <c r="R2008">
        <v>12.00000000000000000000000000000000000001</v>
      </c>
      <c r="S2008" t="s">
        <v>45</v>
      </c>
      <c r="T200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8">
        <v>58937</v>
      </c>
      <c r="V2008" t="s">
        <v>38</v>
      </c>
      <c r="W2008" t="s">
        <v>337</v>
      </c>
      <c r="X2008">
        <v>11.00000000000000000000000000000000000002</v>
      </c>
      <c r="Y2008">
        <v>0</v>
      </c>
      <c r="Z2008" t="s">
        <v>46</v>
      </c>
      <c r="AA2008">
        <v>59081</v>
      </c>
      <c r="AB2008" t="s">
        <v>1701</v>
      </c>
      <c r="AC2008" t="s">
        <v>103</v>
      </c>
      <c r="AD2008" t="s">
        <v>38</v>
      </c>
      <c r="AE2008" t="s">
        <v>49</v>
      </c>
      <c r="AF2008" t="s">
        <v>50</v>
      </c>
      <c r="AG2008">
        <v>0</v>
      </c>
      <c r="AH2008">
        <v>0</v>
      </c>
      <c r="AI2008" t="s">
        <v>51</v>
      </c>
      <c r="AJ2008" t="s">
        <v>51</v>
      </c>
      <c r="AK2008" t="s">
        <v>51</v>
      </c>
    </row>
    <row r="2009" spans="1:37" x14ac:dyDescent="0.2">
      <c r="A2009">
        <v>58935</v>
      </c>
      <c r="B2009" t="s">
        <v>37</v>
      </c>
      <c r="C2009" t="s">
        <v>38</v>
      </c>
      <c r="D2009" t="s">
        <v>674</v>
      </c>
      <c r="E2009" t="s">
        <v>40</v>
      </c>
      <c r="G2009" s="4">
        <v>43946.507337962963</v>
      </c>
      <c r="H2009" s="4">
        <v>43946.507951388889</v>
      </c>
      <c r="I2009" t="s">
        <v>1691</v>
      </c>
      <c r="J2009" s="5">
        <v>53.00000000000000000000000000000000000001</v>
      </c>
      <c r="K2009" t="s">
        <v>38</v>
      </c>
      <c r="M2009">
        <v>58936</v>
      </c>
      <c r="N2009" t="s">
        <v>705</v>
      </c>
      <c r="O2009" t="s">
        <v>706</v>
      </c>
      <c r="P2009" t="s">
        <v>38</v>
      </c>
      <c r="Q2009" t="s">
        <v>236</v>
      </c>
      <c r="R2009">
        <v>12.00000000000000000000000000000000000001</v>
      </c>
      <c r="S2009" t="s">
        <v>45</v>
      </c>
      <c r="T200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09">
        <v>58937</v>
      </c>
      <c r="V2009" t="s">
        <v>38</v>
      </c>
      <c r="W2009" t="s">
        <v>337</v>
      </c>
      <c r="X2009">
        <v>11.00000000000000000000000000000000000002</v>
      </c>
      <c r="Y2009">
        <v>0</v>
      </c>
      <c r="Z2009" t="s">
        <v>46</v>
      </c>
      <c r="AA2009">
        <v>59080</v>
      </c>
      <c r="AB2009" t="s">
        <v>1702</v>
      </c>
      <c r="AC2009" t="s">
        <v>103</v>
      </c>
      <c r="AD2009" t="s">
        <v>38</v>
      </c>
      <c r="AE2009" t="s">
        <v>49</v>
      </c>
      <c r="AF2009" t="s">
        <v>50</v>
      </c>
      <c r="AG2009">
        <v>0</v>
      </c>
      <c r="AH2009">
        <v>0</v>
      </c>
      <c r="AI2009" t="s">
        <v>51</v>
      </c>
      <c r="AJ2009" t="s">
        <v>51</v>
      </c>
      <c r="AK2009" t="s">
        <v>51</v>
      </c>
    </row>
    <row r="2010" spans="1:37" x14ac:dyDescent="0.2">
      <c r="A2010">
        <v>58935</v>
      </c>
      <c r="B2010" t="s">
        <v>37</v>
      </c>
      <c r="C2010" t="s">
        <v>38</v>
      </c>
      <c r="D2010" t="s">
        <v>674</v>
      </c>
      <c r="E2010" t="s">
        <v>40</v>
      </c>
      <c r="G2010" s="4">
        <v>43946.507337962963</v>
      </c>
      <c r="H2010" s="4">
        <v>43946.507951388889</v>
      </c>
      <c r="I2010" t="s">
        <v>1691</v>
      </c>
      <c r="J2010" s="5">
        <v>53.00000000000000000000000000000000000001</v>
      </c>
      <c r="K2010" t="s">
        <v>38</v>
      </c>
      <c r="M2010">
        <v>58936</v>
      </c>
      <c r="N2010" t="s">
        <v>705</v>
      </c>
      <c r="O2010" t="s">
        <v>706</v>
      </c>
      <c r="P2010" t="s">
        <v>38</v>
      </c>
      <c r="Q2010" t="s">
        <v>236</v>
      </c>
      <c r="R2010">
        <v>12.00000000000000000000000000000000000001</v>
      </c>
      <c r="S2010" t="s">
        <v>45</v>
      </c>
      <c r="T201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0">
        <v>58937</v>
      </c>
      <c r="V2010" t="s">
        <v>38</v>
      </c>
      <c r="W2010" t="s">
        <v>337</v>
      </c>
      <c r="X2010">
        <v>11.00000000000000000000000000000000000002</v>
      </c>
      <c r="Y2010">
        <v>0</v>
      </c>
      <c r="Z2010" t="s">
        <v>46</v>
      </c>
      <c r="AA2010">
        <v>59079</v>
      </c>
      <c r="AB2010" t="s">
        <v>1703</v>
      </c>
      <c r="AC2010" t="s">
        <v>103</v>
      </c>
      <c r="AD2010" t="s">
        <v>38</v>
      </c>
      <c r="AE2010" t="s">
        <v>49</v>
      </c>
      <c r="AF2010" t="s">
        <v>50</v>
      </c>
      <c r="AG2010">
        <v>0</v>
      </c>
      <c r="AH2010">
        <v>0</v>
      </c>
      <c r="AI2010" t="s">
        <v>51</v>
      </c>
      <c r="AJ2010" t="s">
        <v>51</v>
      </c>
      <c r="AK2010" t="s">
        <v>51</v>
      </c>
    </row>
    <row r="2011" spans="1:37" x14ac:dyDescent="0.2">
      <c r="A2011">
        <v>58935</v>
      </c>
      <c r="B2011" t="s">
        <v>37</v>
      </c>
      <c r="C2011" t="s">
        <v>38</v>
      </c>
      <c r="D2011" t="s">
        <v>674</v>
      </c>
      <c r="E2011" t="s">
        <v>40</v>
      </c>
      <c r="G2011" s="4">
        <v>43946.507337962963</v>
      </c>
      <c r="H2011" s="4">
        <v>43946.507951388889</v>
      </c>
      <c r="I2011" t="s">
        <v>1691</v>
      </c>
      <c r="J2011" s="5">
        <v>53.00000000000000000000000000000000000001</v>
      </c>
      <c r="K2011" t="s">
        <v>38</v>
      </c>
      <c r="M2011">
        <v>58936</v>
      </c>
      <c r="N2011" t="s">
        <v>705</v>
      </c>
      <c r="O2011" t="s">
        <v>706</v>
      </c>
      <c r="P2011" t="s">
        <v>38</v>
      </c>
      <c r="Q2011" t="s">
        <v>236</v>
      </c>
      <c r="R2011">
        <v>12.00000000000000000000000000000000000001</v>
      </c>
      <c r="S2011" t="s">
        <v>45</v>
      </c>
      <c r="T201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1">
        <v>58937</v>
      </c>
      <c r="V2011" t="s">
        <v>38</v>
      </c>
      <c r="W2011" t="s">
        <v>337</v>
      </c>
      <c r="X2011">
        <v>11.00000000000000000000000000000000000002</v>
      </c>
      <c r="Y2011">
        <v>0</v>
      </c>
      <c r="Z2011" t="s">
        <v>46</v>
      </c>
      <c r="AA2011">
        <v>59078</v>
      </c>
      <c r="AB2011" t="s">
        <v>1704</v>
      </c>
      <c r="AC2011" t="s">
        <v>103</v>
      </c>
      <c r="AD2011" t="s">
        <v>38</v>
      </c>
      <c r="AE2011" t="s">
        <v>49</v>
      </c>
      <c r="AF2011" t="s">
        <v>50</v>
      </c>
      <c r="AG2011">
        <v>0</v>
      </c>
      <c r="AH2011">
        <v>0</v>
      </c>
      <c r="AI2011" t="s">
        <v>51</v>
      </c>
      <c r="AJ2011" t="s">
        <v>51</v>
      </c>
      <c r="AK2011" t="s">
        <v>51</v>
      </c>
    </row>
    <row r="2012" spans="1:37" x14ac:dyDescent="0.2">
      <c r="A2012">
        <v>58935</v>
      </c>
      <c r="B2012" t="s">
        <v>37</v>
      </c>
      <c r="C2012" t="s">
        <v>38</v>
      </c>
      <c r="D2012" t="s">
        <v>674</v>
      </c>
      <c r="E2012" t="s">
        <v>40</v>
      </c>
      <c r="G2012" s="4">
        <v>43946.507337962963</v>
      </c>
      <c r="H2012" s="4">
        <v>43946.507951388889</v>
      </c>
      <c r="I2012" t="s">
        <v>1691</v>
      </c>
      <c r="J2012" s="5">
        <v>53.00000000000000000000000000000000000001</v>
      </c>
      <c r="K2012" t="s">
        <v>38</v>
      </c>
      <c r="M2012">
        <v>58936</v>
      </c>
      <c r="N2012" t="s">
        <v>705</v>
      </c>
      <c r="O2012" t="s">
        <v>706</v>
      </c>
      <c r="P2012" t="s">
        <v>38</v>
      </c>
      <c r="Q2012" t="s">
        <v>236</v>
      </c>
      <c r="R2012">
        <v>12.00000000000000000000000000000000000001</v>
      </c>
      <c r="S2012" t="s">
        <v>45</v>
      </c>
      <c r="T201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2">
        <v>58937</v>
      </c>
      <c r="V2012" t="s">
        <v>38</v>
      </c>
      <c r="W2012" t="s">
        <v>337</v>
      </c>
      <c r="X2012">
        <v>11.00000000000000000000000000000000000002</v>
      </c>
      <c r="Y2012">
        <v>0</v>
      </c>
      <c r="Z2012" t="s">
        <v>46</v>
      </c>
      <c r="AA2012">
        <v>59077</v>
      </c>
      <c r="AB2012" t="s">
        <v>1705</v>
      </c>
      <c r="AC2012" t="s">
        <v>103</v>
      </c>
      <c r="AD2012" t="s">
        <v>38</v>
      </c>
      <c r="AE2012" t="s">
        <v>49</v>
      </c>
      <c r="AF2012" t="s">
        <v>50</v>
      </c>
      <c r="AG2012">
        <v>0</v>
      </c>
      <c r="AH2012">
        <v>0</v>
      </c>
      <c r="AI2012" t="s">
        <v>51</v>
      </c>
      <c r="AJ2012" t="s">
        <v>51</v>
      </c>
      <c r="AK2012" t="s">
        <v>51</v>
      </c>
    </row>
    <row r="2013" spans="1:37" x14ac:dyDescent="0.2">
      <c r="A2013">
        <v>58935</v>
      </c>
      <c r="B2013" t="s">
        <v>37</v>
      </c>
      <c r="C2013" t="s">
        <v>38</v>
      </c>
      <c r="D2013" t="s">
        <v>674</v>
      </c>
      <c r="E2013" t="s">
        <v>40</v>
      </c>
      <c r="G2013" s="4">
        <v>43946.507337962963</v>
      </c>
      <c r="H2013" s="4">
        <v>43946.507951388889</v>
      </c>
      <c r="I2013" t="s">
        <v>1691</v>
      </c>
      <c r="J2013" s="5">
        <v>53.00000000000000000000000000000000000001</v>
      </c>
      <c r="K2013" t="s">
        <v>38</v>
      </c>
      <c r="M2013">
        <v>58936</v>
      </c>
      <c r="N2013" t="s">
        <v>705</v>
      </c>
      <c r="O2013" t="s">
        <v>706</v>
      </c>
      <c r="P2013" t="s">
        <v>38</v>
      </c>
      <c r="Q2013" t="s">
        <v>236</v>
      </c>
      <c r="R2013">
        <v>12.00000000000000000000000000000000000001</v>
      </c>
      <c r="S2013" t="s">
        <v>45</v>
      </c>
      <c r="T201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3">
        <v>58937</v>
      </c>
      <c r="V2013" t="s">
        <v>38</v>
      </c>
      <c r="W2013" t="s">
        <v>337</v>
      </c>
      <c r="X2013">
        <v>11.00000000000000000000000000000000000002</v>
      </c>
      <c r="Y2013">
        <v>0</v>
      </c>
      <c r="Z2013" t="s">
        <v>46</v>
      </c>
      <c r="AA2013">
        <v>59076</v>
      </c>
      <c r="AB2013" t="s">
        <v>1706</v>
      </c>
      <c r="AC2013" t="s">
        <v>103</v>
      </c>
      <c r="AD2013" t="s">
        <v>38</v>
      </c>
      <c r="AE2013" t="s">
        <v>49</v>
      </c>
      <c r="AF2013" t="s">
        <v>50</v>
      </c>
      <c r="AG2013">
        <v>0</v>
      </c>
      <c r="AH2013">
        <v>0</v>
      </c>
      <c r="AI2013" t="s">
        <v>51</v>
      </c>
      <c r="AJ2013" t="s">
        <v>51</v>
      </c>
      <c r="AK2013" t="s">
        <v>51</v>
      </c>
    </row>
    <row r="2014" spans="1:37" x14ac:dyDescent="0.2">
      <c r="A2014">
        <v>58935</v>
      </c>
      <c r="B2014" t="s">
        <v>37</v>
      </c>
      <c r="C2014" t="s">
        <v>38</v>
      </c>
      <c r="D2014" t="s">
        <v>674</v>
      </c>
      <c r="E2014" t="s">
        <v>40</v>
      </c>
      <c r="G2014" s="4">
        <v>43946.507337962963</v>
      </c>
      <c r="H2014" s="4">
        <v>43946.507951388889</v>
      </c>
      <c r="I2014" t="s">
        <v>1691</v>
      </c>
      <c r="J2014" s="5">
        <v>53.00000000000000000000000000000000000001</v>
      </c>
      <c r="K2014" t="s">
        <v>38</v>
      </c>
      <c r="M2014">
        <v>58936</v>
      </c>
      <c r="N2014" t="s">
        <v>705</v>
      </c>
      <c r="O2014" t="s">
        <v>706</v>
      </c>
      <c r="P2014" t="s">
        <v>38</v>
      </c>
      <c r="Q2014" t="s">
        <v>236</v>
      </c>
      <c r="R2014">
        <v>12.00000000000000000000000000000000000001</v>
      </c>
      <c r="S2014" t="s">
        <v>45</v>
      </c>
      <c r="T201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4">
        <v>58937</v>
      </c>
      <c r="V2014" t="s">
        <v>38</v>
      </c>
      <c r="W2014" t="s">
        <v>337</v>
      </c>
      <c r="X2014">
        <v>11.00000000000000000000000000000000000002</v>
      </c>
      <c r="Y2014">
        <v>0</v>
      </c>
      <c r="Z2014" t="s">
        <v>46</v>
      </c>
      <c r="AA2014">
        <v>59075</v>
      </c>
      <c r="AB2014" t="s">
        <v>1707</v>
      </c>
      <c r="AC2014" t="s">
        <v>103</v>
      </c>
      <c r="AD2014" t="s">
        <v>38</v>
      </c>
      <c r="AE2014" t="s">
        <v>49</v>
      </c>
      <c r="AF2014" t="s">
        <v>50</v>
      </c>
      <c r="AG2014">
        <v>0</v>
      </c>
      <c r="AH2014">
        <v>0</v>
      </c>
      <c r="AI2014" t="s">
        <v>51</v>
      </c>
      <c r="AJ2014" t="s">
        <v>51</v>
      </c>
      <c r="AK2014" t="s">
        <v>51</v>
      </c>
    </row>
    <row r="2015" spans="1:37" x14ac:dyDescent="0.2">
      <c r="A2015">
        <v>58935</v>
      </c>
      <c r="B2015" t="s">
        <v>37</v>
      </c>
      <c r="C2015" t="s">
        <v>38</v>
      </c>
      <c r="D2015" t="s">
        <v>674</v>
      </c>
      <c r="E2015" t="s">
        <v>40</v>
      </c>
      <c r="G2015" s="4">
        <v>43946.507337962963</v>
      </c>
      <c r="H2015" s="4">
        <v>43946.507951388889</v>
      </c>
      <c r="I2015" t="s">
        <v>1691</v>
      </c>
      <c r="J2015" s="5">
        <v>53.00000000000000000000000000000000000001</v>
      </c>
      <c r="K2015" t="s">
        <v>38</v>
      </c>
      <c r="M2015">
        <v>58936</v>
      </c>
      <c r="N2015" t="s">
        <v>705</v>
      </c>
      <c r="O2015" t="s">
        <v>706</v>
      </c>
      <c r="P2015" t="s">
        <v>38</v>
      </c>
      <c r="Q2015" t="s">
        <v>236</v>
      </c>
      <c r="R2015">
        <v>12.00000000000000000000000000000000000001</v>
      </c>
      <c r="S2015" t="s">
        <v>45</v>
      </c>
      <c r="T201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5">
        <v>58937</v>
      </c>
      <c r="V2015" t="s">
        <v>38</v>
      </c>
      <c r="W2015" t="s">
        <v>337</v>
      </c>
      <c r="X2015">
        <v>11.00000000000000000000000000000000000002</v>
      </c>
      <c r="Y2015">
        <v>0</v>
      </c>
      <c r="Z2015" t="s">
        <v>46</v>
      </c>
      <c r="AA2015">
        <v>59074</v>
      </c>
      <c r="AB2015" t="s">
        <v>1708</v>
      </c>
      <c r="AC2015" t="s">
        <v>103</v>
      </c>
      <c r="AD2015" t="s">
        <v>38</v>
      </c>
      <c r="AE2015" t="s">
        <v>49</v>
      </c>
      <c r="AF2015" t="s">
        <v>50</v>
      </c>
      <c r="AG2015">
        <v>0</v>
      </c>
      <c r="AH2015">
        <v>0</v>
      </c>
      <c r="AI2015" t="s">
        <v>51</v>
      </c>
      <c r="AJ2015" t="s">
        <v>51</v>
      </c>
      <c r="AK2015" t="s">
        <v>51</v>
      </c>
    </row>
    <row r="2016" spans="1:37" x14ac:dyDescent="0.2">
      <c r="A2016">
        <v>58935</v>
      </c>
      <c r="B2016" t="s">
        <v>37</v>
      </c>
      <c r="C2016" t="s">
        <v>38</v>
      </c>
      <c r="D2016" t="s">
        <v>674</v>
      </c>
      <c r="E2016" t="s">
        <v>40</v>
      </c>
      <c r="G2016" s="4">
        <v>43946.507337962963</v>
      </c>
      <c r="H2016" s="4">
        <v>43946.507951388889</v>
      </c>
      <c r="I2016" t="s">
        <v>1691</v>
      </c>
      <c r="J2016" s="5">
        <v>53.00000000000000000000000000000000000001</v>
      </c>
      <c r="K2016" t="s">
        <v>38</v>
      </c>
      <c r="M2016">
        <v>58936</v>
      </c>
      <c r="N2016" t="s">
        <v>705</v>
      </c>
      <c r="O2016" t="s">
        <v>706</v>
      </c>
      <c r="P2016" t="s">
        <v>38</v>
      </c>
      <c r="Q2016" t="s">
        <v>236</v>
      </c>
      <c r="R2016">
        <v>12.00000000000000000000000000000000000001</v>
      </c>
      <c r="S2016" t="s">
        <v>45</v>
      </c>
      <c r="T201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6">
        <v>58937</v>
      </c>
      <c r="V2016" t="s">
        <v>38</v>
      </c>
      <c r="W2016" t="s">
        <v>337</v>
      </c>
      <c r="X2016">
        <v>11.00000000000000000000000000000000000002</v>
      </c>
      <c r="Y2016">
        <v>0</v>
      </c>
      <c r="Z2016" t="s">
        <v>46</v>
      </c>
      <c r="AA2016">
        <v>59073</v>
      </c>
      <c r="AB2016" t="s">
        <v>1709</v>
      </c>
      <c r="AC2016" t="s">
        <v>103</v>
      </c>
      <c r="AD2016" t="s">
        <v>38</v>
      </c>
      <c r="AE2016" t="s">
        <v>49</v>
      </c>
      <c r="AF2016" t="s">
        <v>50</v>
      </c>
      <c r="AG2016">
        <v>0</v>
      </c>
      <c r="AH2016">
        <v>0</v>
      </c>
      <c r="AI2016" t="s">
        <v>51</v>
      </c>
      <c r="AJ2016" t="s">
        <v>51</v>
      </c>
      <c r="AK2016" t="s">
        <v>51</v>
      </c>
    </row>
    <row r="2017" spans="1:37" x14ac:dyDescent="0.2">
      <c r="A2017">
        <v>58935</v>
      </c>
      <c r="B2017" t="s">
        <v>37</v>
      </c>
      <c r="C2017" t="s">
        <v>38</v>
      </c>
      <c r="D2017" t="s">
        <v>674</v>
      </c>
      <c r="E2017" t="s">
        <v>40</v>
      </c>
      <c r="G2017" s="4">
        <v>43946.507337962963</v>
      </c>
      <c r="H2017" s="4">
        <v>43946.507951388889</v>
      </c>
      <c r="I2017" t="s">
        <v>1691</v>
      </c>
      <c r="J2017" s="5">
        <v>53.00000000000000000000000000000000000001</v>
      </c>
      <c r="K2017" t="s">
        <v>38</v>
      </c>
      <c r="M2017">
        <v>58936</v>
      </c>
      <c r="N2017" t="s">
        <v>705</v>
      </c>
      <c r="O2017" t="s">
        <v>706</v>
      </c>
      <c r="P2017" t="s">
        <v>38</v>
      </c>
      <c r="Q2017" t="s">
        <v>236</v>
      </c>
      <c r="R2017">
        <v>12.00000000000000000000000000000000000001</v>
      </c>
      <c r="S2017" t="s">
        <v>45</v>
      </c>
      <c r="T201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7">
        <v>58937</v>
      </c>
      <c r="V2017" t="s">
        <v>38</v>
      </c>
      <c r="W2017" t="s">
        <v>337</v>
      </c>
      <c r="X2017">
        <v>11.00000000000000000000000000000000000002</v>
      </c>
      <c r="Y2017">
        <v>0</v>
      </c>
      <c r="Z2017" t="s">
        <v>46</v>
      </c>
      <c r="AA2017">
        <v>59072</v>
      </c>
      <c r="AB2017" t="s">
        <v>1710</v>
      </c>
      <c r="AC2017" t="s">
        <v>103</v>
      </c>
      <c r="AD2017" t="s">
        <v>38</v>
      </c>
      <c r="AE2017" t="s">
        <v>49</v>
      </c>
      <c r="AF2017" t="s">
        <v>50</v>
      </c>
      <c r="AG2017">
        <v>0</v>
      </c>
      <c r="AH2017">
        <v>0</v>
      </c>
      <c r="AI2017" t="s">
        <v>51</v>
      </c>
      <c r="AJ2017" t="s">
        <v>51</v>
      </c>
      <c r="AK2017" t="s">
        <v>51</v>
      </c>
    </row>
    <row r="2018" spans="1:37" x14ac:dyDescent="0.2">
      <c r="A2018">
        <v>58935</v>
      </c>
      <c r="B2018" t="s">
        <v>37</v>
      </c>
      <c r="C2018" t="s">
        <v>38</v>
      </c>
      <c r="D2018" t="s">
        <v>674</v>
      </c>
      <c r="E2018" t="s">
        <v>40</v>
      </c>
      <c r="G2018" s="4">
        <v>43946.507337962963</v>
      </c>
      <c r="H2018" s="4">
        <v>43946.507951388889</v>
      </c>
      <c r="I2018" t="s">
        <v>1691</v>
      </c>
      <c r="J2018" s="5">
        <v>53.00000000000000000000000000000000000001</v>
      </c>
      <c r="K2018" t="s">
        <v>38</v>
      </c>
      <c r="M2018">
        <v>58936</v>
      </c>
      <c r="N2018" t="s">
        <v>705</v>
      </c>
      <c r="O2018" t="s">
        <v>706</v>
      </c>
      <c r="P2018" t="s">
        <v>38</v>
      </c>
      <c r="Q2018" t="s">
        <v>236</v>
      </c>
      <c r="R2018">
        <v>12.00000000000000000000000000000000000001</v>
      </c>
      <c r="S2018" t="s">
        <v>45</v>
      </c>
      <c r="T201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8">
        <v>58937</v>
      </c>
      <c r="V2018" t="s">
        <v>38</v>
      </c>
      <c r="W2018" t="s">
        <v>337</v>
      </c>
      <c r="X2018">
        <v>11.00000000000000000000000000000000000002</v>
      </c>
      <c r="Y2018">
        <v>0</v>
      </c>
      <c r="Z2018" t="s">
        <v>46</v>
      </c>
      <c r="AA2018">
        <v>59071</v>
      </c>
      <c r="AB2018" t="s">
        <v>1711</v>
      </c>
      <c r="AC2018" t="s">
        <v>103</v>
      </c>
      <c r="AD2018" t="s">
        <v>38</v>
      </c>
      <c r="AE2018" t="s">
        <v>49</v>
      </c>
      <c r="AF2018" t="s">
        <v>50</v>
      </c>
      <c r="AG2018">
        <v>0</v>
      </c>
      <c r="AH2018">
        <v>0</v>
      </c>
      <c r="AI2018" t="s">
        <v>51</v>
      </c>
      <c r="AJ2018" t="s">
        <v>51</v>
      </c>
      <c r="AK2018" t="s">
        <v>51</v>
      </c>
    </row>
    <row r="2019" spans="1:37" x14ac:dyDescent="0.2">
      <c r="A2019">
        <v>58935</v>
      </c>
      <c r="B2019" t="s">
        <v>37</v>
      </c>
      <c r="C2019" t="s">
        <v>38</v>
      </c>
      <c r="D2019" t="s">
        <v>674</v>
      </c>
      <c r="E2019" t="s">
        <v>40</v>
      </c>
      <c r="G2019" s="4">
        <v>43946.507337962963</v>
      </c>
      <c r="H2019" s="4">
        <v>43946.507951388889</v>
      </c>
      <c r="I2019" t="s">
        <v>1691</v>
      </c>
      <c r="J2019" s="5">
        <v>53.00000000000000000000000000000000000001</v>
      </c>
      <c r="K2019" t="s">
        <v>38</v>
      </c>
      <c r="M2019">
        <v>58936</v>
      </c>
      <c r="N2019" t="s">
        <v>705</v>
      </c>
      <c r="O2019" t="s">
        <v>706</v>
      </c>
      <c r="P2019" t="s">
        <v>38</v>
      </c>
      <c r="Q2019" t="s">
        <v>236</v>
      </c>
      <c r="R2019">
        <v>12.00000000000000000000000000000000000001</v>
      </c>
      <c r="S2019" t="s">
        <v>45</v>
      </c>
      <c r="T201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19">
        <v>58937</v>
      </c>
      <c r="V2019" t="s">
        <v>38</v>
      </c>
      <c r="W2019" t="s">
        <v>337</v>
      </c>
      <c r="X2019">
        <v>11.00000000000000000000000000000000000002</v>
      </c>
      <c r="Y2019">
        <v>0</v>
      </c>
      <c r="Z2019" t="s">
        <v>46</v>
      </c>
      <c r="AA2019">
        <v>59070</v>
      </c>
      <c r="AB2019" t="s">
        <v>1712</v>
      </c>
      <c r="AC2019" t="s">
        <v>103</v>
      </c>
      <c r="AD2019" t="s">
        <v>38</v>
      </c>
      <c r="AE2019" t="s">
        <v>49</v>
      </c>
      <c r="AF2019" t="s">
        <v>50</v>
      </c>
      <c r="AG2019">
        <v>0</v>
      </c>
      <c r="AH2019">
        <v>0</v>
      </c>
      <c r="AI2019" t="s">
        <v>51</v>
      </c>
      <c r="AJ2019" t="s">
        <v>51</v>
      </c>
      <c r="AK2019" t="s">
        <v>51</v>
      </c>
    </row>
    <row r="2020" spans="1:37" x14ac:dyDescent="0.2">
      <c r="A2020">
        <v>58935</v>
      </c>
      <c r="B2020" t="s">
        <v>37</v>
      </c>
      <c r="C2020" t="s">
        <v>38</v>
      </c>
      <c r="D2020" t="s">
        <v>674</v>
      </c>
      <c r="E2020" t="s">
        <v>40</v>
      </c>
      <c r="G2020" s="4">
        <v>43946.507337962963</v>
      </c>
      <c r="H2020" s="4">
        <v>43946.507951388889</v>
      </c>
      <c r="I2020" t="s">
        <v>1691</v>
      </c>
      <c r="J2020" s="5">
        <v>53.00000000000000000000000000000000000001</v>
      </c>
      <c r="K2020" t="s">
        <v>38</v>
      </c>
      <c r="M2020">
        <v>58936</v>
      </c>
      <c r="N2020" t="s">
        <v>705</v>
      </c>
      <c r="O2020" t="s">
        <v>706</v>
      </c>
      <c r="P2020" t="s">
        <v>38</v>
      </c>
      <c r="Q2020" t="s">
        <v>236</v>
      </c>
      <c r="R2020">
        <v>12.00000000000000000000000000000000000001</v>
      </c>
      <c r="S2020" t="s">
        <v>45</v>
      </c>
      <c r="T202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0">
        <v>58937</v>
      </c>
      <c r="V2020" t="s">
        <v>38</v>
      </c>
      <c r="W2020" t="s">
        <v>337</v>
      </c>
      <c r="X2020">
        <v>11.00000000000000000000000000000000000002</v>
      </c>
      <c r="Y2020">
        <v>0</v>
      </c>
      <c r="Z2020" t="s">
        <v>46</v>
      </c>
      <c r="AA2020">
        <v>59069</v>
      </c>
      <c r="AB2020" t="s">
        <v>1713</v>
      </c>
      <c r="AC2020" t="s">
        <v>103</v>
      </c>
      <c r="AD2020" t="s">
        <v>38</v>
      </c>
      <c r="AE2020" t="s">
        <v>49</v>
      </c>
      <c r="AF2020" t="s">
        <v>50</v>
      </c>
      <c r="AG2020">
        <v>0</v>
      </c>
      <c r="AH2020">
        <v>0</v>
      </c>
      <c r="AI2020" t="s">
        <v>51</v>
      </c>
      <c r="AJ2020" t="s">
        <v>51</v>
      </c>
      <c r="AK2020" t="s">
        <v>51</v>
      </c>
    </row>
    <row r="2021" spans="1:37" x14ac:dyDescent="0.2">
      <c r="A2021">
        <v>58935</v>
      </c>
      <c r="B2021" t="s">
        <v>37</v>
      </c>
      <c r="C2021" t="s">
        <v>38</v>
      </c>
      <c r="D2021" t="s">
        <v>674</v>
      </c>
      <c r="E2021" t="s">
        <v>40</v>
      </c>
      <c r="G2021" s="4">
        <v>43946.507337962963</v>
      </c>
      <c r="H2021" s="4">
        <v>43946.507951388889</v>
      </c>
      <c r="I2021" t="s">
        <v>1691</v>
      </c>
      <c r="J2021" s="5">
        <v>53.00000000000000000000000000000000000001</v>
      </c>
      <c r="K2021" t="s">
        <v>38</v>
      </c>
      <c r="M2021">
        <v>58936</v>
      </c>
      <c r="N2021" t="s">
        <v>705</v>
      </c>
      <c r="O2021" t="s">
        <v>706</v>
      </c>
      <c r="P2021" t="s">
        <v>38</v>
      </c>
      <c r="Q2021" t="s">
        <v>236</v>
      </c>
      <c r="R2021">
        <v>12.00000000000000000000000000000000000001</v>
      </c>
      <c r="S2021" t="s">
        <v>45</v>
      </c>
      <c r="T202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1">
        <v>58937</v>
      </c>
      <c r="V2021" t="s">
        <v>38</v>
      </c>
      <c r="W2021" t="s">
        <v>337</v>
      </c>
      <c r="X2021">
        <v>11.00000000000000000000000000000000000002</v>
      </c>
      <c r="Y2021">
        <v>0</v>
      </c>
      <c r="Z2021" t="s">
        <v>46</v>
      </c>
      <c r="AA2021">
        <v>59068</v>
      </c>
      <c r="AB2021" t="s">
        <v>1714</v>
      </c>
      <c r="AC2021" t="s">
        <v>103</v>
      </c>
      <c r="AD2021" t="s">
        <v>38</v>
      </c>
      <c r="AE2021" t="s">
        <v>49</v>
      </c>
      <c r="AF2021" t="s">
        <v>50</v>
      </c>
      <c r="AG2021">
        <v>0</v>
      </c>
      <c r="AH2021">
        <v>0</v>
      </c>
      <c r="AI2021" t="s">
        <v>51</v>
      </c>
      <c r="AJ2021" t="s">
        <v>51</v>
      </c>
      <c r="AK2021" t="s">
        <v>51</v>
      </c>
    </row>
    <row r="2022" spans="1:37" x14ac:dyDescent="0.2">
      <c r="A2022">
        <v>58935</v>
      </c>
      <c r="B2022" t="s">
        <v>37</v>
      </c>
      <c r="C2022" t="s">
        <v>38</v>
      </c>
      <c r="D2022" t="s">
        <v>674</v>
      </c>
      <c r="E2022" t="s">
        <v>40</v>
      </c>
      <c r="G2022" s="4">
        <v>43946.507337962963</v>
      </c>
      <c r="H2022" s="4">
        <v>43946.507951388889</v>
      </c>
      <c r="I2022" t="s">
        <v>1691</v>
      </c>
      <c r="J2022" s="5">
        <v>53.00000000000000000000000000000000000001</v>
      </c>
      <c r="K2022" t="s">
        <v>38</v>
      </c>
      <c r="M2022">
        <v>58936</v>
      </c>
      <c r="N2022" t="s">
        <v>705</v>
      </c>
      <c r="O2022" t="s">
        <v>706</v>
      </c>
      <c r="P2022" t="s">
        <v>38</v>
      </c>
      <c r="Q2022" t="s">
        <v>236</v>
      </c>
      <c r="R2022">
        <v>12.00000000000000000000000000000000000001</v>
      </c>
      <c r="S2022" t="s">
        <v>45</v>
      </c>
      <c r="T202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2">
        <v>58937</v>
      </c>
      <c r="V2022" t="s">
        <v>38</v>
      </c>
      <c r="W2022" t="s">
        <v>337</v>
      </c>
      <c r="X2022">
        <v>11.00000000000000000000000000000000000002</v>
      </c>
      <c r="Y2022">
        <v>0</v>
      </c>
      <c r="Z2022" t="s">
        <v>46</v>
      </c>
      <c r="AA2022">
        <v>59067</v>
      </c>
      <c r="AB2022" t="s">
        <v>1715</v>
      </c>
      <c r="AC2022" t="s">
        <v>103</v>
      </c>
      <c r="AD2022" t="s">
        <v>38</v>
      </c>
      <c r="AE2022" t="s">
        <v>49</v>
      </c>
      <c r="AF2022" t="s">
        <v>50</v>
      </c>
      <c r="AG2022">
        <v>0</v>
      </c>
      <c r="AH2022">
        <v>0</v>
      </c>
      <c r="AI2022" t="s">
        <v>51</v>
      </c>
      <c r="AJ2022" t="s">
        <v>51</v>
      </c>
      <c r="AK2022" t="s">
        <v>51</v>
      </c>
    </row>
    <row r="2023" spans="1:37" x14ac:dyDescent="0.2">
      <c r="A2023">
        <v>58935</v>
      </c>
      <c r="B2023" t="s">
        <v>37</v>
      </c>
      <c r="C2023" t="s">
        <v>38</v>
      </c>
      <c r="D2023" t="s">
        <v>674</v>
      </c>
      <c r="E2023" t="s">
        <v>40</v>
      </c>
      <c r="G2023" s="4">
        <v>43946.507337962963</v>
      </c>
      <c r="H2023" s="4">
        <v>43946.507951388889</v>
      </c>
      <c r="I2023" t="s">
        <v>1691</v>
      </c>
      <c r="J2023" s="5">
        <v>53.00000000000000000000000000000000000001</v>
      </c>
      <c r="K2023" t="s">
        <v>38</v>
      </c>
      <c r="M2023">
        <v>58936</v>
      </c>
      <c r="N2023" t="s">
        <v>705</v>
      </c>
      <c r="O2023" t="s">
        <v>706</v>
      </c>
      <c r="P2023" t="s">
        <v>38</v>
      </c>
      <c r="Q2023" t="s">
        <v>236</v>
      </c>
      <c r="R2023">
        <v>12.00000000000000000000000000000000000001</v>
      </c>
      <c r="S2023" t="s">
        <v>45</v>
      </c>
      <c r="T202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3">
        <v>58937</v>
      </c>
      <c r="V2023" t="s">
        <v>38</v>
      </c>
      <c r="W2023" t="s">
        <v>337</v>
      </c>
      <c r="X2023">
        <v>11.00000000000000000000000000000000000002</v>
      </c>
      <c r="Y2023">
        <v>0</v>
      </c>
      <c r="Z2023" t="s">
        <v>46</v>
      </c>
      <c r="AA2023">
        <v>59066</v>
      </c>
      <c r="AB2023" t="s">
        <v>1716</v>
      </c>
      <c r="AC2023" t="s">
        <v>103</v>
      </c>
      <c r="AD2023" t="s">
        <v>38</v>
      </c>
      <c r="AE2023" t="s">
        <v>49</v>
      </c>
      <c r="AF2023" t="s">
        <v>50</v>
      </c>
      <c r="AG2023">
        <v>0</v>
      </c>
      <c r="AH2023">
        <v>0</v>
      </c>
      <c r="AI2023" t="s">
        <v>51</v>
      </c>
      <c r="AJ2023" t="s">
        <v>51</v>
      </c>
      <c r="AK2023" t="s">
        <v>51</v>
      </c>
    </row>
    <row r="2024" spans="1:37" x14ac:dyDescent="0.2">
      <c r="A2024">
        <v>58935</v>
      </c>
      <c r="B2024" t="s">
        <v>37</v>
      </c>
      <c r="C2024" t="s">
        <v>38</v>
      </c>
      <c r="D2024" t="s">
        <v>674</v>
      </c>
      <c r="E2024" t="s">
        <v>40</v>
      </c>
      <c r="G2024" s="4">
        <v>43946.507337962963</v>
      </c>
      <c r="H2024" s="4">
        <v>43946.507951388889</v>
      </c>
      <c r="I2024" t="s">
        <v>1691</v>
      </c>
      <c r="J2024" s="5">
        <v>53.00000000000000000000000000000000000001</v>
      </c>
      <c r="K2024" t="s">
        <v>38</v>
      </c>
      <c r="M2024">
        <v>58936</v>
      </c>
      <c r="N2024" t="s">
        <v>705</v>
      </c>
      <c r="O2024" t="s">
        <v>706</v>
      </c>
      <c r="P2024" t="s">
        <v>38</v>
      </c>
      <c r="Q2024" t="s">
        <v>236</v>
      </c>
      <c r="R2024">
        <v>12.00000000000000000000000000000000000001</v>
      </c>
      <c r="S2024" t="s">
        <v>45</v>
      </c>
      <c r="T202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4">
        <v>58937</v>
      </c>
      <c r="V2024" t="s">
        <v>38</v>
      </c>
      <c r="W2024" t="s">
        <v>337</v>
      </c>
      <c r="X2024">
        <v>11.00000000000000000000000000000000000002</v>
      </c>
      <c r="Y2024">
        <v>0</v>
      </c>
      <c r="Z2024" t="s">
        <v>46</v>
      </c>
      <c r="AA2024">
        <v>59065</v>
      </c>
      <c r="AB2024" t="s">
        <v>1717</v>
      </c>
      <c r="AC2024" t="s">
        <v>103</v>
      </c>
      <c r="AD2024" t="s">
        <v>38</v>
      </c>
      <c r="AE2024" t="s">
        <v>49</v>
      </c>
      <c r="AF2024" t="s">
        <v>50</v>
      </c>
      <c r="AG2024">
        <v>0</v>
      </c>
      <c r="AH2024">
        <v>0</v>
      </c>
      <c r="AI2024" t="s">
        <v>51</v>
      </c>
      <c r="AJ2024" t="s">
        <v>51</v>
      </c>
      <c r="AK2024" t="s">
        <v>51</v>
      </c>
    </row>
    <row r="2025" spans="1:37" x14ac:dyDescent="0.2">
      <c r="A2025">
        <v>58935</v>
      </c>
      <c r="B2025" t="s">
        <v>37</v>
      </c>
      <c r="C2025" t="s">
        <v>38</v>
      </c>
      <c r="D2025" t="s">
        <v>674</v>
      </c>
      <c r="E2025" t="s">
        <v>40</v>
      </c>
      <c r="G2025" s="4">
        <v>43946.507337962963</v>
      </c>
      <c r="H2025" s="4">
        <v>43946.507951388889</v>
      </c>
      <c r="I2025" t="s">
        <v>1691</v>
      </c>
      <c r="J2025" s="5">
        <v>53.00000000000000000000000000000000000001</v>
      </c>
      <c r="K2025" t="s">
        <v>38</v>
      </c>
      <c r="M2025">
        <v>58936</v>
      </c>
      <c r="N2025" t="s">
        <v>705</v>
      </c>
      <c r="O2025" t="s">
        <v>706</v>
      </c>
      <c r="P2025" t="s">
        <v>38</v>
      </c>
      <c r="Q2025" t="s">
        <v>236</v>
      </c>
      <c r="R2025">
        <v>12.00000000000000000000000000000000000001</v>
      </c>
      <c r="S2025" t="s">
        <v>45</v>
      </c>
      <c r="T202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5">
        <v>58937</v>
      </c>
      <c r="V2025" t="s">
        <v>38</v>
      </c>
      <c r="W2025" t="s">
        <v>337</v>
      </c>
      <c r="X2025">
        <v>11.00000000000000000000000000000000000002</v>
      </c>
      <c r="Y2025">
        <v>0</v>
      </c>
      <c r="Z2025" t="s">
        <v>46</v>
      </c>
      <c r="AA2025">
        <v>59064</v>
      </c>
      <c r="AB2025" t="s">
        <v>1718</v>
      </c>
      <c r="AC2025" t="s">
        <v>103</v>
      </c>
      <c r="AD2025" t="s">
        <v>38</v>
      </c>
      <c r="AE2025" t="s">
        <v>49</v>
      </c>
      <c r="AF2025" t="s">
        <v>50</v>
      </c>
      <c r="AG2025">
        <v>0</v>
      </c>
      <c r="AH2025">
        <v>0</v>
      </c>
      <c r="AI2025" t="s">
        <v>51</v>
      </c>
      <c r="AJ2025" t="s">
        <v>51</v>
      </c>
      <c r="AK2025" t="s">
        <v>51</v>
      </c>
    </row>
    <row r="2026" spans="1:37" x14ac:dyDescent="0.2">
      <c r="A2026">
        <v>58935</v>
      </c>
      <c r="B2026" t="s">
        <v>37</v>
      </c>
      <c r="C2026" t="s">
        <v>38</v>
      </c>
      <c r="D2026" t="s">
        <v>674</v>
      </c>
      <c r="E2026" t="s">
        <v>40</v>
      </c>
      <c r="G2026" s="4">
        <v>43946.507337962963</v>
      </c>
      <c r="H2026" s="4">
        <v>43946.507951388889</v>
      </c>
      <c r="I2026" t="s">
        <v>1691</v>
      </c>
      <c r="J2026" s="5">
        <v>53.00000000000000000000000000000000000001</v>
      </c>
      <c r="K2026" t="s">
        <v>38</v>
      </c>
      <c r="M2026">
        <v>58936</v>
      </c>
      <c r="N2026" t="s">
        <v>705</v>
      </c>
      <c r="O2026" t="s">
        <v>706</v>
      </c>
      <c r="P2026" t="s">
        <v>38</v>
      </c>
      <c r="Q2026" t="s">
        <v>236</v>
      </c>
      <c r="R2026">
        <v>12.00000000000000000000000000000000000001</v>
      </c>
      <c r="S2026" t="s">
        <v>45</v>
      </c>
      <c r="T202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6">
        <v>58937</v>
      </c>
      <c r="V2026" t="s">
        <v>38</v>
      </c>
      <c r="W2026" t="s">
        <v>337</v>
      </c>
      <c r="X2026">
        <v>11.00000000000000000000000000000000000002</v>
      </c>
      <c r="Y2026">
        <v>0</v>
      </c>
      <c r="Z2026" t="s">
        <v>46</v>
      </c>
      <c r="AA2026">
        <v>59063</v>
      </c>
      <c r="AB2026" t="s">
        <v>1719</v>
      </c>
      <c r="AC2026" t="s">
        <v>103</v>
      </c>
      <c r="AD2026" t="s">
        <v>38</v>
      </c>
      <c r="AE2026" t="s">
        <v>49</v>
      </c>
      <c r="AF2026" t="s">
        <v>50</v>
      </c>
      <c r="AG2026">
        <v>0</v>
      </c>
      <c r="AH2026">
        <v>0</v>
      </c>
      <c r="AI2026" t="s">
        <v>51</v>
      </c>
      <c r="AJ2026" t="s">
        <v>51</v>
      </c>
      <c r="AK2026" t="s">
        <v>51</v>
      </c>
    </row>
    <row r="2027" spans="1:37" x14ac:dyDescent="0.2">
      <c r="A2027">
        <v>58935</v>
      </c>
      <c r="B2027" t="s">
        <v>37</v>
      </c>
      <c r="C2027" t="s">
        <v>38</v>
      </c>
      <c r="D2027" t="s">
        <v>674</v>
      </c>
      <c r="E2027" t="s">
        <v>40</v>
      </c>
      <c r="G2027" s="4">
        <v>43946.507337962963</v>
      </c>
      <c r="H2027" s="4">
        <v>43946.507951388889</v>
      </c>
      <c r="I2027" t="s">
        <v>1691</v>
      </c>
      <c r="J2027" s="5">
        <v>53.00000000000000000000000000000000000001</v>
      </c>
      <c r="K2027" t="s">
        <v>38</v>
      </c>
      <c r="M2027">
        <v>58936</v>
      </c>
      <c r="N2027" t="s">
        <v>705</v>
      </c>
      <c r="O2027" t="s">
        <v>706</v>
      </c>
      <c r="P2027" t="s">
        <v>38</v>
      </c>
      <c r="Q2027" t="s">
        <v>236</v>
      </c>
      <c r="R2027">
        <v>12.00000000000000000000000000000000000001</v>
      </c>
      <c r="S2027" t="s">
        <v>45</v>
      </c>
      <c r="T202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7">
        <v>58937</v>
      </c>
      <c r="V2027" t="s">
        <v>38</v>
      </c>
      <c r="W2027" t="s">
        <v>337</v>
      </c>
      <c r="X2027">
        <v>11.00000000000000000000000000000000000002</v>
      </c>
      <c r="Y2027">
        <v>0</v>
      </c>
      <c r="Z2027" t="s">
        <v>46</v>
      </c>
      <c r="AA2027">
        <v>59062</v>
      </c>
      <c r="AB2027" t="s">
        <v>1720</v>
      </c>
      <c r="AC2027" t="s">
        <v>103</v>
      </c>
      <c r="AD2027" t="s">
        <v>38</v>
      </c>
      <c r="AE2027" t="s">
        <v>49</v>
      </c>
      <c r="AF2027" t="s">
        <v>50</v>
      </c>
      <c r="AG2027">
        <v>0</v>
      </c>
      <c r="AH2027">
        <v>0</v>
      </c>
      <c r="AI2027" t="s">
        <v>51</v>
      </c>
      <c r="AJ2027" t="s">
        <v>51</v>
      </c>
      <c r="AK2027" t="s">
        <v>51</v>
      </c>
    </row>
    <row r="2028" spans="1:37" x14ac:dyDescent="0.2">
      <c r="A2028">
        <v>58935</v>
      </c>
      <c r="B2028" t="s">
        <v>37</v>
      </c>
      <c r="C2028" t="s">
        <v>38</v>
      </c>
      <c r="D2028" t="s">
        <v>674</v>
      </c>
      <c r="E2028" t="s">
        <v>40</v>
      </c>
      <c r="G2028" s="4">
        <v>43946.507337962963</v>
      </c>
      <c r="H2028" s="4">
        <v>43946.507951388889</v>
      </c>
      <c r="I2028" t="s">
        <v>1691</v>
      </c>
      <c r="J2028" s="5">
        <v>53.00000000000000000000000000000000000001</v>
      </c>
      <c r="K2028" t="s">
        <v>38</v>
      </c>
      <c r="M2028">
        <v>58936</v>
      </c>
      <c r="N2028" t="s">
        <v>705</v>
      </c>
      <c r="O2028" t="s">
        <v>706</v>
      </c>
      <c r="P2028" t="s">
        <v>38</v>
      </c>
      <c r="Q2028" t="s">
        <v>236</v>
      </c>
      <c r="R2028">
        <v>12.00000000000000000000000000000000000001</v>
      </c>
      <c r="S2028" t="s">
        <v>45</v>
      </c>
      <c r="T202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8">
        <v>58937</v>
      </c>
      <c r="V2028" t="s">
        <v>38</v>
      </c>
      <c r="W2028" t="s">
        <v>337</v>
      </c>
      <c r="X2028">
        <v>11.00000000000000000000000000000000000002</v>
      </c>
      <c r="Y2028">
        <v>0</v>
      </c>
      <c r="Z2028" t="s">
        <v>46</v>
      </c>
      <c r="AA2028">
        <v>59061</v>
      </c>
      <c r="AB2028" t="s">
        <v>1721</v>
      </c>
      <c r="AC2028" t="s">
        <v>103</v>
      </c>
      <c r="AD2028" t="s">
        <v>38</v>
      </c>
      <c r="AE2028" t="s">
        <v>49</v>
      </c>
      <c r="AF2028" t="s">
        <v>50</v>
      </c>
      <c r="AG2028">
        <v>0</v>
      </c>
      <c r="AH2028">
        <v>0</v>
      </c>
      <c r="AI2028" t="s">
        <v>51</v>
      </c>
      <c r="AJ2028" t="s">
        <v>51</v>
      </c>
      <c r="AK2028" t="s">
        <v>51</v>
      </c>
    </row>
    <row r="2029" spans="1:37" x14ac:dyDescent="0.2">
      <c r="A2029">
        <v>58935</v>
      </c>
      <c r="B2029" t="s">
        <v>37</v>
      </c>
      <c r="C2029" t="s">
        <v>38</v>
      </c>
      <c r="D2029" t="s">
        <v>674</v>
      </c>
      <c r="E2029" t="s">
        <v>40</v>
      </c>
      <c r="G2029" s="4">
        <v>43946.507337962963</v>
      </c>
      <c r="H2029" s="4">
        <v>43946.507951388889</v>
      </c>
      <c r="I2029" t="s">
        <v>1691</v>
      </c>
      <c r="J2029" s="5">
        <v>53.00000000000000000000000000000000000001</v>
      </c>
      <c r="K2029" t="s">
        <v>38</v>
      </c>
      <c r="M2029">
        <v>58936</v>
      </c>
      <c r="N2029" t="s">
        <v>705</v>
      </c>
      <c r="O2029" t="s">
        <v>706</v>
      </c>
      <c r="P2029" t="s">
        <v>38</v>
      </c>
      <c r="Q2029" t="s">
        <v>236</v>
      </c>
      <c r="R2029">
        <v>12.00000000000000000000000000000000000001</v>
      </c>
      <c r="S2029" t="s">
        <v>45</v>
      </c>
      <c r="T202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29">
        <v>58937</v>
      </c>
      <c r="V2029" t="s">
        <v>38</v>
      </c>
      <c r="W2029" t="s">
        <v>337</v>
      </c>
      <c r="X2029">
        <v>11.00000000000000000000000000000000000002</v>
      </c>
      <c r="Y2029">
        <v>0</v>
      </c>
      <c r="Z2029" t="s">
        <v>46</v>
      </c>
      <c r="AA2029">
        <v>59060</v>
      </c>
      <c r="AB2029" t="s">
        <v>1722</v>
      </c>
      <c r="AC2029" t="s">
        <v>103</v>
      </c>
      <c r="AD2029" t="s">
        <v>38</v>
      </c>
      <c r="AE2029" t="s">
        <v>49</v>
      </c>
      <c r="AF2029" t="s">
        <v>50</v>
      </c>
      <c r="AG2029">
        <v>0</v>
      </c>
      <c r="AH2029">
        <v>0</v>
      </c>
      <c r="AI2029" t="s">
        <v>51</v>
      </c>
      <c r="AJ2029" t="s">
        <v>51</v>
      </c>
      <c r="AK2029" t="s">
        <v>51</v>
      </c>
    </row>
    <row r="2030" spans="1:37" x14ac:dyDescent="0.2">
      <c r="A2030">
        <v>58935</v>
      </c>
      <c r="B2030" t="s">
        <v>37</v>
      </c>
      <c r="C2030" t="s">
        <v>38</v>
      </c>
      <c r="D2030" t="s">
        <v>674</v>
      </c>
      <c r="E2030" t="s">
        <v>40</v>
      </c>
      <c r="G2030" s="4">
        <v>43946.507337962963</v>
      </c>
      <c r="H2030" s="4">
        <v>43946.507951388889</v>
      </c>
      <c r="I2030" t="s">
        <v>1691</v>
      </c>
      <c r="J2030" s="5">
        <v>53.00000000000000000000000000000000000001</v>
      </c>
      <c r="K2030" t="s">
        <v>38</v>
      </c>
      <c r="M2030">
        <v>58936</v>
      </c>
      <c r="N2030" t="s">
        <v>705</v>
      </c>
      <c r="O2030" t="s">
        <v>706</v>
      </c>
      <c r="P2030" t="s">
        <v>38</v>
      </c>
      <c r="Q2030" t="s">
        <v>236</v>
      </c>
      <c r="R2030">
        <v>12.00000000000000000000000000000000000001</v>
      </c>
      <c r="S2030" t="s">
        <v>45</v>
      </c>
      <c r="T203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0">
        <v>58937</v>
      </c>
      <c r="V2030" t="s">
        <v>38</v>
      </c>
      <c r="W2030" t="s">
        <v>337</v>
      </c>
      <c r="X2030">
        <v>11.00000000000000000000000000000000000002</v>
      </c>
      <c r="Y2030">
        <v>0</v>
      </c>
      <c r="Z2030" t="s">
        <v>46</v>
      </c>
      <c r="AA2030">
        <v>59059</v>
      </c>
      <c r="AB2030" t="s">
        <v>1723</v>
      </c>
      <c r="AC2030" t="s">
        <v>103</v>
      </c>
      <c r="AD2030" t="s">
        <v>38</v>
      </c>
      <c r="AE2030" t="s">
        <v>49</v>
      </c>
      <c r="AF2030" t="s">
        <v>50</v>
      </c>
      <c r="AG2030">
        <v>0</v>
      </c>
      <c r="AH2030">
        <v>0</v>
      </c>
      <c r="AI2030" t="s">
        <v>51</v>
      </c>
      <c r="AJ2030" t="s">
        <v>51</v>
      </c>
      <c r="AK2030" t="s">
        <v>51</v>
      </c>
    </row>
    <row r="2031" spans="1:37" x14ac:dyDescent="0.2">
      <c r="A2031">
        <v>58935</v>
      </c>
      <c r="B2031" t="s">
        <v>37</v>
      </c>
      <c r="C2031" t="s">
        <v>38</v>
      </c>
      <c r="D2031" t="s">
        <v>674</v>
      </c>
      <c r="E2031" t="s">
        <v>40</v>
      </c>
      <c r="G2031" s="4">
        <v>43946.507337962963</v>
      </c>
      <c r="H2031" s="4">
        <v>43946.507951388889</v>
      </c>
      <c r="I2031" t="s">
        <v>1691</v>
      </c>
      <c r="J2031" s="5">
        <v>53.00000000000000000000000000000000000001</v>
      </c>
      <c r="K2031" t="s">
        <v>38</v>
      </c>
      <c r="M2031">
        <v>58936</v>
      </c>
      <c r="N2031" t="s">
        <v>705</v>
      </c>
      <c r="O2031" t="s">
        <v>706</v>
      </c>
      <c r="P2031" t="s">
        <v>38</v>
      </c>
      <c r="Q2031" t="s">
        <v>236</v>
      </c>
      <c r="R2031">
        <v>12.00000000000000000000000000000000000001</v>
      </c>
      <c r="S2031" t="s">
        <v>45</v>
      </c>
      <c r="T203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1">
        <v>58937</v>
      </c>
      <c r="V2031" t="s">
        <v>38</v>
      </c>
      <c r="W2031" t="s">
        <v>337</v>
      </c>
      <c r="X2031">
        <v>11.00000000000000000000000000000000000002</v>
      </c>
      <c r="Y2031">
        <v>0</v>
      </c>
      <c r="Z2031" t="s">
        <v>46</v>
      </c>
      <c r="AA2031">
        <v>59058</v>
      </c>
      <c r="AB2031" t="s">
        <v>1724</v>
      </c>
      <c r="AC2031" t="s">
        <v>103</v>
      </c>
      <c r="AD2031" t="s">
        <v>38</v>
      </c>
      <c r="AE2031" t="s">
        <v>49</v>
      </c>
      <c r="AF2031" t="s">
        <v>50</v>
      </c>
      <c r="AG2031">
        <v>0</v>
      </c>
      <c r="AH2031">
        <v>0</v>
      </c>
      <c r="AI2031" t="s">
        <v>51</v>
      </c>
      <c r="AJ2031" t="s">
        <v>51</v>
      </c>
      <c r="AK2031" t="s">
        <v>51</v>
      </c>
    </row>
    <row r="2032" spans="1:37" x14ac:dyDescent="0.2">
      <c r="A2032">
        <v>58935</v>
      </c>
      <c r="B2032" t="s">
        <v>37</v>
      </c>
      <c r="C2032" t="s">
        <v>38</v>
      </c>
      <c r="D2032" t="s">
        <v>674</v>
      </c>
      <c r="E2032" t="s">
        <v>40</v>
      </c>
      <c r="G2032" s="4">
        <v>43946.507337962963</v>
      </c>
      <c r="H2032" s="4">
        <v>43946.507951388889</v>
      </c>
      <c r="I2032" t="s">
        <v>1691</v>
      </c>
      <c r="J2032" s="5">
        <v>53.00000000000000000000000000000000000001</v>
      </c>
      <c r="K2032" t="s">
        <v>38</v>
      </c>
      <c r="M2032">
        <v>58936</v>
      </c>
      <c r="N2032" t="s">
        <v>705</v>
      </c>
      <c r="O2032" t="s">
        <v>706</v>
      </c>
      <c r="P2032" t="s">
        <v>38</v>
      </c>
      <c r="Q2032" t="s">
        <v>236</v>
      </c>
      <c r="R2032">
        <v>12.00000000000000000000000000000000000001</v>
      </c>
      <c r="S2032" t="s">
        <v>45</v>
      </c>
      <c r="T203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2">
        <v>58937</v>
      </c>
      <c r="V2032" t="s">
        <v>38</v>
      </c>
      <c r="W2032" t="s">
        <v>337</v>
      </c>
      <c r="X2032">
        <v>11.00000000000000000000000000000000000002</v>
      </c>
      <c r="Y2032">
        <v>0</v>
      </c>
      <c r="Z2032" t="s">
        <v>46</v>
      </c>
      <c r="AA2032">
        <v>59057</v>
      </c>
      <c r="AB2032" t="s">
        <v>1725</v>
      </c>
      <c r="AC2032" t="s">
        <v>103</v>
      </c>
      <c r="AD2032" t="s">
        <v>38</v>
      </c>
      <c r="AE2032" t="s">
        <v>49</v>
      </c>
      <c r="AF2032" t="s">
        <v>50</v>
      </c>
      <c r="AG2032">
        <v>0</v>
      </c>
      <c r="AH2032">
        <v>0</v>
      </c>
      <c r="AI2032" t="s">
        <v>51</v>
      </c>
      <c r="AJ2032" t="s">
        <v>51</v>
      </c>
      <c r="AK2032" t="s">
        <v>51</v>
      </c>
    </row>
    <row r="2033" spans="1:37" x14ac:dyDescent="0.2">
      <c r="A2033">
        <v>58935</v>
      </c>
      <c r="B2033" t="s">
        <v>37</v>
      </c>
      <c r="C2033" t="s">
        <v>38</v>
      </c>
      <c r="D2033" t="s">
        <v>674</v>
      </c>
      <c r="E2033" t="s">
        <v>40</v>
      </c>
      <c r="G2033" s="4">
        <v>43946.507337962963</v>
      </c>
      <c r="H2033" s="4">
        <v>43946.507951388889</v>
      </c>
      <c r="I2033" t="s">
        <v>1691</v>
      </c>
      <c r="J2033" s="5">
        <v>53.00000000000000000000000000000000000001</v>
      </c>
      <c r="K2033" t="s">
        <v>38</v>
      </c>
      <c r="M2033">
        <v>58936</v>
      </c>
      <c r="N2033" t="s">
        <v>705</v>
      </c>
      <c r="O2033" t="s">
        <v>706</v>
      </c>
      <c r="P2033" t="s">
        <v>38</v>
      </c>
      <c r="Q2033" t="s">
        <v>236</v>
      </c>
      <c r="R2033">
        <v>12.00000000000000000000000000000000000001</v>
      </c>
      <c r="S2033" t="s">
        <v>45</v>
      </c>
      <c r="T203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3">
        <v>58937</v>
      </c>
      <c r="V2033" t="s">
        <v>38</v>
      </c>
      <c r="W2033" t="s">
        <v>337</v>
      </c>
      <c r="X2033">
        <v>11.00000000000000000000000000000000000002</v>
      </c>
      <c r="Y2033">
        <v>0</v>
      </c>
      <c r="Z2033" t="s">
        <v>46</v>
      </c>
      <c r="AA2033">
        <v>59056</v>
      </c>
      <c r="AB2033" t="s">
        <v>1726</v>
      </c>
      <c r="AC2033" t="s">
        <v>103</v>
      </c>
      <c r="AD2033" t="s">
        <v>38</v>
      </c>
      <c r="AE2033" t="s">
        <v>49</v>
      </c>
      <c r="AF2033" t="s">
        <v>50</v>
      </c>
      <c r="AG2033">
        <v>0</v>
      </c>
      <c r="AH2033">
        <v>0</v>
      </c>
      <c r="AI2033" t="s">
        <v>51</v>
      </c>
      <c r="AJ2033" t="s">
        <v>51</v>
      </c>
      <c r="AK2033" t="s">
        <v>51</v>
      </c>
    </row>
    <row r="2034" spans="1:37" x14ac:dyDescent="0.2">
      <c r="A2034">
        <v>58935</v>
      </c>
      <c r="B2034" t="s">
        <v>37</v>
      </c>
      <c r="C2034" t="s">
        <v>38</v>
      </c>
      <c r="D2034" t="s">
        <v>674</v>
      </c>
      <c r="E2034" t="s">
        <v>40</v>
      </c>
      <c r="G2034" s="4">
        <v>43946.507337962963</v>
      </c>
      <c r="H2034" s="4">
        <v>43946.507951388889</v>
      </c>
      <c r="I2034" t="s">
        <v>1691</v>
      </c>
      <c r="J2034" s="5">
        <v>53.00000000000000000000000000000000000001</v>
      </c>
      <c r="K2034" t="s">
        <v>38</v>
      </c>
      <c r="M2034">
        <v>58936</v>
      </c>
      <c r="N2034" t="s">
        <v>705</v>
      </c>
      <c r="O2034" t="s">
        <v>706</v>
      </c>
      <c r="P2034" t="s">
        <v>38</v>
      </c>
      <c r="Q2034" t="s">
        <v>236</v>
      </c>
      <c r="R2034">
        <v>12.00000000000000000000000000000000000001</v>
      </c>
      <c r="S2034" t="s">
        <v>45</v>
      </c>
      <c r="T203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4">
        <v>58937</v>
      </c>
      <c r="V2034" t="s">
        <v>38</v>
      </c>
      <c r="W2034" t="s">
        <v>337</v>
      </c>
      <c r="X2034">
        <v>11.00000000000000000000000000000000000002</v>
      </c>
      <c r="Y2034">
        <v>0</v>
      </c>
      <c r="Z2034" t="s">
        <v>46</v>
      </c>
      <c r="AA2034">
        <v>59055</v>
      </c>
      <c r="AB2034" t="s">
        <v>1727</v>
      </c>
      <c r="AC2034" t="s">
        <v>103</v>
      </c>
      <c r="AD2034" t="s">
        <v>38</v>
      </c>
      <c r="AE2034" t="s">
        <v>49</v>
      </c>
      <c r="AF2034" t="s">
        <v>50</v>
      </c>
      <c r="AG2034">
        <v>0</v>
      </c>
      <c r="AH2034">
        <v>0</v>
      </c>
      <c r="AI2034" t="s">
        <v>51</v>
      </c>
      <c r="AJ2034" t="s">
        <v>51</v>
      </c>
      <c r="AK2034" t="s">
        <v>51</v>
      </c>
    </row>
    <row r="2035" spans="1:37" x14ac:dyDescent="0.2">
      <c r="A2035">
        <v>58935</v>
      </c>
      <c r="B2035" t="s">
        <v>37</v>
      </c>
      <c r="C2035" t="s">
        <v>38</v>
      </c>
      <c r="D2035" t="s">
        <v>674</v>
      </c>
      <c r="E2035" t="s">
        <v>40</v>
      </c>
      <c r="G2035" s="4">
        <v>43946.507337962963</v>
      </c>
      <c r="H2035" s="4">
        <v>43946.507951388889</v>
      </c>
      <c r="I2035" t="s">
        <v>1691</v>
      </c>
      <c r="J2035" s="5">
        <v>53.00000000000000000000000000000000000001</v>
      </c>
      <c r="K2035" t="s">
        <v>38</v>
      </c>
      <c r="M2035">
        <v>58936</v>
      </c>
      <c r="N2035" t="s">
        <v>705</v>
      </c>
      <c r="O2035" t="s">
        <v>706</v>
      </c>
      <c r="P2035" t="s">
        <v>38</v>
      </c>
      <c r="Q2035" t="s">
        <v>236</v>
      </c>
      <c r="R2035">
        <v>12.00000000000000000000000000000000000001</v>
      </c>
      <c r="S2035" t="s">
        <v>45</v>
      </c>
      <c r="T203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5">
        <v>58937</v>
      </c>
      <c r="V2035" t="s">
        <v>38</v>
      </c>
      <c r="W2035" t="s">
        <v>337</v>
      </c>
      <c r="X2035">
        <v>11.00000000000000000000000000000000000002</v>
      </c>
      <c r="Y2035">
        <v>0</v>
      </c>
      <c r="Z2035" t="s">
        <v>46</v>
      </c>
      <c r="AA2035">
        <v>59054</v>
      </c>
      <c r="AB2035" t="s">
        <v>1728</v>
      </c>
      <c r="AC2035" t="s">
        <v>103</v>
      </c>
      <c r="AD2035" t="s">
        <v>38</v>
      </c>
      <c r="AE2035" t="s">
        <v>49</v>
      </c>
      <c r="AF2035" t="s">
        <v>50</v>
      </c>
      <c r="AG2035">
        <v>0</v>
      </c>
      <c r="AH2035">
        <v>0</v>
      </c>
      <c r="AI2035" t="s">
        <v>51</v>
      </c>
      <c r="AJ2035" t="s">
        <v>51</v>
      </c>
      <c r="AK2035" t="s">
        <v>51</v>
      </c>
    </row>
    <row r="2036" spans="1:37" x14ac:dyDescent="0.2">
      <c r="A2036">
        <v>58935</v>
      </c>
      <c r="B2036" t="s">
        <v>37</v>
      </c>
      <c r="C2036" t="s">
        <v>38</v>
      </c>
      <c r="D2036" t="s">
        <v>674</v>
      </c>
      <c r="E2036" t="s">
        <v>40</v>
      </c>
      <c r="G2036" s="4">
        <v>43946.507337962963</v>
      </c>
      <c r="H2036" s="4">
        <v>43946.507951388889</v>
      </c>
      <c r="I2036" t="s">
        <v>1691</v>
      </c>
      <c r="J2036" s="5">
        <v>53.00000000000000000000000000000000000001</v>
      </c>
      <c r="K2036" t="s">
        <v>38</v>
      </c>
      <c r="M2036">
        <v>58936</v>
      </c>
      <c r="N2036" t="s">
        <v>705</v>
      </c>
      <c r="O2036" t="s">
        <v>706</v>
      </c>
      <c r="P2036" t="s">
        <v>38</v>
      </c>
      <c r="Q2036" t="s">
        <v>236</v>
      </c>
      <c r="R2036">
        <v>12.00000000000000000000000000000000000001</v>
      </c>
      <c r="S2036" t="s">
        <v>45</v>
      </c>
      <c r="T203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6">
        <v>58937</v>
      </c>
      <c r="V2036" t="s">
        <v>38</v>
      </c>
      <c r="W2036" t="s">
        <v>337</v>
      </c>
      <c r="X2036">
        <v>11.00000000000000000000000000000000000002</v>
      </c>
      <c r="Y2036">
        <v>0</v>
      </c>
      <c r="Z2036" t="s">
        <v>46</v>
      </c>
      <c r="AA2036">
        <v>59053</v>
      </c>
      <c r="AB2036" t="s">
        <v>1729</v>
      </c>
      <c r="AC2036" t="s">
        <v>103</v>
      </c>
      <c r="AD2036" t="s">
        <v>38</v>
      </c>
      <c r="AE2036" t="s">
        <v>49</v>
      </c>
      <c r="AF2036" t="s">
        <v>50</v>
      </c>
      <c r="AG2036">
        <v>0</v>
      </c>
      <c r="AH2036">
        <v>0</v>
      </c>
      <c r="AI2036" t="s">
        <v>51</v>
      </c>
      <c r="AJ2036" t="s">
        <v>51</v>
      </c>
      <c r="AK2036" t="s">
        <v>51</v>
      </c>
    </row>
    <row r="2037" spans="1:37" x14ac:dyDescent="0.2">
      <c r="A2037">
        <v>58935</v>
      </c>
      <c r="B2037" t="s">
        <v>37</v>
      </c>
      <c r="C2037" t="s">
        <v>38</v>
      </c>
      <c r="D2037" t="s">
        <v>674</v>
      </c>
      <c r="E2037" t="s">
        <v>40</v>
      </c>
      <c r="G2037" s="4">
        <v>43946.507337962963</v>
      </c>
      <c r="H2037" s="4">
        <v>43946.507951388889</v>
      </c>
      <c r="I2037" t="s">
        <v>1691</v>
      </c>
      <c r="J2037" s="5">
        <v>53.00000000000000000000000000000000000001</v>
      </c>
      <c r="K2037" t="s">
        <v>38</v>
      </c>
      <c r="M2037">
        <v>58936</v>
      </c>
      <c r="N2037" t="s">
        <v>705</v>
      </c>
      <c r="O2037" t="s">
        <v>706</v>
      </c>
      <c r="P2037" t="s">
        <v>38</v>
      </c>
      <c r="Q2037" t="s">
        <v>236</v>
      </c>
      <c r="R2037">
        <v>12.00000000000000000000000000000000000001</v>
      </c>
      <c r="S2037" t="s">
        <v>45</v>
      </c>
      <c r="T203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7">
        <v>58937</v>
      </c>
      <c r="V2037" t="s">
        <v>38</v>
      </c>
      <c r="W2037" t="s">
        <v>337</v>
      </c>
      <c r="X2037">
        <v>11.00000000000000000000000000000000000002</v>
      </c>
      <c r="Y2037">
        <v>0</v>
      </c>
      <c r="Z2037" t="s">
        <v>46</v>
      </c>
      <c r="AA2037">
        <v>59052</v>
      </c>
      <c r="AB2037" t="s">
        <v>1730</v>
      </c>
      <c r="AC2037" t="s">
        <v>103</v>
      </c>
      <c r="AD2037" t="s">
        <v>38</v>
      </c>
      <c r="AE2037" t="s">
        <v>49</v>
      </c>
      <c r="AF2037" t="s">
        <v>50</v>
      </c>
      <c r="AG2037">
        <v>0</v>
      </c>
      <c r="AH2037">
        <v>0</v>
      </c>
      <c r="AI2037" t="s">
        <v>51</v>
      </c>
      <c r="AJ2037" t="s">
        <v>51</v>
      </c>
      <c r="AK2037" t="s">
        <v>51</v>
      </c>
    </row>
    <row r="2038" spans="1:37" x14ac:dyDescent="0.2">
      <c r="A2038">
        <v>58935</v>
      </c>
      <c r="B2038" t="s">
        <v>37</v>
      </c>
      <c r="C2038" t="s">
        <v>38</v>
      </c>
      <c r="D2038" t="s">
        <v>674</v>
      </c>
      <c r="E2038" t="s">
        <v>40</v>
      </c>
      <c r="G2038" s="4">
        <v>43946.507337962963</v>
      </c>
      <c r="H2038" s="4">
        <v>43946.507951388889</v>
      </c>
      <c r="I2038" t="s">
        <v>1691</v>
      </c>
      <c r="J2038" s="5">
        <v>53.00000000000000000000000000000000000001</v>
      </c>
      <c r="K2038" t="s">
        <v>38</v>
      </c>
      <c r="M2038">
        <v>58936</v>
      </c>
      <c r="N2038" t="s">
        <v>705</v>
      </c>
      <c r="O2038" t="s">
        <v>706</v>
      </c>
      <c r="P2038" t="s">
        <v>38</v>
      </c>
      <c r="Q2038" t="s">
        <v>236</v>
      </c>
      <c r="R2038">
        <v>12.00000000000000000000000000000000000001</v>
      </c>
      <c r="S2038" t="s">
        <v>45</v>
      </c>
      <c r="T203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8">
        <v>58937</v>
      </c>
      <c r="V2038" t="s">
        <v>38</v>
      </c>
      <c r="W2038" t="s">
        <v>337</v>
      </c>
      <c r="X2038">
        <v>11.00000000000000000000000000000000000002</v>
      </c>
      <c r="Y2038">
        <v>0</v>
      </c>
      <c r="Z2038" t="s">
        <v>46</v>
      </c>
      <c r="AA2038">
        <v>59051</v>
      </c>
      <c r="AB2038" t="s">
        <v>1731</v>
      </c>
      <c r="AC2038" t="s">
        <v>103</v>
      </c>
      <c r="AD2038" t="s">
        <v>38</v>
      </c>
      <c r="AE2038" t="s">
        <v>49</v>
      </c>
      <c r="AF2038" t="s">
        <v>50</v>
      </c>
      <c r="AG2038">
        <v>0</v>
      </c>
      <c r="AH2038">
        <v>0</v>
      </c>
      <c r="AI2038" t="s">
        <v>51</v>
      </c>
      <c r="AJ2038" t="s">
        <v>51</v>
      </c>
      <c r="AK2038" t="s">
        <v>51</v>
      </c>
    </row>
    <row r="2039" spans="1:37" x14ac:dyDescent="0.2">
      <c r="A2039">
        <v>58935</v>
      </c>
      <c r="B2039" t="s">
        <v>37</v>
      </c>
      <c r="C2039" t="s">
        <v>38</v>
      </c>
      <c r="D2039" t="s">
        <v>674</v>
      </c>
      <c r="E2039" t="s">
        <v>40</v>
      </c>
      <c r="G2039" s="4">
        <v>43946.507337962963</v>
      </c>
      <c r="H2039" s="4">
        <v>43946.507951388889</v>
      </c>
      <c r="I2039" t="s">
        <v>1691</v>
      </c>
      <c r="J2039" s="5">
        <v>53.00000000000000000000000000000000000001</v>
      </c>
      <c r="K2039" t="s">
        <v>38</v>
      </c>
      <c r="M2039">
        <v>58936</v>
      </c>
      <c r="N2039" t="s">
        <v>705</v>
      </c>
      <c r="O2039" t="s">
        <v>706</v>
      </c>
      <c r="P2039" t="s">
        <v>38</v>
      </c>
      <c r="Q2039" t="s">
        <v>236</v>
      </c>
      <c r="R2039">
        <v>12.00000000000000000000000000000000000001</v>
      </c>
      <c r="S2039" t="s">
        <v>45</v>
      </c>
      <c r="T203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39">
        <v>58937</v>
      </c>
      <c r="V2039" t="s">
        <v>38</v>
      </c>
      <c r="W2039" t="s">
        <v>337</v>
      </c>
      <c r="X2039">
        <v>11.00000000000000000000000000000000000002</v>
      </c>
      <c r="Y2039">
        <v>0</v>
      </c>
      <c r="Z2039" t="s">
        <v>46</v>
      </c>
      <c r="AA2039">
        <v>59050</v>
      </c>
      <c r="AB2039" t="s">
        <v>1732</v>
      </c>
      <c r="AC2039" t="s">
        <v>103</v>
      </c>
      <c r="AD2039" t="s">
        <v>38</v>
      </c>
      <c r="AE2039" t="s">
        <v>49</v>
      </c>
      <c r="AF2039" t="s">
        <v>50</v>
      </c>
      <c r="AG2039">
        <v>0</v>
      </c>
      <c r="AH2039">
        <v>0</v>
      </c>
      <c r="AI2039" t="s">
        <v>51</v>
      </c>
      <c r="AJ2039" t="s">
        <v>51</v>
      </c>
      <c r="AK2039" t="s">
        <v>51</v>
      </c>
    </row>
    <row r="2040" spans="1:37" x14ac:dyDescent="0.2">
      <c r="A2040">
        <v>58935</v>
      </c>
      <c r="B2040" t="s">
        <v>37</v>
      </c>
      <c r="C2040" t="s">
        <v>38</v>
      </c>
      <c r="D2040" t="s">
        <v>674</v>
      </c>
      <c r="E2040" t="s">
        <v>40</v>
      </c>
      <c r="G2040" s="4">
        <v>43946.507337962963</v>
      </c>
      <c r="H2040" s="4">
        <v>43946.507951388889</v>
      </c>
      <c r="I2040" t="s">
        <v>1691</v>
      </c>
      <c r="J2040" s="5">
        <v>53.00000000000000000000000000000000000001</v>
      </c>
      <c r="K2040" t="s">
        <v>38</v>
      </c>
      <c r="M2040">
        <v>58936</v>
      </c>
      <c r="N2040" t="s">
        <v>705</v>
      </c>
      <c r="O2040" t="s">
        <v>706</v>
      </c>
      <c r="P2040" t="s">
        <v>38</v>
      </c>
      <c r="Q2040" t="s">
        <v>236</v>
      </c>
      <c r="R2040">
        <v>12.00000000000000000000000000000000000001</v>
      </c>
      <c r="S2040" t="s">
        <v>45</v>
      </c>
      <c r="T204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0">
        <v>58937</v>
      </c>
      <c r="V2040" t="s">
        <v>38</v>
      </c>
      <c r="W2040" t="s">
        <v>337</v>
      </c>
      <c r="X2040">
        <v>11.00000000000000000000000000000000000002</v>
      </c>
      <c r="Y2040">
        <v>0</v>
      </c>
      <c r="Z2040" t="s">
        <v>46</v>
      </c>
      <c r="AA2040">
        <v>59049</v>
      </c>
      <c r="AB2040" t="s">
        <v>1733</v>
      </c>
      <c r="AC2040" t="s">
        <v>103</v>
      </c>
      <c r="AD2040" t="s">
        <v>38</v>
      </c>
      <c r="AE2040" t="s">
        <v>49</v>
      </c>
      <c r="AF2040" t="s">
        <v>50</v>
      </c>
      <c r="AG2040">
        <v>0</v>
      </c>
      <c r="AH2040">
        <v>0</v>
      </c>
      <c r="AI2040" t="s">
        <v>51</v>
      </c>
      <c r="AJ2040" t="s">
        <v>51</v>
      </c>
      <c r="AK2040" t="s">
        <v>51</v>
      </c>
    </row>
    <row r="2041" spans="1:37" x14ac:dyDescent="0.2">
      <c r="A2041">
        <v>58935</v>
      </c>
      <c r="B2041" t="s">
        <v>37</v>
      </c>
      <c r="C2041" t="s">
        <v>38</v>
      </c>
      <c r="D2041" t="s">
        <v>674</v>
      </c>
      <c r="E2041" t="s">
        <v>40</v>
      </c>
      <c r="G2041" s="4">
        <v>43946.507337962963</v>
      </c>
      <c r="H2041" s="4">
        <v>43946.507951388889</v>
      </c>
      <c r="I2041" t="s">
        <v>1691</v>
      </c>
      <c r="J2041" s="5">
        <v>53.00000000000000000000000000000000000001</v>
      </c>
      <c r="K2041" t="s">
        <v>38</v>
      </c>
      <c r="M2041">
        <v>58936</v>
      </c>
      <c r="N2041" t="s">
        <v>705</v>
      </c>
      <c r="O2041" t="s">
        <v>706</v>
      </c>
      <c r="P2041" t="s">
        <v>38</v>
      </c>
      <c r="Q2041" t="s">
        <v>236</v>
      </c>
      <c r="R2041">
        <v>12.00000000000000000000000000000000000001</v>
      </c>
      <c r="S2041" t="s">
        <v>45</v>
      </c>
      <c r="T204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1">
        <v>58937</v>
      </c>
      <c r="V2041" t="s">
        <v>38</v>
      </c>
      <c r="W2041" t="s">
        <v>337</v>
      </c>
      <c r="X2041">
        <v>11.00000000000000000000000000000000000002</v>
      </c>
      <c r="Y2041">
        <v>0</v>
      </c>
      <c r="Z2041" t="s">
        <v>46</v>
      </c>
      <c r="AA2041">
        <v>59048</v>
      </c>
      <c r="AB2041" t="s">
        <v>1734</v>
      </c>
      <c r="AC2041" t="s">
        <v>103</v>
      </c>
      <c r="AD2041" t="s">
        <v>38</v>
      </c>
      <c r="AE2041" t="s">
        <v>49</v>
      </c>
      <c r="AF2041" t="s">
        <v>50</v>
      </c>
      <c r="AG2041">
        <v>0</v>
      </c>
      <c r="AH2041">
        <v>0</v>
      </c>
      <c r="AI2041" t="s">
        <v>51</v>
      </c>
      <c r="AJ2041" t="s">
        <v>51</v>
      </c>
      <c r="AK2041" t="s">
        <v>51</v>
      </c>
    </row>
    <row r="2042" spans="1:37" x14ac:dyDescent="0.2">
      <c r="A2042">
        <v>58935</v>
      </c>
      <c r="B2042" t="s">
        <v>37</v>
      </c>
      <c r="C2042" t="s">
        <v>38</v>
      </c>
      <c r="D2042" t="s">
        <v>674</v>
      </c>
      <c r="E2042" t="s">
        <v>40</v>
      </c>
      <c r="G2042" s="4">
        <v>43946.507337962963</v>
      </c>
      <c r="H2042" s="4">
        <v>43946.507951388889</v>
      </c>
      <c r="I2042" t="s">
        <v>1691</v>
      </c>
      <c r="J2042" s="5">
        <v>53.00000000000000000000000000000000000001</v>
      </c>
      <c r="K2042" t="s">
        <v>38</v>
      </c>
      <c r="M2042">
        <v>58936</v>
      </c>
      <c r="N2042" t="s">
        <v>705</v>
      </c>
      <c r="O2042" t="s">
        <v>706</v>
      </c>
      <c r="P2042" t="s">
        <v>38</v>
      </c>
      <c r="Q2042" t="s">
        <v>236</v>
      </c>
      <c r="R2042">
        <v>12.00000000000000000000000000000000000001</v>
      </c>
      <c r="S2042" t="s">
        <v>45</v>
      </c>
      <c r="T204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2">
        <v>58937</v>
      </c>
      <c r="V2042" t="s">
        <v>38</v>
      </c>
      <c r="W2042" t="s">
        <v>337</v>
      </c>
      <c r="X2042">
        <v>11.00000000000000000000000000000000000002</v>
      </c>
      <c r="Y2042">
        <v>0</v>
      </c>
      <c r="Z2042" t="s">
        <v>46</v>
      </c>
      <c r="AA2042">
        <v>59047</v>
      </c>
      <c r="AB2042" t="s">
        <v>1735</v>
      </c>
      <c r="AC2042" t="s">
        <v>103</v>
      </c>
      <c r="AD2042" t="s">
        <v>38</v>
      </c>
      <c r="AE2042" t="s">
        <v>49</v>
      </c>
      <c r="AF2042" t="s">
        <v>50</v>
      </c>
      <c r="AG2042">
        <v>0</v>
      </c>
      <c r="AH2042">
        <v>0</v>
      </c>
      <c r="AI2042" t="s">
        <v>51</v>
      </c>
      <c r="AJ2042" t="s">
        <v>51</v>
      </c>
      <c r="AK2042" t="s">
        <v>51</v>
      </c>
    </row>
    <row r="2043" spans="1:37" x14ac:dyDescent="0.2">
      <c r="A2043">
        <v>58935</v>
      </c>
      <c r="B2043" t="s">
        <v>37</v>
      </c>
      <c r="C2043" t="s">
        <v>38</v>
      </c>
      <c r="D2043" t="s">
        <v>674</v>
      </c>
      <c r="E2043" t="s">
        <v>40</v>
      </c>
      <c r="G2043" s="4">
        <v>43946.507337962963</v>
      </c>
      <c r="H2043" s="4">
        <v>43946.507951388889</v>
      </c>
      <c r="I2043" t="s">
        <v>1691</v>
      </c>
      <c r="J2043" s="5">
        <v>53.00000000000000000000000000000000000001</v>
      </c>
      <c r="K2043" t="s">
        <v>38</v>
      </c>
      <c r="M2043">
        <v>58936</v>
      </c>
      <c r="N2043" t="s">
        <v>705</v>
      </c>
      <c r="O2043" t="s">
        <v>706</v>
      </c>
      <c r="P2043" t="s">
        <v>38</v>
      </c>
      <c r="Q2043" t="s">
        <v>236</v>
      </c>
      <c r="R2043">
        <v>12.00000000000000000000000000000000000001</v>
      </c>
      <c r="S2043" t="s">
        <v>45</v>
      </c>
      <c r="T204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3">
        <v>58937</v>
      </c>
      <c r="V2043" t="s">
        <v>38</v>
      </c>
      <c r="W2043" t="s">
        <v>337</v>
      </c>
      <c r="X2043">
        <v>11.00000000000000000000000000000000000002</v>
      </c>
      <c r="Y2043">
        <v>0</v>
      </c>
      <c r="Z2043" t="s">
        <v>46</v>
      </c>
      <c r="AA2043">
        <v>59046</v>
      </c>
      <c r="AB2043" t="s">
        <v>1736</v>
      </c>
      <c r="AC2043" t="s">
        <v>103</v>
      </c>
      <c r="AD2043" t="s">
        <v>38</v>
      </c>
      <c r="AE2043" t="s">
        <v>49</v>
      </c>
      <c r="AF2043" t="s">
        <v>50</v>
      </c>
      <c r="AG2043">
        <v>0</v>
      </c>
      <c r="AH2043">
        <v>0</v>
      </c>
      <c r="AI2043" t="s">
        <v>51</v>
      </c>
      <c r="AJ2043" t="s">
        <v>51</v>
      </c>
      <c r="AK2043" t="s">
        <v>51</v>
      </c>
    </row>
    <row r="2044" spans="1:37" x14ac:dyDescent="0.2">
      <c r="A2044">
        <v>58935</v>
      </c>
      <c r="B2044" t="s">
        <v>37</v>
      </c>
      <c r="C2044" t="s">
        <v>38</v>
      </c>
      <c r="D2044" t="s">
        <v>674</v>
      </c>
      <c r="E2044" t="s">
        <v>40</v>
      </c>
      <c r="G2044" s="4">
        <v>43946.507337962963</v>
      </c>
      <c r="H2044" s="4">
        <v>43946.507951388889</v>
      </c>
      <c r="I2044" t="s">
        <v>1691</v>
      </c>
      <c r="J2044" s="5">
        <v>53.00000000000000000000000000000000000001</v>
      </c>
      <c r="K2044" t="s">
        <v>38</v>
      </c>
      <c r="M2044">
        <v>58936</v>
      </c>
      <c r="N2044" t="s">
        <v>705</v>
      </c>
      <c r="O2044" t="s">
        <v>706</v>
      </c>
      <c r="P2044" t="s">
        <v>38</v>
      </c>
      <c r="Q2044" t="s">
        <v>236</v>
      </c>
      <c r="R2044">
        <v>12.00000000000000000000000000000000000001</v>
      </c>
      <c r="S2044" t="s">
        <v>45</v>
      </c>
      <c r="T204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4">
        <v>58937</v>
      </c>
      <c r="V2044" t="s">
        <v>38</v>
      </c>
      <c r="W2044" t="s">
        <v>337</v>
      </c>
      <c r="X2044">
        <v>11.00000000000000000000000000000000000002</v>
      </c>
      <c r="Y2044">
        <v>0</v>
      </c>
      <c r="Z2044" t="s">
        <v>46</v>
      </c>
      <c r="AA2044">
        <v>59045</v>
      </c>
      <c r="AB2044" t="s">
        <v>1737</v>
      </c>
      <c r="AC2044" t="s">
        <v>103</v>
      </c>
      <c r="AD2044" t="s">
        <v>38</v>
      </c>
      <c r="AE2044" t="s">
        <v>49</v>
      </c>
      <c r="AF2044" t="s">
        <v>50</v>
      </c>
      <c r="AG2044">
        <v>0</v>
      </c>
      <c r="AH2044">
        <v>0</v>
      </c>
      <c r="AI2044" t="s">
        <v>51</v>
      </c>
      <c r="AJ2044" t="s">
        <v>51</v>
      </c>
      <c r="AK2044" t="s">
        <v>51</v>
      </c>
    </row>
    <row r="2045" spans="1:37" x14ac:dyDescent="0.2">
      <c r="A2045">
        <v>58935</v>
      </c>
      <c r="B2045" t="s">
        <v>37</v>
      </c>
      <c r="C2045" t="s">
        <v>38</v>
      </c>
      <c r="D2045" t="s">
        <v>674</v>
      </c>
      <c r="E2045" t="s">
        <v>40</v>
      </c>
      <c r="G2045" s="4">
        <v>43946.507337962963</v>
      </c>
      <c r="H2045" s="4">
        <v>43946.507951388889</v>
      </c>
      <c r="I2045" t="s">
        <v>1691</v>
      </c>
      <c r="J2045" s="5">
        <v>53.00000000000000000000000000000000000001</v>
      </c>
      <c r="K2045" t="s">
        <v>38</v>
      </c>
      <c r="M2045">
        <v>58936</v>
      </c>
      <c r="N2045" t="s">
        <v>705</v>
      </c>
      <c r="O2045" t="s">
        <v>706</v>
      </c>
      <c r="P2045" t="s">
        <v>38</v>
      </c>
      <c r="Q2045" t="s">
        <v>236</v>
      </c>
      <c r="R2045">
        <v>12.00000000000000000000000000000000000001</v>
      </c>
      <c r="S2045" t="s">
        <v>45</v>
      </c>
      <c r="T204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5">
        <v>58937</v>
      </c>
      <c r="V2045" t="s">
        <v>38</v>
      </c>
      <c r="W2045" t="s">
        <v>337</v>
      </c>
      <c r="X2045">
        <v>11.00000000000000000000000000000000000002</v>
      </c>
      <c r="Y2045">
        <v>0</v>
      </c>
      <c r="Z2045" t="s">
        <v>46</v>
      </c>
      <c r="AA2045">
        <v>59044</v>
      </c>
      <c r="AB2045" t="s">
        <v>1738</v>
      </c>
      <c r="AC2045" t="s">
        <v>103</v>
      </c>
      <c r="AD2045" t="s">
        <v>38</v>
      </c>
      <c r="AE2045" t="s">
        <v>49</v>
      </c>
      <c r="AF2045" t="s">
        <v>50</v>
      </c>
      <c r="AG2045">
        <v>0</v>
      </c>
      <c r="AH2045">
        <v>0</v>
      </c>
      <c r="AI2045" t="s">
        <v>51</v>
      </c>
      <c r="AJ2045" t="s">
        <v>51</v>
      </c>
      <c r="AK2045" t="s">
        <v>51</v>
      </c>
    </row>
    <row r="2046" spans="1:37" x14ac:dyDescent="0.2">
      <c r="A2046">
        <v>58935</v>
      </c>
      <c r="B2046" t="s">
        <v>37</v>
      </c>
      <c r="C2046" t="s">
        <v>38</v>
      </c>
      <c r="D2046" t="s">
        <v>674</v>
      </c>
      <c r="E2046" t="s">
        <v>40</v>
      </c>
      <c r="G2046" s="4">
        <v>43946.507337962963</v>
      </c>
      <c r="H2046" s="4">
        <v>43946.507951388889</v>
      </c>
      <c r="I2046" t="s">
        <v>1691</v>
      </c>
      <c r="J2046" s="5">
        <v>53.00000000000000000000000000000000000001</v>
      </c>
      <c r="K2046" t="s">
        <v>38</v>
      </c>
      <c r="M2046">
        <v>58936</v>
      </c>
      <c r="N2046" t="s">
        <v>705</v>
      </c>
      <c r="O2046" t="s">
        <v>706</v>
      </c>
      <c r="P2046" t="s">
        <v>38</v>
      </c>
      <c r="Q2046" t="s">
        <v>236</v>
      </c>
      <c r="R2046">
        <v>12.00000000000000000000000000000000000001</v>
      </c>
      <c r="S2046" t="s">
        <v>45</v>
      </c>
      <c r="T204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6">
        <v>58937</v>
      </c>
      <c r="V2046" t="s">
        <v>38</v>
      </c>
      <c r="W2046" t="s">
        <v>337</v>
      </c>
      <c r="X2046">
        <v>11.00000000000000000000000000000000000002</v>
      </c>
      <c r="Y2046">
        <v>0</v>
      </c>
      <c r="Z2046" t="s">
        <v>46</v>
      </c>
      <c r="AA2046">
        <v>59043</v>
      </c>
      <c r="AB2046" t="s">
        <v>1739</v>
      </c>
      <c r="AC2046" t="s">
        <v>103</v>
      </c>
      <c r="AD2046" t="s">
        <v>38</v>
      </c>
      <c r="AE2046" t="s">
        <v>49</v>
      </c>
      <c r="AF2046" t="s">
        <v>50</v>
      </c>
      <c r="AG2046">
        <v>0</v>
      </c>
      <c r="AH2046">
        <v>0</v>
      </c>
      <c r="AI2046" t="s">
        <v>51</v>
      </c>
      <c r="AJ2046" t="s">
        <v>51</v>
      </c>
      <c r="AK2046" t="s">
        <v>51</v>
      </c>
    </row>
    <row r="2047" spans="1:37" x14ac:dyDescent="0.2">
      <c r="A2047">
        <v>58935</v>
      </c>
      <c r="B2047" t="s">
        <v>37</v>
      </c>
      <c r="C2047" t="s">
        <v>38</v>
      </c>
      <c r="D2047" t="s">
        <v>674</v>
      </c>
      <c r="E2047" t="s">
        <v>40</v>
      </c>
      <c r="G2047" s="4">
        <v>43946.507337962963</v>
      </c>
      <c r="H2047" s="4">
        <v>43946.507951388889</v>
      </c>
      <c r="I2047" t="s">
        <v>1691</v>
      </c>
      <c r="J2047" s="5">
        <v>53.00000000000000000000000000000000000001</v>
      </c>
      <c r="K2047" t="s">
        <v>38</v>
      </c>
      <c r="M2047">
        <v>58936</v>
      </c>
      <c r="N2047" t="s">
        <v>705</v>
      </c>
      <c r="O2047" t="s">
        <v>706</v>
      </c>
      <c r="P2047" t="s">
        <v>38</v>
      </c>
      <c r="Q2047" t="s">
        <v>236</v>
      </c>
      <c r="R2047">
        <v>12.00000000000000000000000000000000000001</v>
      </c>
      <c r="S2047" t="s">
        <v>45</v>
      </c>
      <c r="T204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7">
        <v>58937</v>
      </c>
      <c r="V2047" t="s">
        <v>38</v>
      </c>
      <c r="W2047" t="s">
        <v>337</v>
      </c>
      <c r="X2047">
        <v>11.00000000000000000000000000000000000002</v>
      </c>
      <c r="Y2047">
        <v>0</v>
      </c>
      <c r="Z2047" t="s">
        <v>46</v>
      </c>
      <c r="AA2047">
        <v>59042</v>
      </c>
      <c r="AB2047" t="s">
        <v>1740</v>
      </c>
      <c r="AC2047" t="s">
        <v>103</v>
      </c>
      <c r="AD2047" t="s">
        <v>38</v>
      </c>
      <c r="AE2047" t="s">
        <v>49</v>
      </c>
      <c r="AF2047" t="s">
        <v>50</v>
      </c>
      <c r="AG2047">
        <v>0</v>
      </c>
      <c r="AH2047">
        <v>0</v>
      </c>
      <c r="AI2047" t="s">
        <v>51</v>
      </c>
      <c r="AJ2047" t="s">
        <v>51</v>
      </c>
      <c r="AK2047" t="s">
        <v>51</v>
      </c>
    </row>
    <row r="2048" spans="1:37" x14ac:dyDescent="0.2">
      <c r="A2048">
        <v>58935</v>
      </c>
      <c r="B2048" t="s">
        <v>37</v>
      </c>
      <c r="C2048" t="s">
        <v>38</v>
      </c>
      <c r="D2048" t="s">
        <v>674</v>
      </c>
      <c r="E2048" t="s">
        <v>40</v>
      </c>
      <c r="G2048" s="4">
        <v>43946.507337962963</v>
      </c>
      <c r="H2048" s="4">
        <v>43946.507951388889</v>
      </c>
      <c r="I2048" t="s">
        <v>1691</v>
      </c>
      <c r="J2048" s="5">
        <v>53.00000000000000000000000000000000000001</v>
      </c>
      <c r="K2048" t="s">
        <v>38</v>
      </c>
      <c r="M2048">
        <v>58936</v>
      </c>
      <c r="N2048" t="s">
        <v>705</v>
      </c>
      <c r="O2048" t="s">
        <v>706</v>
      </c>
      <c r="P2048" t="s">
        <v>38</v>
      </c>
      <c r="Q2048" t="s">
        <v>236</v>
      </c>
      <c r="R2048">
        <v>12.00000000000000000000000000000000000001</v>
      </c>
      <c r="S2048" t="s">
        <v>45</v>
      </c>
      <c r="T204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8">
        <v>58937</v>
      </c>
      <c r="V2048" t="s">
        <v>38</v>
      </c>
      <c r="W2048" t="s">
        <v>337</v>
      </c>
      <c r="X2048">
        <v>11.00000000000000000000000000000000000002</v>
      </c>
      <c r="Y2048">
        <v>0</v>
      </c>
      <c r="Z2048" t="s">
        <v>46</v>
      </c>
      <c r="AA2048">
        <v>59041</v>
      </c>
      <c r="AB2048" t="s">
        <v>1741</v>
      </c>
      <c r="AC2048" t="s">
        <v>103</v>
      </c>
      <c r="AD2048" t="s">
        <v>38</v>
      </c>
      <c r="AE2048" t="s">
        <v>49</v>
      </c>
      <c r="AF2048" t="s">
        <v>50</v>
      </c>
      <c r="AG2048">
        <v>0</v>
      </c>
      <c r="AH2048">
        <v>0</v>
      </c>
      <c r="AI2048" t="s">
        <v>51</v>
      </c>
      <c r="AJ2048" t="s">
        <v>51</v>
      </c>
      <c r="AK2048" t="s">
        <v>51</v>
      </c>
    </row>
    <row r="2049" spans="1:37" x14ac:dyDescent="0.2">
      <c r="A2049">
        <v>58935</v>
      </c>
      <c r="B2049" t="s">
        <v>37</v>
      </c>
      <c r="C2049" t="s">
        <v>38</v>
      </c>
      <c r="D2049" t="s">
        <v>674</v>
      </c>
      <c r="E2049" t="s">
        <v>40</v>
      </c>
      <c r="G2049" s="4">
        <v>43946.507337962963</v>
      </c>
      <c r="H2049" s="4">
        <v>43946.507951388889</v>
      </c>
      <c r="I2049" t="s">
        <v>1691</v>
      </c>
      <c r="J2049" s="5">
        <v>53.00000000000000000000000000000000000001</v>
      </c>
      <c r="K2049" t="s">
        <v>38</v>
      </c>
      <c r="M2049">
        <v>58936</v>
      </c>
      <c r="N2049" t="s">
        <v>705</v>
      </c>
      <c r="O2049" t="s">
        <v>706</v>
      </c>
      <c r="P2049" t="s">
        <v>38</v>
      </c>
      <c r="Q2049" t="s">
        <v>236</v>
      </c>
      <c r="R2049">
        <v>12.00000000000000000000000000000000000001</v>
      </c>
      <c r="S2049" t="s">
        <v>45</v>
      </c>
      <c r="T204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49">
        <v>58937</v>
      </c>
      <c r="V2049" t="s">
        <v>38</v>
      </c>
      <c r="W2049" t="s">
        <v>337</v>
      </c>
      <c r="X2049">
        <v>11.00000000000000000000000000000000000002</v>
      </c>
      <c r="Y2049">
        <v>0</v>
      </c>
      <c r="Z2049" t="s">
        <v>46</v>
      </c>
      <c r="AA2049">
        <v>59040</v>
      </c>
      <c r="AB2049" t="s">
        <v>1742</v>
      </c>
      <c r="AC2049" t="s">
        <v>103</v>
      </c>
      <c r="AD2049" t="s">
        <v>38</v>
      </c>
      <c r="AE2049" t="s">
        <v>49</v>
      </c>
      <c r="AF2049" t="s">
        <v>50</v>
      </c>
      <c r="AG2049">
        <v>0</v>
      </c>
      <c r="AH2049">
        <v>0</v>
      </c>
      <c r="AI2049" t="s">
        <v>51</v>
      </c>
      <c r="AJ2049" t="s">
        <v>51</v>
      </c>
      <c r="AK2049" t="s">
        <v>51</v>
      </c>
    </row>
    <row r="2050" spans="1:37" x14ac:dyDescent="0.2">
      <c r="A2050">
        <v>58935</v>
      </c>
      <c r="B2050" t="s">
        <v>37</v>
      </c>
      <c r="C2050" t="s">
        <v>38</v>
      </c>
      <c r="D2050" t="s">
        <v>674</v>
      </c>
      <c r="E2050" t="s">
        <v>40</v>
      </c>
      <c r="G2050" s="4">
        <v>43946.507337962963</v>
      </c>
      <c r="H2050" s="4">
        <v>43946.507951388889</v>
      </c>
      <c r="I2050" t="s">
        <v>1691</v>
      </c>
      <c r="J2050" s="5">
        <v>53.00000000000000000000000000000000000001</v>
      </c>
      <c r="K2050" t="s">
        <v>38</v>
      </c>
      <c r="M2050">
        <v>58936</v>
      </c>
      <c r="N2050" t="s">
        <v>705</v>
      </c>
      <c r="O2050" t="s">
        <v>706</v>
      </c>
      <c r="P2050" t="s">
        <v>38</v>
      </c>
      <c r="Q2050" t="s">
        <v>236</v>
      </c>
      <c r="R2050">
        <v>12.00000000000000000000000000000000000001</v>
      </c>
      <c r="S2050" t="s">
        <v>45</v>
      </c>
      <c r="T205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0">
        <v>58937</v>
      </c>
      <c r="V2050" t="s">
        <v>38</v>
      </c>
      <c r="W2050" t="s">
        <v>337</v>
      </c>
      <c r="X2050">
        <v>11.00000000000000000000000000000000000002</v>
      </c>
      <c r="Y2050">
        <v>0</v>
      </c>
      <c r="Z2050" t="s">
        <v>46</v>
      </c>
      <c r="AA2050">
        <v>59039</v>
      </c>
      <c r="AB2050" t="s">
        <v>1743</v>
      </c>
      <c r="AC2050" t="s">
        <v>103</v>
      </c>
      <c r="AD2050" t="s">
        <v>38</v>
      </c>
      <c r="AE2050" t="s">
        <v>49</v>
      </c>
      <c r="AF2050" t="s">
        <v>50</v>
      </c>
      <c r="AG2050">
        <v>0</v>
      </c>
      <c r="AH2050">
        <v>0</v>
      </c>
      <c r="AI2050" t="s">
        <v>51</v>
      </c>
      <c r="AJ2050" t="s">
        <v>51</v>
      </c>
      <c r="AK2050" t="s">
        <v>51</v>
      </c>
    </row>
    <row r="2051" spans="1:37" x14ac:dyDescent="0.2">
      <c r="A2051">
        <v>58935</v>
      </c>
      <c r="B2051" t="s">
        <v>37</v>
      </c>
      <c r="C2051" t="s">
        <v>38</v>
      </c>
      <c r="D2051" t="s">
        <v>674</v>
      </c>
      <c r="E2051" t="s">
        <v>40</v>
      </c>
      <c r="G2051" s="4">
        <v>43946.507337962963</v>
      </c>
      <c r="H2051" s="4">
        <v>43946.507951388889</v>
      </c>
      <c r="I2051" t="s">
        <v>1691</v>
      </c>
      <c r="J2051" s="5">
        <v>53.00000000000000000000000000000000000001</v>
      </c>
      <c r="K2051" t="s">
        <v>38</v>
      </c>
      <c r="M2051">
        <v>58936</v>
      </c>
      <c r="N2051" t="s">
        <v>705</v>
      </c>
      <c r="O2051" t="s">
        <v>706</v>
      </c>
      <c r="P2051" t="s">
        <v>38</v>
      </c>
      <c r="Q2051" t="s">
        <v>236</v>
      </c>
      <c r="R2051">
        <v>12.00000000000000000000000000000000000001</v>
      </c>
      <c r="S2051" t="s">
        <v>45</v>
      </c>
      <c r="T205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1">
        <v>58937</v>
      </c>
      <c r="V2051" t="s">
        <v>38</v>
      </c>
      <c r="W2051" t="s">
        <v>337</v>
      </c>
      <c r="X2051">
        <v>11.00000000000000000000000000000000000002</v>
      </c>
      <c r="Y2051">
        <v>0</v>
      </c>
      <c r="Z2051" t="s">
        <v>46</v>
      </c>
      <c r="AA2051">
        <v>59038</v>
      </c>
      <c r="AB2051" t="s">
        <v>1744</v>
      </c>
      <c r="AC2051" t="s">
        <v>103</v>
      </c>
      <c r="AD2051" t="s">
        <v>38</v>
      </c>
      <c r="AE2051" t="s">
        <v>49</v>
      </c>
      <c r="AF2051" t="s">
        <v>50</v>
      </c>
      <c r="AG2051">
        <v>0</v>
      </c>
      <c r="AH2051">
        <v>0</v>
      </c>
      <c r="AI2051" t="s">
        <v>51</v>
      </c>
      <c r="AJ2051" t="s">
        <v>51</v>
      </c>
      <c r="AK2051" t="s">
        <v>51</v>
      </c>
    </row>
    <row r="2052" spans="1:37" x14ac:dyDescent="0.2">
      <c r="A2052">
        <v>58935</v>
      </c>
      <c r="B2052" t="s">
        <v>37</v>
      </c>
      <c r="C2052" t="s">
        <v>38</v>
      </c>
      <c r="D2052" t="s">
        <v>674</v>
      </c>
      <c r="E2052" t="s">
        <v>40</v>
      </c>
      <c r="G2052" s="4">
        <v>43946.507337962963</v>
      </c>
      <c r="H2052" s="4">
        <v>43946.507951388889</v>
      </c>
      <c r="I2052" t="s">
        <v>1691</v>
      </c>
      <c r="J2052" s="5">
        <v>53.00000000000000000000000000000000000001</v>
      </c>
      <c r="K2052" t="s">
        <v>38</v>
      </c>
      <c r="M2052">
        <v>58936</v>
      </c>
      <c r="N2052" t="s">
        <v>705</v>
      </c>
      <c r="O2052" t="s">
        <v>706</v>
      </c>
      <c r="P2052" t="s">
        <v>38</v>
      </c>
      <c r="Q2052" t="s">
        <v>236</v>
      </c>
      <c r="R2052">
        <v>12.00000000000000000000000000000000000001</v>
      </c>
      <c r="S2052" t="s">
        <v>45</v>
      </c>
      <c r="T205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2">
        <v>58937</v>
      </c>
      <c r="V2052" t="s">
        <v>38</v>
      </c>
      <c r="W2052" t="s">
        <v>337</v>
      </c>
      <c r="X2052">
        <v>11.00000000000000000000000000000000000002</v>
      </c>
      <c r="Y2052">
        <v>0</v>
      </c>
      <c r="Z2052" t="s">
        <v>46</v>
      </c>
      <c r="AA2052">
        <v>59037</v>
      </c>
      <c r="AB2052" t="s">
        <v>1745</v>
      </c>
      <c r="AC2052" t="s">
        <v>103</v>
      </c>
      <c r="AD2052" t="s">
        <v>38</v>
      </c>
      <c r="AE2052" t="s">
        <v>49</v>
      </c>
      <c r="AF2052" t="s">
        <v>50</v>
      </c>
      <c r="AG2052">
        <v>0</v>
      </c>
      <c r="AH2052">
        <v>0</v>
      </c>
      <c r="AI2052" t="s">
        <v>51</v>
      </c>
      <c r="AJ2052" t="s">
        <v>51</v>
      </c>
      <c r="AK2052" t="s">
        <v>51</v>
      </c>
    </row>
    <row r="2053" spans="1:37" x14ac:dyDescent="0.2">
      <c r="A2053">
        <v>58935</v>
      </c>
      <c r="B2053" t="s">
        <v>37</v>
      </c>
      <c r="C2053" t="s">
        <v>38</v>
      </c>
      <c r="D2053" t="s">
        <v>674</v>
      </c>
      <c r="E2053" t="s">
        <v>40</v>
      </c>
      <c r="G2053" s="4">
        <v>43946.507337962963</v>
      </c>
      <c r="H2053" s="4">
        <v>43946.507951388889</v>
      </c>
      <c r="I2053" t="s">
        <v>1691</v>
      </c>
      <c r="J2053" s="5">
        <v>53.00000000000000000000000000000000000001</v>
      </c>
      <c r="K2053" t="s">
        <v>38</v>
      </c>
      <c r="M2053">
        <v>58936</v>
      </c>
      <c r="N2053" t="s">
        <v>705</v>
      </c>
      <c r="O2053" t="s">
        <v>706</v>
      </c>
      <c r="P2053" t="s">
        <v>38</v>
      </c>
      <c r="Q2053" t="s">
        <v>236</v>
      </c>
      <c r="R2053">
        <v>12.00000000000000000000000000000000000001</v>
      </c>
      <c r="S2053" t="s">
        <v>45</v>
      </c>
      <c r="T205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3">
        <v>58937</v>
      </c>
      <c r="V2053" t="s">
        <v>38</v>
      </c>
      <c r="W2053" t="s">
        <v>337</v>
      </c>
      <c r="X2053">
        <v>11.00000000000000000000000000000000000002</v>
      </c>
      <c r="Y2053">
        <v>0</v>
      </c>
      <c r="Z2053" t="s">
        <v>46</v>
      </c>
      <c r="AA2053">
        <v>59036</v>
      </c>
      <c r="AB2053" t="s">
        <v>1746</v>
      </c>
      <c r="AC2053" t="s">
        <v>103</v>
      </c>
      <c r="AD2053" t="s">
        <v>38</v>
      </c>
      <c r="AE2053" t="s">
        <v>49</v>
      </c>
      <c r="AF2053" t="s">
        <v>50</v>
      </c>
      <c r="AG2053">
        <v>0</v>
      </c>
      <c r="AH2053">
        <v>0</v>
      </c>
      <c r="AI2053" t="s">
        <v>51</v>
      </c>
      <c r="AJ2053" t="s">
        <v>51</v>
      </c>
      <c r="AK2053" t="s">
        <v>51</v>
      </c>
    </row>
    <row r="2054" spans="1:37" x14ac:dyDescent="0.2">
      <c r="A2054">
        <v>58935</v>
      </c>
      <c r="B2054" t="s">
        <v>37</v>
      </c>
      <c r="C2054" t="s">
        <v>38</v>
      </c>
      <c r="D2054" t="s">
        <v>674</v>
      </c>
      <c r="E2054" t="s">
        <v>40</v>
      </c>
      <c r="G2054" s="4">
        <v>43946.507337962963</v>
      </c>
      <c r="H2054" s="4">
        <v>43946.507951388889</v>
      </c>
      <c r="I2054" t="s">
        <v>1691</v>
      </c>
      <c r="J2054" s="5">
        <v>53.00000000000000000000000000000000000001</v>
      </c>
      <c r="K2054" t="s">
        <v>38</v>
      </c>
      <c r="M2054">
        <v>58936</v>
      </c>
      <c r="N2054" t="s">
        <v>705</v>
      </c>
      <c r="O2054" t="s">
        <v>706</v>
      </c>
      <c r="P2054" t="s">
        <v>38</v>
      </c>
      <c r="Q2054" t="s">
        <v>236</v>
      </c>
      <c r="R2054">
        <v>12.00000000000000000000000000000000000001</v>
      </c>
      <c r="S2054" t="s">
        <v>45</v>
      </c>
      <c r="T205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4">
        <v>58937</v>
      </c>
      <c r="V2054" t="s">
        <v>38</v>
      </c>
      <c r="W2054" t="s">
        <v>337</v>
      </c>
      <c r="X2054">
        <v>11.00000000000000000000000000000000000002</v>
      </c>
      <c r="Y2054">
        <v>0</v>
      </c>
      <c r="Z2054" t="s">
        <v>46</v>
      </c>
      <c r="AA2054">
        <v>59035</v>
      </c>
      <c r="AB2054" t="s">
        <v>1747</v>
      </c>
      <c r="AC2054" t="s">
        <v>103</v>
      </c>
      <c r="AD2054" t="s">
        <v>38</v>
      </c>
      <c r="AE2054" t="s">
        <v>49</v>
      </c>
      <c r="AF2054" t="s">
        <v>50</v>
      </c>
      <c r="AG2054">
        <v>0</v>
      </c>
      <c r="AH2054">
        <v>0</v>
      </c>
      <c r="AI2054" t="s">
        <v>51</v>
      </c>
      <c r="AJ2054" t="s">
        <v>51</v>
      </c>
      <c r="AK2054" t="s">
        <v>51</v>
      </c>
    </row>
    <row r="2055" spans="1:37" x14ac:dyDescent="0.2">
      <c r="A2055">
        <v>58935</v>
      </c>
      <c r="B2055" t="s">
        <v>37</v>
      </c>
      <c r="C2055" t="s">
        <v>38</v>
      </c>
      <c r="D2055" t="s">
        <v>674</v>
      </c>
      <c r="E2055" t="s">
        <v>40</v>
      </c>
      <c r="G2055" s="4">
        <v>43946.507337962963</v>
      </c>
      <c r="H2055" s="4">
        <v>43946.507951388889</v>
      </c>
      <c r="I2055" t="s">
        <v>1691</v>
      </c>
      <c r="J2055" s="5">
        <v>53.00000000000000000000000000000000000001</v>
      </c>
      <c r="K2055" t="s">
        <v>38</v>
      </c>
      <c r="M2055">
        <v>58936</v>
      </c>
      <c r="N2055" t="s">
        <v>705</v>
      </c>
      <c r="O2055" t="s">
        <v>706</v>
      </c>
      <c r="P2055" t="s">
        <v>38</v>
      </c>
      <c r="Q2055" t="s">
        <v>236</v>
      </c>
      <c r="R2055">
        <v>12.00000000000000000000000000000000000001</v>
      </c>
      <c r="S2055" t="s">
        <v>45</v>
      </c>
      <c r="T205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5">
        <v>58937</v>
      </c>
      <c r="V2055" t="s">
        <v>38</v>
      </c>
      <c r="W2055" t="s">
        <v>337</v>
      </c>
      <c r="X2055">
        <v>11.00000000000000000000000000000000000002</v>
      </c>
      <c r="Y2055">
        <v>0</v>
      </c>
      <c r="Z2055" t="s">
        <v>46</v>
      </c>
      <c r="AA2055">
        <v>59034</v>
      </c>
      <c r="AB2055" t="s">
        <v>1748</v>
      </c>
      <c r="AC2055" t="s">
        <v>103</v>
      </c>
      <c r="AD2055" t="s">
        <v>38</v>
      </c>
      <c r="AE2055" t="s">
        <v>49</v>
      </c>
      <c r="AF2055" t="s">
        <v>50</v>
      </c>
      <c r="AG2055">
        <v>0</v>
      </c>
      <c r="AH2055">
        <v>0</v>
      </c>
      <c r="AI2055" t="s">
        <v>51</v>
      </c>
      <c r="AJ2055" t="s">
        <v>51</v>
      </c>
      <c r="AK2055" t="s">
        <v>51</v>
      </c>
    </row>
    <row r="2056" spans="1:37" x14ac:dyDescent="0.2">
      <c r="A2056">
        <v>58935</v>
      </c>
      <c r="B2056" t="s">
        <v>37</v>
      </c>
      <c r="C2056" t="s">
        <v>38</v>
      </c>
      <c r="D2056" t="s">
        <v>674</v>
      </c>
      <c r="E2056" t="s">
        <v>40</v>
      </c>
      <c r="G2056" s="4">
        <v>43946.507337962963</v>
      </c>
      <c r="H2056" s="4">
        <v>43946.507951388889</v>
      </c>
      <c r="I2056" t="s">
        <v>1691</v>
      </c>
      <c r="J2056" s="5">
        <v>53.00000000000000000000000000000000000001</v>
      </c>
      <c r="K2056" t="s">
        <v>38</v>
      </c>
      <c r="M2056">
        <v>58936</v>
      </c>
      <c r="N2056" t="s">
        <v>705</v>
      </c>
      <c r="O2056" t="s">
        <v>706</v>
      </c>
      <c r="P2056" t="s">
        <v>38</v>
      </c>
      <c r="Q2056" t="s">
        <v>236</v>
      </c>
      <c r="R2056">
        <v>12.00000000000000000000000000000000000001</v>
      </c>
      <c r="S2056" t="s">
        <v>45</v>
      </c>
      <c r="T205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6">
        <v>58937</v>
      </c>
      <c r="V2056" t="s">
        <v>38</v>
      </c>
      <c r="W2056" t="s">
        <v>337</v>
      </c>
      <c r="X2056">
        <v>11.00000000000000000000000000000000000002</v>
      </c>
      <c r="Y2056">
        <v>0</v>
      </c>
      <c r="Z2056" t="s">
        <v>46</v>
      </c>
      <c r="AA2056">
        <v>59033</v>
      </c>
      <c r="AB2056" t="s">
        <v>1749</v>
      </c>
      <c r="AC2056" t="s">
        <v>103</v>
      </c>
      <c r="AD2056" t="s">
        <v>38</v>
      </c>
      <c r="AE2056" t="s">
        <v>49</v>
      </c>
      <c r="AF2056" t="s">
        <v>50</v>
      </c>
      <c r="AG2056">
        <v>0</v>
      </c>
      <c r="AH2056">
        <v>0</v>
      </c>
      <c r="AI2056" t="s">
        <v>51</v>
      </c>
      <c r="AJ2056" t="s">
        <v>51</v>
      </c>
      <c r="AK2056" t="s">
        <v>51</v>
      </c>
    </row>
    <row r="2057" spans="1:37" x14ac:dyDescent="0.2">
      <c r="A2057">
        <v>58935</v>
      </c>
      <c r="B2057" t="s">
        <v>37</v>
      </c>
      <c r="C2057" t="s">
        <v>38</v>
      </c>
      <c r="D2057" t="s">
        <v>674</v>
      </c>
      <c r="E2057" t="s">
        <v>40</v>
      </c>
      <c r="G2057" s="4">
        <v>43946.507337962963</v>
      </c>
      <c r="H2057" s="4">
        <v>43946.507951388889</v>
      </c>
      <c r="I2057" t="s">
        <v>1691</v>
      </c>
      <c r="J2057" s="5">
        <v>53.00000000000000000000000000000000000001</v>
      </c>
      <c r="K2057" t="s">
        <v>38</v>
      </c>
      <c r="M2057">
        <v>58936</v>
      </c>
      <c r="N2057" t="s">
        <v>705</v>
      </c>
      <c r="O2057" t="s">
        <v>706</v>
      </c>
      <c r="P2057" t="s">
        <v>38</v>
      </c>
      <c r="Q2057" t="s">
        <v>236</v>
      </c>
      <c r="R2057">
        <v>12.00000000000000000000000000000000000001</v>
      </c>
      <c r="S2057" t="s">
        <v>45</v>
      </c>
      <c r="T205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7">
        <v>58937</v>
      </c>
      <c r="V2057" t="s">
        <v>38</v>
      </c>
      <c r="W2057" t="s">
        <v>337</v>
      </c>
      <c r="X2057">
        <v>11.00000000000000000000000000000000000002</v>
      </c>
      <c r="Y2057">
        <v>0</v>
      </c>
      <c r="Z2057" t="s">
        <v>46</v>
      </c>
      <c r="AA2057">
        <v>59032</v>
      </c>
      <c r="AB2057" t="s">
        <v>1750</v>
      </c>
      <c r="AC2057" t="s">
        <v>103</v>
      </c>
      <c r="AD2057" t="s">
        <v>38</v>
      </c>
      <c r="AE2057" t="s">
        <v>49</v>
      </c>
      <c r="AF2057" t="s">
        <v>50</v>
      </c>
      <c r="AG2057">
        <v>0</v>
      </c>
      <c r="AH2057">
        <v>0</v>
      </c>
      <c r="AI2057" t="s">
        <v>51</v>
      </c>
      <c r="AJ2057" t="s">
        <v>51</v>
      </c>
      <c r="AK2057" t="s">
        <v>51</v>
      </c>
    </row>
    <row r="2058" spans="1:37" x14ac:dyDescent="0.2">
      <c r="A2058">
        <v>58935</v>
      </c>
      <c r="B2058" t="s">
        <v>37</v>
      </c>
      <c r="C2058" t="s">
        <v>38</v>
      </c>
      <c r="D2058" t="s">
        <v>674</v>
      </c>
      <c r="E2058" t="s">
        <v>40</v>
      </c>
      <c r="G2058" s="4">
        <v>43946.507337962963</v>
      </c>
      <c r="H2058" s="4">
        <v>43946.507951388889</v>
      </c>
      <c r="I2058" t="s">
        <v>1691</v>
      </c>
      <c r="J2058" s="5">
        <v>53.00000000000000000000000000000000000001</v>
      </c>
      <c r="K2058" t="s">
        <v>38</v>
      </c>
      <c r="M2058">
        <v>58936</v>
      </c>
      <c r="N2058" t="s">
        <v>705</v>
      </c>
      <c r="O2058" t="s">
        <v>706</v>
      </c>
      <c r="P2058" t="s">
        <v>38</v>
      </c>
      <c r="Q2058" t="s">
        <v>236</v>
      </c>
      <c r="R2058">
        <v>12.00000000000000000000000000000000000001</v>
      </c>
      <c r="S2058" t="s">
        <v>45</v>
      </c>
      <c r="T205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8">
        <v>58937</v>
      </c>
      <c r="V2058" t="s">
        <v>38</v>
      </c>
      <c r="W2058" t="s">
        <v>337</v>
      </c>
      <c r="X2058">
        <v>11.00000000000000000000000000000000000002</v>
      </c>
      <c r="Y2058">
        <v>0</v>
      </c>
      <c r="Z2058" t="s">
        <v>46</v>
      </c>
      <c r="AA2058">
        <v>59031</v>
      </c>
      <c r="AB2058" t="s">
        <v>1751</v>
      </c>
      <c r="AC2058" t="s">
        <v>103</v>
      </c>
      <c r="AD2058" t="s">
        <v>38</v>
      </c>
      <c r="AE2058" t="s">
        <v>49</v>
      </c>
      <c r="AF2058" t="s">
        <v>50</v>
      </c>
      <c r="AG2058">
        <v>0</v>
      </c>
      <c r="AH2058">
        <v>0</v>
      </c>
      <c r="AI2058" t="s">
        <v>51</v>
      </c>
      <c r="AJ2058" t="s">
        <v>51</v>
      </c>
      <c r="AK2058" t="s">
        <v>51</v>
      </c>
    </row>
    <row r="2059" spans="1:37" x14ac:dyDescent="0.2">
      <c r="A2059">
        <v>58935</v>
      </c>
      <c r="B2059" t="s">
        <v>37</v>
      </c>
      <c r="C2059" t="s">
        <v>38</v>
      </c>
      <c r="D2059" t="s">
        <v>674</v>
      </c>
      <c r="E2059" t="s">
        <v>40</v>
      </c>
      <c r="G2059" s="4">
        <v>43946.507337962963</v>
      </c>
      <c r="H2059" s="4">
        <v>43946.507951388889</v>
      </c>
      <c r="I2059" t="s">
        <v>1691</v>
      </c>
      <c r="J2059" s="5">
        <v>53.00000000000000000000000000000000000001</v>
      </c>
      <c r="K2059" t="s">
        <v>38</v>
      </c>
      <c r="M2059">
        <v>58936</v>
      </c>
      <c r="N2059" t="s">
        <v>705</v>
      </c>
      <c r="O2059" t="s">
        <v>706</v>
      </c>
      <c r="P2059" t="s">
        <v>38</v>
      </c>
      <c r="Q2059" t="s">
        <v>236</v>
      </c>
      <c r="R2059">
        <v>12.00000000000000000000000000000000000001</v>
      </c>
      <c r="S2059" t="s">
        <v>45</v>
      </c>
      <c r="T205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59">
        <v>58937</v>
      </c>
      <c r="V2059" t="s">
        <v>38</v>
      </c>
      <c r="W2059" t="s">
        <v>337</v>
      </c>
      <c r="X2059">
        <v>11.00000000000000000000000000000000000002</v>
      </c>
      <c r="Y2059">
        <v>0</v>
      </c>
      <c r="Z2059" t="s">
        <v>46</v>
      </c>
      <c r="AA2059">
        <v>59030</v>
      </c>
      <c r="AB2059" t="s">
        <v>1752</v>
      </c>
      <c r="AC2059" t="s">
        <v>103</v>
      </c>
      <c r="AD2059" t="s">
        <v>38</v>
      </c>
      <c r="AE2059" t="s">
        <v>49</v>
      </c>
      <c r="AF2059" t="s">
        <v>50</v>
      </c>
      <c r="AG2059">
        <v>0</v>
      </c>
      <c r="AH2059">
        <v>0</v>
      </c>
      <c r="AI2059" t="s">
        <v>51</v>
      </c>
      <c r="AJ2059" t="s">
        <v>51</v>
      </c>
      <c r="AK2059" t="s">
        <v>51</v>
      </c>
    </row>
    <row r="2060" spans="1:37" x14ac:dyDescent="0.2">
      <c r="A2060">
        <v>58935</v>
      </c>
      <c r="B2060" t="s">
        <v>37</v>
      </c>
      <c r="C2060" t="s">
        <v>38</v>
      </c>
      <c r="D2060" t="s">
        <v>674</v>
      </c>
      <c r="E2060" t="s">
        <v>40</v>
      </c>
      <c r="G2060" s="4">
        <v>43946.507337962963</v>
      </c>
      <c r="H2060" s="4">
        <v>43946.507951388889</v>
      </c>
      <c r="I2060" t="s">
        <v>1691</v>
      </c>
      <c r="J2060" s="5">
        <v>53.00000000000000000000000000000000000001</v>
      </c>
      <c r="K2060" t="s">
        <v>38</v>
      </c>
      <c r="M2060">
        <v>58936</v>
      </c>
      <c r="N2060" t="s">
        <v>705</v>
      </c>
      <c r="O2060" t="s">
        <v>706</v>
      </c>
      <c r="P2060" t="s">
        <v>38</v>
      </c>
      <c r="Q2060" t="s">
        <v>236</v>
      </c>
      <c r="R2060">
        <v>12.00000000000000000000000000000000000001</v>
      </c>
      <c r="S2060" t="s">
        <v>45</v>
      </c>
      <c r="T206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0">
        <v>58937</v>
      </c>
      <c r="V2060" t="s">
        <v>38</v>
      </c>
      <c r="W2060" t="s">
        <v>337</v>
      </c>
      <c r="X2060">
        <v>11.00000000000000000000000000000000000002</v>
      </c>
      <c r="Y2060">
        <v>0</v>
      </c>
      <c r="Z2060" t="s">
        <v>46</v>
      </c>
      <c r="AA2060">
        <v>59029</v>
      </c>
      <c r="AB2060" t="s">
        <v>1753</v>
      </c>
      <c r="AC2060" t="s">
        <v>103</v>
      </c>
      <c r="AD2060" t="s">
        <v>38</v>
      </c>
      <c r="AE2060" t="s">
        <v>49</v>
      </c>
      <c r="AF2060" t="s">
        <v>50</v>
      </c>
      <c r="AG2060">
        <v>0</v>
      </c>
      <c r="AH2060">
        <v>0</v>
      </c>
      <c r="AI2060" t="s">
        <v>51</v>
      </c>
      <c r="AJ2060" t="s">
        <v>51</v>
      </c>
      <c r="AK2060" t="s">
        <v>51</v>
      </c>
    </row>
    <row r="2061" spans="1:37" x14ac:dyDescent="0.2">
      <c r="A2061">
        <v>58935</v>
      </c>
      <c r="B2061" t="s">
        <v>37</v>
      </c>
      <c r="C2061" t="s">
        <v>38</v>
      </c>
      <c r="D2061" t="s">
        <v>674</v>
      </c>
      <c r="E2061" t="s">
        <v>40</v>
      </c>
      <c r="G2061" s="4">
        <v>43946.507337962963</v>
      </c>
      <c r="H2061" s="4">
        <v>43946.507951388889</v>
      </c>
      <c r="I2061" t="s">
        <v>1691</v>
      </c>
      <c r="J2061" s="5">
        <v>53.00000000000000000000000000000000000001</v>
      </c>
      <c r="K2061" t="s">
        <v>38</v>
      </c>
      <c r="M2061">
        <v>58936</v>
      </c>
      <c r="N2061" t="s">
        <v>705</v>
      </c>
      <c r="O2061" t="s">
        <v>706</v>
      </c>
      <c r="P2061" t="s">
        <v>38</v>
      </c>
      <c r="Q2061" t="s">
        <v>236</v>
      </c>
      <c r="R2061">
        <v>12.00000000000000000000000000000000000001</v>
      </c>
      <c r="S2061" t="s">
        <v>45</v>
      </c>
      <c r="T206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1">
        <v>58937</v>
      </c>
      <c r="V2061" t="s">
        <v>38</v>
      </c>
      <c r="W2061" t="s">
        <v>337</v>
      </c>
      <c r="X2061">
        <v>11.00000000000000000000000000000000000002</v>
      </c>
      <c r="Y2061">
        <v>0</v>
      </c>
      <c r="Z2061" t="s">
        <v>46</v>
      </c>
      <c r="AA2061">
        <v>59028</v>
      </c>
      <c r="AB2061" t="s">
        <v>1754</v>
      </c>
      <c r="AC2061" t="s">
        <v>103</v>
      </c>
      <c r="AD2061" t="s">
        <v>38</v>
      </c>
      <c r="AE2061" t="s">
        <v>49</v>
      </c>
      <c r="AF2061" t="s">
        <v>50</v>
      </c>
      <c r="AG2061">
        <v>0</v>
      </c>
      <c r="AH2061">
        <v>0</v>
      </c>
      <c r="AI2061" t="s">
        <v>51</v>
      </c>
      <c r="AJ2061" t="s">
        <v>51</v>
      </c>
      <c r="AK2061" t="s">
        <v>51</v>
      </c>
    </row>
    <row r="2062" spans="1:37" x14ac:dyDescent="0.2">
      <c r="A2062">
        <v>58935</v>
      </c>
      <c r="B2062" t="s">
        <v>37</v>
      </c>
      <c r="C2062" t="s">
        <v>38</v>
      </c>
      <c r="D2062" t="s">
        <v>674</v>
      </c>
      <c r="E2062" t="s">
        <v>40</v>
      </c>
      <c r="G2062" s="4">
        <v>43946.507337962963</v>
      </c>
      <c r="H2062" s="4">
        <v>43946.507951388889</v>
      </c>
      <c r="I2062" t="s">
        <v>1691</v>
      </c>
      <c r="J2062" s="5">
        <v>53.00000000000000000000000000000000000001</v>
      </c>
      <c r="K2062" t="s">
        <v>38</v>
      </c>
      <c r="M2062">
        <v>58936</v>
      </c>
      <c r="N2062" t="s">
        <v>705</v>
      </c>
      <c r="O2062" t="s">
        <v>706</v>
      </c>
      <c r="P2062" t="s">
        <v>38</v>
      </c>
      <c r="Q2062" t="s">
        <v>236</v>
      </c>
      <c r="R2062">
        <v>12.00000000000000000000000000000000000001</v>
      </c>
      <c r="S2062" t="s">
        <v>45</v>
      </c>
      <c r="T206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2">
        <v>58937</v>
      </c>
      <c r="V2062" t="s">
        <v>38</v>
      </c>
      <c r="W2062" t="s">
        <v>337</v>
      </c>
      <c r="X2062">
        <v>11.00000000000000000000000000000000000002</v>
      </c>
      <c r="Y2062">
        <v>0</v>
      </c>
      <c r="Z2062" t="s">
        <v>46</v>
      </c>
      <c r="AA2062">
        <v>59027</v>
      </c>
      <c r="AB2062" t="s">
        <v>1755</v>
      </c>
      <c r="AC2062" t="s">
        <v>103</v>
      </c>
      <c r="AD2062" t="s">
        <v>38</v>
      </c>
      <c r="AE2062" t="s">
        <v>49</v>
      </c>
      <c r="AF2062" t="s">
        <v>50</v>
      </c>
      <c r="AG2062">
        <v>0</v>
      </c>
      <c r="AH2062">
        <v>0</v>
      </c>
      <c r="AI2062" t="s">
        <v>51</v>
      </c>
      <c r="AJ2062" t="s">
        <v>51</v>
      </c>
      <c r="AK2062" t="s">
        <v>51</v>
      </c>
    </row>
    <row r="2063" spans="1:37" x14ac:dyDescent="0.2">
      <c r="A2063">
        <v>58935</v>
      </c>
      <c r="B2063" t="s">
        <v>37</v>
      </c>
      <c r="C2063" t="s">
        <v>38</v>
      </c>
      <c r="D2063" t="s">
        <v>674</v>
      </c>
      <c r="E2063" t="s">
        <v>40</v>
      </c>
      <c r="G2063" s="4">
        <v>43946.507337962963</v>
      </c>
      <c r="H2063" s="4">
        <v>43946.507951388889</v>
      </c>
      <c r="I2063" t="s">
        <v>1691</v>
      </c>
      <c r="J2063" s="5">
        <v>53.00000000000000000000000000000000000001</v>
      </c>
      <c r="K2063" t="s">
        <v>38</v>
      </c>
      <c r="M2063">
        <v>58936</v>
      </c>
      <c r="N2063" t="s">
        <v>705</v>
      </c>
      <c r="O2063" t="s">
        <v>706</v>
      </c>
      <c r="P2063" t="s">
        <v>38</v>
      </c>
      <c r="Q2063" t="s">
        <v>236</v>
      </c>
      <c r="R2063">
        <v>12.00000000000000000000000000000000000001</v>
      </c>
      <c r="S2063" t="s">
        <v>45</v>
      </c>
      <c r="T206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3">
        <v>58937</v>
      </c>
      <c r="V2063" t="s">
        <v>38</v>
      </c>
      <c r="W2063" t="s">
        <v>337</v>
      </c>
      <c r="X2063">
        <v>11.00000000000000000000000000000000000002</v>
      </c>
      <c r="Y2063">
        <v>0</v>
      </c>
      <c r="Z2063" t="s">
        <v>46</v>
      </c>
      <c r="AA2063">
        <v>59026</v>
      </c>
      <c r="AB2063" t="s">
        <v>1756</v>
      </c>
      <c r="AC2063" t="s">
        <v>103</v>
      </c>
      <c r="AD2063" t="s">
        <v>38</v>
      </c>
      <c r="AE2063" t="s">
        <v>49</v>
      </c>
      <c r="AF2063" t="s">
        <v>50</v>
      </c>
      <c r="AG2063">
        <v>0</v>
      </c>
      <c r="AH2063">
        <v>0</v>
      </c>
      <c r="AI2063" t="s">
        <v>51</v>
      </c>
      <c r="AJ2063" t="s">
        <v>51</v>
      </c>
      <c r="AK2063" t="s">
        <v>51</v>
      </c>
    </row>
    <row r="2064" spans="1:37" x14ac:dyDescent="0.2">
      <c r="A2064">
        <v>58935</v>
      </c>
      <c r="B2064" t="s">
        <v>37</v>
      </c>
      <c r="C2064" t="s">
        <v>38</v>
      </c>
      <c r="D2064" t="s">
        <v>674</v>
      </c>
      <c r="E2064" t="s">
        <v>40</v>
      </c>
      <c r="G2064" s="4">
        <v>43946.507337962963</v>
      </c>
      <c r="H2064" s="4">
        <v>43946.507951388889</v>
      </c>
      <c r="I2064" t="s">
        <v>1691</v>
      </c>
      <c r="J2064" s="5">
        <v>53.00000000000000000000000000000000000001</v>
      </c>
      <c r="K2064" t="s">
        <v>38</v>
      </c>
      <c r="M2064">
        <v>58936</v>
      </c>
      <c r="N2064" t="s">
        <v>705</v>
      </c>
      <c r="O2064" t="s">
        <v>706</v>
      </c>
      <c r="P2064" t="s">
        <v>38</v>
      </c>
      <c r="Q2064" t="s">
        <v>236</v>
      </c>
      <c r="R2064">
        <v>12.00000000000000000000000000000000000001</v>
      </c>
      <c r="S2064" t="s">
        <v>45</v>
      </c>
      <c r="T206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4">
        <v>58937</v>
      </c>
      <c r="V2064" t="s">
        <v>38</v>
      </c>
      <c r="W2064" t="s">
        <v>337</v>
      </c>
      <c r="X2064">
        <v>11.00000000000000000000000000000000000002</v>
      </c>
      <c r="Y2064">
        <v>0</v>
      </c>
      <c r="Z2064" t="s">
        <v>46</v>
      </c>
      <c r="AA2064">
        <v>59025</v>
      </c>
      <c r="AB2064" t="s">
        <v>1757</v>
      </c>
      <c r="AC2064" t="s">
        <v>103</v>
      </c>
      <c r="AD2064" t="s">
        <v>38</v>
      </c>
      <c r="AE2064" t="s">
        <v>49</v>
      </c>
      <c r="AF2064" t="s">
        <v>50</v>
      </c>
      <c r="AG2064">
        <v>.9999999999999999999999999999999999999996</v>
      </c>
      <c r="AH2064">
        <v>0</v>
      </c>
      <c r="AI2064" t="s">
        <v>51</v>
      </c>
      <c r="AJ2064" t="s">
        <v>51</v>
      </c>
      <c r="AK2064" t="s">
        <v>51</v>
      </c>
    </row>
    <row r="2065" spans="1:37" x14ac:dyDescent="0.2">
      <c r="A2065">
        <v>58935</v>
      </c>
      <c r="B2065" t="s">
        <v>37</v>
      </c>
      <c r="C2065" t="s">
        <v>38</v>
      </c>
      <c r="D2065" t="s">
        <v>674</v>
      </c>
      <c r="E2065" t="s">
        <v>40</v>
      </c>
      <c r="G2065" s="4">
        <v>43946.507337962963</v>
      </c>
      <c r="H2065" s="4">
        <v>43946.507951388889</v>
      </c>
      <c r="I2065" t="s">
        <v>1691</v>
      </c>
      <c r="J2065" s="5">
        <v>53.00000000000000000000000000000000000001</v>
      </c>
      <c r="K2065" t="s">
        <v>38</v>
      </c>
      <c r="M2065">
        <v>58936</v>
      </c>
      <c r="N2065" t="s">
        <v>705</v>
      </c>
      <c r="O2065" t="s">
        <v>706</v>
      </c>
      <c r="P2065" t="s">
        <v>38</v>
      </c>
      <c r="Q2065" t="s">
        <v>236</v>
      </c>
      <c r="R2065">
        <v>12.00000000000000000000000000000000000001</v>
      </c>
      <c r="S2065" t="s">
        <v>45</v>
      </c>
      <c r="T206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5">
        <v>58937</v>
      </c>
      <c r="V2065" t="s">
        <v>38</v>
      </c>
      <c r="W2065" t="s">
        <v>337</v>
      </c>
      <c r="X2065">
        <v>11.00000000000000000000000000000000000002</v>
      </c>
      <c r="Y2065">
        <v>0</v>
      </c>
      <c r="Z2065" t="s">
        <v>46</v>
      </c>
      <c r="AA2065">
        <v>59024</v>
      </c>
      <c r="AB2065" t="s">
        <v>1758</v>
      </c>
      <c r="AC2065" t="s">
        <v>103</v>
      </c>
      <c r="AD2065" t="s">
        <v>38</v>
      </c>
      <c r="AE2065" t="s">
        <v>49</v>
      </c>
      <c r="AF2065" t="s">
        <v>50</v>
      </c>
      <c r="AG2065">
        <v>0</v>
      </c>
      <c r="AH2065">
        <v>0</v>
      </c>
      <c r="AI2065" t="s">
        <v>51</v>
      </c>
      <c r="AJ2065" t="s">
        <v>51</v>
      </c>
      <c r="AK2065" t="s">
        <v>51</v>
      </c>
    </row>
    <row r="2066" spans="1:37" x14ac:dyDescent="0.2">
      <c r="A2066">
        <v>58935</v>
      </c>
      <c r="B2066" t="s">
        <v>37</v>
      </c>
      <c r="C2066" t="s">
        <v>38</v>
      </c>
      <c r="D2066" t="s">
        <v>674</v>
      </c>
      <c r="E2066" t="s">
        <v>40</v>
      </c>
      <c r="G2066" s="4">
        <v>43946.507337962963</v>
      </c>
      <c r="H2066" s="4">
        <v>43946.507951388889</v>
      </c>
      <c r="I2066" t="s">
        <v>1691</v>
      </c>
      <c r="J2066" s="5">
        <v>53.00000000000000000000000000000000000001</v>
      </c>
      <c r="K2066" t="s">
        <v>38</v>
      </c>
      <c r="M2066">
        <v>58936</v>
      </c>
      <c r="N2066" t="s">
        <v>705</v>
      </c>
      <c r="O2066" t="s">
        <v>706</v>
      </c>
      <c r="P2066" t="s">
        <v>38</v>
      </c>
      <c r="Q2066" t="s">
        <v>236</v>
      </c>
      <c r="R2066">
        <v>12.00000000000000000000000000000000000001</v>
      </c>
      <c r="S2066" t="s">
        <v>45</v>
      </c>
      <c r="T206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6">
        <v>58937</v>
      </c>
      <c r="V2066" t="s">
        <v>38</v>
      </c>
      <c r="W2066" t="s">
        <v>337</v>
      </c>
      <c r="X2066">
        <v>11.00000000000000000000000000000000000002</v>
      </c>
      <c r="Y2066">
        <v>0</v>
      </c>
      <c r="Z2066" t="s">
        <v>46</v>
      </c>
      <c r="AA2066">
        <v>59023</v>
      </c>
      <c r="AB2066" t="s">
        <v>1759</v>
      </c>
      <c r="AC2066" t="s">
        <v>103</v>
      </c>
      <c r="AD2066" t="s">
        <v>38</v>
      </c>
      <c r="AE2066" t="s">
        <v>49</v>
      </c>
      <c r="AF2066" t="s">
        <v>50</v>
      </c>
      <c r="AG2066">
        <v>0</v>
      </c>
      <c r="AH2066">
        <v>0</v>
      </c>
      <c r="AI2066" t="s">
        <v>51</v>
      </c>
      <c r="AJ2066" t="s">
        <v>51</v>
      </c>
      <c r="AK2066" t="s">
        <v>51</v>
      </c>
    </row>
    <row r="2067" spans="1:37" x14ac:dyDescent="0.2">
      <c r="A2067">
        <v>58935</v>
      </c>
      <c r="B2067" t="s">
        <v>37</v>
      </c>
      <c r="C2067" t="s">
        <v>38</v>
      </c>
      <c r="D2067" t="s">
        <v>674</v>
      </c>
      <c r="E2067" t="s">
        <v>40</v>
      </c>
      <c r="G2067" s="4">
        <v>43946.507337962963</v>
      </c>
      <c r="H2067" s="4">
        <v>43946.507951388889</v>
      </c>
      <c r="I2067" t="s">
        <v>1691</v>
      </c>
      <c r="J2067" s="5">
        <v>53.00000000000000000000000000000000000001</v>
      </c>
      <c r="K2067" t="s">
        <v>38</v>
      </c>
      <c r="M2067">
        <v>58936</v>
      </c>
      <c r="N2067" t="s">
        <v>705</v>
      </c>
      <c r="O2067" t="s">
        <v>706</v>
      </c>
      <c r="P2067" t="s">
        <v>38</v>
      </c>
      <c r="Q2067" t="s">
        <v>236</v>
      </c>
      <c r="R2067">
        <v>12.00000000000000000000000000000000000001</v>
      </c>
      <c r="S2067" t="s">
        <v>45</v>
      </c>
      <c r="T206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7">
        <v>58937</v>
      </c>
      <c r="V2067" t="s">
        <v>38</v>
      </c>
      <c r="W2067" t="s">
        <v>337</v>
      </c>
      <c r="X2067">
        <v>11.00000000000000000000000000000000000002</v>
      </c>
      <c r="Y2067">
        <v>0</v>
      </c>
      <c r="Z2067" t="s">
        <v>46</v>
      </c>
      <c r="AA2067">
        <v>59022</v>
      </c>
      <c r="AB2067" t="s">
        <v>1760</v>
      </c>
      <c r="AC2067" t="s">
        <v>103</v>
      </c>
      <c r="AD2067" t="s">
        <v>38</v>
      </c>
      <c r="AE2067" t="s">
        <v>49</v>
      </c>
      <c r="AF2067" t="s">
        <v>50</v>
      </c>
      <c r="AG2067">
        <v>0</v>
      </c>
      <c r="AH2067">
        <v>0</v>
      </c>
      <c r="AI2067" t="s">
        <v>51</v>
      </c>
      <c r="AJ2067" t="s">
        <v>51</v>
      </c>
      <c r="AK2067" t="s">
        <v>51</v>
      </c>
    </row>
    <row r="2068" spans="1:37" x14ac:dyDescent="0.2">
      <c r="A2068">
        <v>58935</v>
      </c>
      <c r="B2068" t="s">
        <v>37</v>
      </c>
      <c r="C2068" t="s">
        <v>38</v>
      </c>
      <c r="D2068" t="s">
        <v>674</v>
      </c>
      <c r="E2068" t="s">
        <v>40</v>
      </c>
      <c r="G2068" s="4">
        <v>43946.507337962963</v>
      </c>
      <c r="H2068" s="4">
        <v>43946.507951388889</v>
      </c>
      <c r="I2068" t="s">
        <v>1691</v>
      </c>
      <c r="J2068" s="5">
        <v>53.00000000000000000000000000000000000001</v>
      </c>
      <c r="K2068" t="s">
        <v>38</v>
      </c>
      <c r="M2068">
        <v>58936</v>
      </c>
      <c r="N2068" t="s">
        <v>705</v>
      </c>
      <c r="O2068" t="s">
        <v>706</v>
      </c>
      <c r="P2068" t="s">
        <v>38</v>
      </c>
      <c r="Q2068" t="s">
        <v>236</v>
      </c>
      <c r="R2068">
        <v>12.00000000000000000000000000000000000001</v>
      </c>
      <c r="S2068" t="s">
        <v>45</v>
      </c>
      <c r="T206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8">
        <v>58937</v>
      </c>
      <c r="V2068" t="s">
        <v>38</v>
      </c>
      <c r="W2068" t="s">
        <v>337</v>
      </c>
      <c r="X2068">
        <v>11.00000000000000000000000000000000000002</v>
      </c>
      <c r="Y2068">
        <v>0</v>
      </c>
      <c r="Z2068" t="s">
        <v>46</v>
      </c>
      <c r="AA2068">
        <v>59021</v>
      </c>
      <c r="AB2068" t="s">
        <v>1761</v>
      </c>
      <c r="AC2068" t="s">
        <v>103</v>
      </c>
      <c r="AD2068" t="s">
        <v>38</v>
      </c>
      <c r="AE2068" t="s">
        <v>49</v>
      </c>
      <c r="AF2068" t="s">
        <v>50</v>
      </c>
      <c r="AG2068">
        <v>0</v>
      </c>
      <c r="AH2068">
        <v>0</v>
      </c>
      <c r="AI2068" t="s">
        <v>51</v>
      </c>
      <c r="AJ2068" t="s">
        <v>51</v>
      </c>
      <c r="AK2068" t="s">
        <v>51</v>
      </c>
    </row>
    <row r="2069" spans="1:37" x14ac:dyDescent="0.2">
      <c r="A2069">
        <v>58935</v>
      </c>
      <c r="B2069" t="s">
        <v>37</v>
      </c>
      <c r="C2069" t="s">
        <v>38</v>
      </c>
      <c r="D2069" t="s">
        <v>674</v>
      </c>
      <c r="E2069" t="s">
        <v>40</v>
      </c>
      <c r="G2069" s="4">
        <v>43946.507337962963</v>
      </c>
      <c r="H2069" s="4">
        <v>43946.507951388889</v>
      </c>
      <c r="I2069" t="s">
        <v>1691</v>
      </c>
      <c r="J2069" s="5">
        <v>53.00000000000000000000000000000000000001</v>
      </c>
      <c r="K2069" t="s">
        <v>38</v>
      </c>
      <c r="M2069">
        <v>58936</v>
      </c>
      <c r="N2069" t="s">
        <v>705</v>
      </c>
      <c r="O2069" t="s">
        <v>706</v>
      </c>
      <c r="P2069" t="s">
        <v>38</v>
      </c>
      <c r="Q2069" t="s">
        <v>236</v>
      </c>
      <c r="R2069">
        <v>12.00000000000000000000000000000000000001</v>
      </c>
      <c r="S2069" t="s">
        <v>45</v>
      </c>
      <c r="T206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69">
        <v>58937</v>
      </c>
      <c r="V2069" t="s">
        <v>38</v>
      </c>
      <c r="W2069" t="s">
        <v>337</v>
      </c>
      <c r="X2069">
        <v>11.00000000000000000000000000000000000002</v>
      </c>
      <c r="Y2069">
        <v>0</v>
      </c>
      <c r="Z2069" t="s">
        <v>46</v>
      </c>
      <c r="AA2069">
        <v>59020</v>
      </c>
      <c r="AB2069" t="s">
        <v>1762</v>
      </c>
      <c r="AC2069" t="s">
        <v>103</v>
      </c>
      <c r="AD2069" t="s">
        <v>38</v>
      </c>
      <c r="AE2069" t="s">
        <v>49</v>
      </c>
      <c r="AF2069" t="s">
        <v>50</v>
      </c>
      <c r="AG2069">
        <v>0</v>
      </c>
      <c r="AH2069">
        <v>0</v>
      </c>
      <c r="AI2069" t="s">
        <v>51</v>
      </c>
      <c r="AJ2069" t="s">
        <v>51</v>
      </c>
      <c r="AK2069" t="s">
        <v>51</v>
      </c>
    </row>
    <row r="2070" spans="1:37" x14ac:dyDescent="0.2">
      <c r="A2070">
        <v>58935</v>
      </c>
      <c r="B2070" t="s">
        <v>37</v>
      </c>
      <c r="C2070" t="s">
        <v>38</v>
      </c>
      <c r="D2070" t="s">
        <v>674</v>
      </c>
      <c r="E2070" t="s">
        <v>40</v>
      </c>
      <c r="G2070" s="4">
        <v>43946.507337962963</v>
      </c>
      <c r="H2070" s="4">
        <v>43946.507951388889</v>
      </c>
      <c r="I2070" t="s">
        <v>1691</v>
      </c>
      <c r="J2070" s="5">
        <v>53.00000000000000000000000000000000000001</v>
      </c>
      <c r="K2070" t="s">
        <v>38</v>
      </c>
      <c r="M2070">
        <v>58936</v>
      </c>
      <c r="N2070" t="s">
        <v>705</v>
      </c>
      <c r="O2070" t="s">
        <v>706</v>
      </c>
      <c r="P2070" t="s">
        <v>38</v>
      </c>
      <c r="Q2070" t="s">
        <v>236</v>
      </c>
      <c r="R2070">
        <v>12.00000000000000000000000000000000000001</v>
      </c>
      <c r="S2070" t="s">
        <v>45</v>
      </c>
      <c r="T207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0">
        <v>58937</v>
      </c>
      <c r="V2070" t="s">
        <v>38</v>
      </c>
      <c r="W2070" t="s">
        <v>337</v>
      </c>
      <c r="X2070">
        <v>11.00000000000000000000000000000000000002</v>
      </c>
      <c r="Y2070">
        <v>0</v>
      </c>
      <c r="Z2070" t="s">
        <v>46</v>
      </c>
      <c r="AA2070">
        <v>59019</v>
      </c>
      <c r="AB2070" t="s">
        <v>1763</v>
      </c>
      <c r="AC2070" t="s">
        <v>103</v>
      </c>
      <c r="AD2070" t="s">
        <v>38</v>
      </c>
      <c r="AE2070" t="s">
        <v>49</v>
      </c>
      <c r="AF2070" t="s">
        <v>50</v>
      </c>
      <c r="AG2070">
        <v>0</v>
      </c>
      <c r="AH2070">
        <v>0</v>
      </c>
      <c r="AI2070" t="s">
        <v>51</v>
      </c>
      <c r="AJ2070" t="s">
        <v>51</v>
      </c>
      <c r="AK2070" t="s">
        <v>51</v>
      </c>
    </row>
    <row r="2071" spans="1:37" x14ac:dyDescent="0.2">
      <c r="A2071">
        <v>58935</v>
      </c>
      <c r="B2071" t="s">
        <v>37</v>
      </c>
      <c r="C2071" t="s">
        <v>38</v>
      </c>
      <c r="D2071" t="s">
        <v>674</v>
      </c>
      <c r="E2071" t="s">
        <v>40</v>
      </c>
      <c r="G2071" s="4">
        <v>43946.507337962963</v>
      </c>
      <c r="H2071" s="4">
        <v>43946.507951388889</v>
      </c>
      <c r="I2071" t="s">
        <v>1691</v>
      </c>
      <c r="J2071" s="5">
        <v>53.00000000000000000000000000000000000001</v>
      </c>
      <c r="K2071" t="s">
        <v>38</v>
      </c>
      <c r="M2071">
        <v>58936</v>
      </c>
      <c r="N2071" t="s">
        <v>705</v>
      </c>
      <c r="O2071" t="s">
        <v>706</v>
      </c>
      <c r="P2071" t="s">
        <v>38</v>
      </c>
      <c r="Q2071" t="s">
        <v>236</v>
      </c>
      <c r="R2071">
        <v>12.00000000000000000000000000000000000001</v>
      </c>
      <c r="S2071" t="s">
        <v>45</v>
      </c>
      <c r="T207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1">
        <v>58937</v>
      </c>
      <c r="V2071" t="s">
        <v>38</v>
      </c>
      <c r="W2071" t="s">
        <v>337</v>
      </c>
      <c r="X2071">
        <v>11.00000000000000000000000000000000000002</v>
      </c>
      <c r="Y2071">
        <v>0</v>
      </c>
      <c r="Z2071" t="s">
        <v>46</v>
      </c>
      <c r="AA2071">
        <v>59018</v>
      </c>
      <c r="AB2071" t="s">
        <v>1764</v>
      </c>
      <c r="AC2071" t="s">
        <v>103</v>
      </c>
      <c r="AD2071" t="s">
        <v>38</v>
      </c>
      <c r="AE2071" t="s">
        <v>49</v>
      </c>
      <c r="AF2071" t="s">
        <v>50</v>
      </c>
      <c r="AG2071">
        <v>0</v>
      </c>
      <c r="AH2071">
        <v>0</v>
      </c>
      <c r="AI2071" t="s">
        <v>51</v>
      </c>
      <c r="AJ2071" t="s">
        <v>51</v>
      </c>
      <c r="AK2071" t="s">
        <v>51</v>
      </c>
    </row>
    <row r="2072" spans="1:37" x14ac:dyDescent="0.2">
      <c r="A2072">
        <v>58935</v>
      </c>
      <c r="B2072" t="s">
        <v>37</v>
      </c>
      <c r="C2072" t="s">
        <v>38</v>
      </c>
      <c r="D2072" t="s">
        <v>674</v>
      </c>
      <c r="E2072" t="s">
        <v>40</v>
      </c>
      <c r="G2072" s="4">
        <v>43946.507337962963</v>
      </c>
      <c r="H2072" s="4">
        <v>43946.507951388889</v>
      </c>
      <c r="I2072" t="s">
        <v>1691</v>
      </c>
      <c r="J2072" s="5">
        <v>53.00000000000000000000000000000000000001</v>
      </c>
      <c r="K2072" t="s">
        <v>38</v>
      </c>
      <c r="M2072">
        <v>58936</v>
      </c>
      <c r="N2072" t="s">
        <v>705</v>
      </c>
      <c r="O2072" t="s">
        <v>706</v>
      </c>
      <c r="P2072" t="s">
        <v>38</v>
      </c>
      <c r="Q2072" t="s">
        <v>236</v>
      </c>
      <c r="R2072">
        <v>12.00000000000000000000000000000000000001</v>
      </c>
      <c r="S2072" t="s">
        <v>45</v>
      </c>
      <c r="T207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2">
        <v>58937</v>
      </c>
      <c r="V2072" t="s">
        <v>38</v>
      </c>
      <c r="W2072" t="s">
        <v>337</v>
      </c>
      <c r="X2072">
        <v>11.00000000000000000000000000000000000002</v>
      </c>
      <c r="Y2072">
        <v>0</v>
      </c>
      <c r="Z2072" t="s">
        <v>46</v>
      </c>
      <c r="AA2072">
        <v>59017</v>
      </c>
      <c r="AB2072" t="s">
        <v>1765</v>
      </c>
      <c r="AC2072" t="s">
        <v>103</v>
      </c>
      <c r="AD2072" t="s">
        <v>38</v>
      </c>
      <c r="AE2072" t="s">
        <v>49</v>
      </c>
      <c r="AF2072" t="s">
        <v>50</v>
      </c>
      <c r="AG2072">
        <v>0</v>
      </c>
      <c r="AH2072">
        <v>0</v>
      </c>
      <c r="AI2072" t="s">
        <v>51</v>
      </c>
      <c r="AJ2072" t="s">
        <v>51</v>
      </c>
      <c r="AK2072" t="s">
        <v>51</v>
      </c>
    </row>
    <row r="2073" spans="1:37" x14ac:dyDescent="0.2">
      <c r="A2073">
        <v>58935</v>
      </c>
      <c r="B2073" t="s">
        <v>37</v>
      </c>
      <c r="C2073" t="s">
        <v>38</v>
      </c>
      <c r="D2073" t="s">
        <v>674</v>
      </c>
      <c r="E2073" t="s">
        <v>40</v>
      </c>
      <c r="G2073" s="4">
        <v>43946.507337962963</v>
      </c>
      <c r="H2073" s="4">
        <v>43946.507951388889</v>
      </c>
      <c r="I2073" t="s">
        <v>1691</v>
      </c>
      <c r="J2073" s="5">
        <v>53.00000000000000000000000000000000000001</v>
      </c>
      <c r="K2073" t="s">
        <v>38</v>
      </c>
      <c r="M2073">
        <v>58936</v>
      </c>
      <c r="N2073" t="s">
        <v>705</v>
      </c>
      <c r="O2073" t="s">
        <v>706</v>
      </c>
      <c r="P2073" t="s">
        <v>38</v>
      </c>
      <c r="Q2073" t="s">
        <v>236</v>
      </c>
      <c r="R2073">
        <v>12.00000000000000000000000000000000000001</v>
      </c>
      <c r="S2073" t="s">
        <v>45</v>
      </c>
      <c r="T207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3">
        <v>58937</v>
      </c>
      <c r="V2073" t="s">
        <v>38</v>
      </c>
      <c r="W2073" t="s">
        <v>337</v>
      </c>
      <c r="X2073">
        <v>11.00000000000000000000000000000000000002</v>
      </c>
      <c r="Y2073">
        <v>0</v>
      </c>
      <c r="Z2073" t="s">
        <v>46</v>
      </c>
      <c r="AA2073">
        <v>59016</v>
      </c>
      <c r="AB2073" t="s">
        <v>1766</v>
      </c>
      <c r="AC2073" t="s">
        <v>103</v>
      </c>
      <c r="AD2073" t="s">
        <v>38</v>
      </c>
      <c r="AE2073" t="s">
        <v>49</v>
      </c>
      <c r="AF2073" t="s">
        <v>50</v>
      </c>
      <c r="AG2073">
        <v>0</v>
      </c>
      <c r="AH2073">
        <v>0</v>
      </c>
      <c r="AI2073" t="s">
        <v>51</v>
      </c>
      <c r="AJ2073" t="s">
        <v>51</v>
      </c>
      <c r="AK2073" t="s">
        <v>51</v>
      </c>
    </row>
    <row r="2074" spans="1:37" x14ac:dyDescent="0.2">
      <c r="A2074">
        <v>58935</v>
      </c>
      <c r="B2074" t="s">
        <v>37</v>
      </c>
      <c r="C2074" t="s">
        <v>38</v>
      </c>
      <c r="D2074" t="s">
        <v>674</v>
      </c>
      <c r="E2074" t="s">
        <v>40</v>
      </c>
      <c r="G2074" s="4">
        <v>43946.507337962963</v>
      </c>
      <c r="H2074" s="4">
        <v>43946.507951388889</v>
      </c>
      <c r="I2074" t="s">
        <v>1691</v>
      </c>
      <c r="J2074" s="5">
        <v>53.00000000000000000000000000000000000001</v>
      </c>
      <c r="K2074" t="s">
        <v>38</v>
      </c>
      <c r="M2074">
        <v>58936</v>
      </c>
      <c r="N2074" t="s">
        <v>705</v>
      </c>
      <c r="O2074" t="s">
        <v>706</v>
      </c>
      <c r="P2074" t="s">
        <v>38</v>
      </c>
      <c r="Q2074" t="s">
        <v>236</v>
      </c>
      <c r="R2074">
        <v>12.00000000000000000000000000000000000001</v>
      </c>
      <c r="S2074" t="s">
        <v>45</v>
      </c>
      <c r="T207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4">
        <v>58937</v>
      </c>
      <c r="V2074" t="s">
        <v>38</v>
      </c>
      <c r="W2074" t="s">
        <v>337</v>
      </c>
      <c r="X2074">
        <v>11.00000000000000000000000000000000000002</v>
      </c>
      <c r="Y2074">
        <v>0</v>
      </c>
      <c r="Z2074" t="s">
        <v>46</v>
      </c>
      <c r="AA2074">
        <v>59015</v>
      </c>
      <c r="AB2074" t="s">
        <v>1767</v>
      </c>
      <c r="AC2074" t="s">
        <v>103</v>
      </c>
      <c r="AD2074" t="s">
        <v>38</v>
      </c>
      <c r="AE2074" t="s">
        <v>49</v>
      </c>
      <c r="AF2074" t="s">
        <v>50</v>
      </c>
      <c r="AG2074">
        <v>0</v>
      </c>
      <c r="AH2074">
        <v>0</v>
      </c>
      <c r="AI2074" t="s">
        <v>51</v>
      </c>
      <c r="AJ2074" t="s">
        <v>51</v>
      </c>
      <c r="AK2074" t="s">
        <v>51</v>
      </c>
    </row>
    <row r="2075" spans="1:37" x14ac:dyDescent="0.2">
      <c r="A2075">
        <v>58935</v>
      </c>
      <c r="B2075" t="s">
        <v>37</v>
      </c>
      <c r="C2075" t="s">
        <v>38</v>
      </c>
      <c r="D2075" t="s">
        <v>674</v>
      </c>
      <c r="E2075" t="s">
        <v>40</v>
      </c>
      <c r="G2075" s="4">
        <v>43946.507337962963</v>
      </c>
      <c r="H2075" s="4">
        <v>43946.507951388889</v>
      </c>
      <c r="I2075" t="s">
        <v>1691</v>
      </c>
      <c r="J2075" s="5">
        <v>53.00000000000000000000000000000000000001</v>
      </c>
      <c r="K2075" t="s">
        <v>38</v>
      </c>
      <c r="M2075">
        <v>58936</v>
      </c>
      <c r="N2075" t="s">
        <v>705</v>
      </c>
      <c r="O2075" t="s">
        <v>706</v>
      </c>
      <c r="P2075" t="s">
        <v>38</v>
      </c>
      <c r="Q2075" t="s">
        <v>236</v>
      </c>
      <c r="R2075">
        <v>12.00000000000000000000000000000000000001</v>
      </c>
      <c r="S2075" t="s">
        <v>45</v>
      </c>
      <c r="T207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5">
        <v>58937</v>
      </c>
      <c r="V2075" t="s">
        <v>38</v>
      </c>
      <c r="W2075" t="s">
        <v>337</v>
      </c>
      <c r="X2075">
        <v>11.00000000000000000000000000000000000002</v>
      </c>
      <c r="Y2075">
        <v>0</v>
      </c>
      <c r="Z2075" t="s">
        <v>46</v>
      </c>
      <c r="AA2075">
        <v>59014</v>
      </c>
      <c r="AB2075" t="s">
        <v>1768</v>
      </c>
      <c r="AC2075" t="s">
        <v>103</v>
      </c>
      <c r="AD2075" t="s">
        <v>38</v>
      </c>
      <c r="AE2075" t="s">
        <v>49</v>
      </c>
      <c r="AF2075" t="s">
        <v>50</v>
      </c>
      <c r="AG2075">
        <v>0</v>
      </c>
      <c r="AH2075">
        <v>0</v>
      </c>
      <c r="AI2075" t="s">
        <v>51</v>
      </c>
      <c r="AJ2075" t="s">
        <v>51</v>
      </c>
      <c r="AK2075" t="s">
        <v>51</v>
      </c>
    </row>
    <row r="2076" spans="1:37" x14ac:dyDescent="0.2">
      <c r="A2076">
        <v>58935</v>
      </c>
      <c r="B2076" t="s">
        <v>37</v>
      </c>
      <c r="C2076" t="s">
        <v>38</v>
      </c>
      <c r="D2076" t="s">
        <v>674</v>
      </c>
      <c r="E2076" t="s">
        <v>40</v>
      </c>
      <c r="G2076" s="4">
        <v>43946.507337962963</v>
      </c>
      <c r="H2076" s="4">
        <v>43946.507951388889</v>
      </c>
      <c r="I2076" t="s">
        <v>1691</v>
      </c>
      <c r="J2076" s="5">
        <v>53.00000000000000000000000000000000000001</v>
      </c>
      <c r="K2076" t="s">
        <v>38</v>
      </c>
      <c r="M2076">
        <v>58936</v>
      </c>
      <c r="N2076" t="s">
        <v>705</v>
      </c>
      <c r="O2076" t="s">
        <v>706</v>
      </c>
      <c r="P2076" t="s">
        <v>38</v>
      </c>
      <c r="Q2076" t="s">
        <v>236</v>
      </c>
      <c r="R2076">
        <v>12.00000000000000000000000000000000000001</v>
      </c>
      <c r="S2076" t="s">
        <v>45</v>
      </c>
      <c r="T207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6">
        <v>58937</v>
      </c>
      <c r="V2076" t="s">
        <v>38</v>
      </c>
      <c r="W2076" t="s">
        <v>337</v>
      </c>
      <c r="X2076">
        <v>11.00000000000000000000000000000000000002</v>
      </c>
      <c r="Y2076">
        <v>0</v>
      </c>
      <c r="Z2076" t="s">
        <v>46</v>
      </c>
      <c r="AA2076">
        <v>59013</v>
      </c>
      <c r="AB2076" t="s">
        <v>1769</v>
      </c>
      <c r="AC2076" t="s">
        <v>103</v>
      </c>
      <c r="AD2076" t="s">
        <v>38</v>
      </c>
      <c r="AE2076" t="s">
        <v>49</v>
      </c>
      <c r="AF2076" t="s">
        <v>50</v>
      </c>
      <c r="AG2076">
        <v>0</v>
      </c>
      <c r="AH2076">
        <v>0</v>
      </c>
      <c r="AI2076" t="s">
        <v>51</v>
      </c>
      <c r="AJ2076" t="s">
        <v>51</v>
      </c>
      <c r="AK2076" t="s">
        <v>51</v>
      </c>
    </row>
    <row r="2077" spans="1:37" x14ac:dyDescent="0.2">
      <c r="A2077">
        <v>58935</v>
      </c>
      <c r="B2077" t="s">
        <v>37</v>
      </c>
      <c r="C2077" t="s">
        <v>38</v>
      </c>
      <c r="D2077" t="s">
        <v>674</v>
      </c>
      <c r="E2077" t="s">
        <v>40</v>
      </c>
      <c r="G2077" s="4">
        <v>43946.507337962963</v>
      </c>
      <c r="H2077" s="4">
        <v>43946.507951388889</v>
      </c>
      <c r="I2077" t="s">
        <v>1691</v>
      </c>
      <c r="J2077" s="5">
        <v>53.00000000000000000000000000000000000001</v>
      </c>
      <c r="K2077" t="s">
        <v>38</v>
      </c>
      <c r="M2077">
        <v>58936</v>
      </c>
      <c r="N2077" t="s">
        <v>705</v>
      </c>
      <c r="O2077" t="s">
        <v>706</v>
      </c>
      <c r="P2077" t="s">
        <v>38</v>
      </c>
      <c r="Q2077" t="s">
        <v>236</v>
      </c>
      <c r="R2077">
        <v>12.00000000000000000000000000000000000001</v>
      </c>
      <c r="S2077" t="s">
        <v>45</v>
      </c>
      <c r="T207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7">
        <v>58937</v>
      </c>
      <c r="V2077" t="s">
        <v>38</v>
      </c>
      <c r="W2077" t="s">
        <v>337</v>
      </c>
      <c r="X2077">
        <v>11.00000000000000000000000000000000000002</v>
      </c>
      <c r="Y2077">
        <v>0</v>
      </c>
      <c r="Z2077" t="s">
        <v>46</v>
      </c>
      <c r="AA2077">
        <v>59012</v>
      </c>
      <c r="AB2077" t="s">
        <v>1770</v>
      </c>
      <c r="AC2077" t="s">
        <v>103</v>
      </c>
      <c r="AD2077" t="s">
        <v>38</v>
      </c>
      <c r="AE2077" t="s">
        <v>49</v>
      </c>
      <c r="AF2077" t="s">
        <v>50</v>
      </c>
      <c r="AG2077">
        <v>0</v>
      </c>
      <c r="AH2077">
        <v>0</v>
      </c>
      <c r="AI2077" t="s">
        <v>51</v>
      </c>
      <c r="AJ2077" t="s">
        <v>51</v>
      </c>
      <c r="AK2077" t="s">
        <v>51</v>
      </c>
    </row>
    <row r="2078" spans="1:37" x14ac:dyDescent="0.2">
      <c r="A2078">
        <v>58935</v>
      </c>
      <c r="B2078" t="s">
        <v>37</v>
      </c>
      <c r="C2078" t="s">
        <v>38</v>
      </c>
      <c r="D2078" t="s">
        <v>674</v>
      </c>
      <c r="E2078" t="s">
        <v>40</v>
      </c>
      <c r="G2078" s="4">
        <v>43946.507337962963</v>
      </c>
      <c r="H2078" s="4">
        <v>43946.507951388889</v>
      </c>
      <c r="I2078" t="s">
        <v>1691</v>
      </c>
      <c r="J2078" s="5">
        <v>53.00000000000000000000000000000000000001</v>
      </c>
      <c r="K2078" t="s">
        <v>38</v>
      </c>
      <c r="M2078">
        <v>58936</v>
      </c>
      <c r="N2078" t="s">
        <v>705</v>
      </c>
      <c r="O2078" t="s">
        <v>706</v>
      </c>
      <c r="P2078" t="s">
        <v>38</v>
      </c>
      <c r="Q2078" t="s">
        <v>236</v>
      </c>
      <c r="R2078">
        <v>12.00000000000000000000000000000000000001</v>
      </c>
      <c r="S2078" t="s">
        <v>45</v>
      </c>
      <c r="T207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8">
        <v>58937</v>
      </c>
      <c r="V2078" t="s">
        <v>38</v>
      </c>
      <c r="W2078" t="s">
        <v>337</v>
      </c>
      <c r="X2078">
        <v>11.00000000000000000000000000000000000002</v>
      </c>
      <c r="Y2078">
        <v>0</v>
      </c>
      <c r="Z2078" t="s">
        <v>46</v>
      </c>
      <c r="AA2078">
        <v>59011</v>
      </c>
      <c r="AB2078" t="s">
        <v>1771</v>
      </c>
      <c r="AC2078" t="s">
        <v>103</v>
      </c>
      <c r="AD2078" t="s">
        <v>38</v>
      </c>
      <c r="AE2078" t="s">
        <v>49</v>
      </c>
      <c r="AF2078" t="s">
        <v>50</v>
      </c>
      <c r="AG2078">
        <v>0</v>
      </c>
      <c r="AH2078">
        <v>0</v>
      </c>
      <c r="AI2078" t="s">
        <v>51</v>
      </c>
      <c r="AJ2078" t="s">
        <v>51</v>
      </c>
      <c r="AK2078" t="s">
        <v>51</v>
      </c>
    </row>
    <row r="2079" spans="1:37" x14ac:dyDescent="0.2">
      <c r="A2079">
        <v>58935</v>
      </c>
      <c r="B2079" t="s">
        <v>37</v>
      </c>
      <c r="C2079" t="s">
        <v>38</v>
      </c>
      <c r="D2079" t="s">
        <v>674</v>
      </c>
      <c r="E2079" t="s">
        <v>40</v>
      </c>
      <c r="G2079" s="4">
        <v>43946.507337962963</v>
      </c>
      <c r="H2079" s="4">
        <v>43946.507951388889</v>
      </c>
      <c r="I2079" t="s">
        <v>1691</v>
      </c>
      <c r="J2079" s="5">
        <v>53.00000000000000000000000000000000000001</v>
      </c>
      <c r="K2079" t="s">
        <v>38</v>
      </c>
      <c r="M2079">
        <v>58936</v>
      </c>
      <c r="N2079" t="s">
        <v>705</v>
      </c>
      <c r="O2079" t="s">
        <v>706</v>
      </c>
      <c r="P2079" t="s">
        <v>38</v>
      </c>
      <c r="Q2079" t="s">
        <v>236</v>
      </c>
      <c r="R2079">
        <v>12.00000000000000000000000000000000000001</v>
      </c>
      <c r="S2079" t="s">
        <v>45</v>
      </c>
      <c r="T207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79">
        <v>58937</v>
      </c>
      <c r="V2079" t="s">
        <v>38</v>
      </c>
      <c r="W2079" t="s">
        <v>337</v>
      </c>
      <c r="X2079">
        <v>11.00000000000000000000000000000000000002</v>
      </c>
      <c r="Y2079">
        <v>0</v>
      </c>
      <c r="Z2079" t="s">
        <v>46</v>
      </c>
      <c r="AA2079">
        <v>59010</v>
      </c>
      <c r="AB2079" t="s">
        <v>1772</v>
      </c>
      <c r="AC2079" t="s">
        <v>103</v>
      </c>
      <c r="AD2079" t="s">
        <v>38</v>
      </c>
      <c r="AE2079" t="s">
        <v>49</v>
      </c>
      <c r="AF2079" t="s">
        <v>50</v>
      </c>
      <c r="AG2079">
        <v>0</v>
      </c>
      <c r="AH2079">
        <v>0</v>
      </c>
      <c r="AI2079" t="s">
        <v>51</v>
      </c>
      <c r="AJ2079" t="s">
        <v>51</v>
      </c>
      <c r="AK2079" t="s">
        <v>51</v>
      </c>
    </row>
    <row r="2080" spans="1:37" x14ac:dyDescent="0.2">
      <c r="A2080">
        <v>58935</v>
      </c>
      <c r="B2080" t="s">
        <v>37</v>
      </c>
      <c r="C2080" t="s">
        <v>38</v>
      </c>
      <c r="D2080" t="s">
        <v>674</v>
      </c>
      <c r="E2080" t="s">
        <v>40</v>
      </c>
      <c r="G2080" s="4">
        <v>43946.507337962963</v>
      </c>
      <c r="H2080" s="4">
        <v>43946.507951388889</v>
      </c>
      <c r="I2080" t="s">
        <v>1691</v>
      </c>
      <c r="J2080" s="5">
        <v>53.00000000000000000000000000000000000001</v>
      </c>
      <c r="K2080" t="s">
        <v>38</v>
      </c>
      <c r="M2080">
        <v>58936</v>
      </c>
      <c r="N2080" t="s">
        <v>705</v>
      </c>
      <c r="O2080" t="s">
        <v>706</v>
      </c>
      <c r="P2080" t="s">
        <v>38</v>
      </c>
      <c r="Q2080" t="s">
        <v>236</v>
      </c>
      <c r="R2080">
        <v>12.00000000000000000000000000000000000001</v>
      </c>
      <c r="S2080" t="s">
        <v>45</v>
      </c>
      <c r="T208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0">
        <v>58937</v>
      </c>
      <c r="V2080" t="s">
        <v>38</v>
      </c>
      <c r="W2080" t="s">
        <v>337</v>
      </c>
      <c r="X2080">
        <v>11.00000000000000000000000000000000000002</v>
      </c>
      <c r="Y2080">
        <v>0</v>
      </c>
      <c r="Z2080" t="s">
        <v>46</v>
      </c>
      <c r="AA2080">
        <v>59009</v>
      </c>
      <c r="AB2080" t="s">
        <v>1773</v>
      </c>
      <c r="AC2080" t="s">
        <v>103</v>
      </c>
      <c r="AD2080" t="s">
        <v>38</v>
      </c>
      <c r="AE2080" t="s">
        <v>49</v>
      </c>
      <c r="AF2080" t="s">
        <v>50</v>
      </c>
      <c r="AG2080">
        <v>0</v>
      </c>
      <c r="AH2080">
        <v>0</v>
      </c>
      <c r="AI2080" t="s">
        <v>51</v>
      </c>
      <c r="AJ2080" t="s">
        <v>51</v>
      </c>
      <c r="AK2080" t="s">
        <v>51</v>
      </c>
    </row>
    <row r="2081" spans="1:37" x14ac:dyDescent="0.2">
      <c r="A2081">
        <v>58935</v>
      </c>
      <c r="B2081" t="s">
        <v>37</v>
      </c>
      <c r="C2081" t="s">
        <v>38</v>
      </c>
      <c r="D2081" t="s">
        <v>674</v>
      </c>
      <c r="E2081" t="s">
        <v>40</v>
      </c>
      <c r="G2081" s="4">
        <v>43946.507337962963</v>
      </c>
      <c r="H2081" s="4">
        <v>43946.507951388889</v>
      </c>
      <c r="I2081" t="s">
        <v>1691</v>
      </c>
      <c r="J2081" s="5">
        <v>53.00000000000000000000000000000000000001</v>
      </c>
      <c r="K2081" t="s">
        <v>38</v>
      </c>
      <c r="M2081">
        <v>58936</v>
      </c>
      <c r="N2081" t="s">
        <v>705</v>
      </c>
      <c r="O2081" t="s">
        <v>706</v>
      </c>
      <c r="P2081" t="s">
        <v>38</v>
      </c>
      <c r="Q2081" t="s">
        <v>236</v>
      </c>
      <c r="R2081">
        <v>12.00000000000000000000000000000000000001</v>
      </c>
      <c r="S2081" t="s">
        <v>45</v>
      </c>
      <c r="T208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1">
        <v>58937</v>
      </c>
      <c r="V2081" t="s">
        <v>38</v>
      </c>
      <c r="W2081" t="s">
        <v>337</v>
      </c>
      <c r="X2081">
        <v>11.00000000000000000000000000000000000002</v>
      </c>
      <c r="Y2081">
        <v>0</v>
      </c>
      <c r="Z2081" t="s">
        <v>46</v>
      </c>
      <c r="AA2081">
        <v>59008</v>
      </c>
      <c r="AB2081" t="s">
        <v>1774</v>
      </c>
      <c r="AC2081" t="s">
        <v>103</v>
      </c>
      <c r="AD2081" t="s">
        <v>38</v>
      </c>
      <c r="AE2081" t="s">
        <v>49</v>
      </c>
      <c r="AF2081" t="s">
        <v>50</v>
      </c>
      <c r="AG2081">
        <v>0</v>
      </c>
      <c r="AH2081">
        <v>0</v>
      </c>
      <c r="AI2081" t="s">
        <v>51</v>
      </c>
      <c r="AJ2081" t="s">
        <v>51</v>
      </c>
      <c r="AK2081" t="s">
        <v>51</v>
      </c>
    </row>
    <row r="2082" spans="1:37" x14ac:dyDescent="0.2">
      <c r="A2082">
        <v>58935</v>
      </c>
      <c r="B2082" t="s">
        <v>37</v>
      </c>
      <c r="C2082" t="s">
        <v>38</v>
      </c>
      <c r="D2082" t="s">
        <v>674</v>
      </c>
      <c r="E2082" t="s">
        <v>40</v>
      </c>
      <c r="G2082" s="4">
        <v>43946.507337962963</v>
      </c>
      <c r="H2082" s="4">
        <v>43946.507951388889</v>
      </c>
      <c r="I2082" t="s">
        <v>1691</v>
      </c>
      <c r="J2082" s="5">
        <v>53.00000000000000000000000000000000000001</v>
      </c>
      <c r="K2082" t="s">
        <v>38</v>
      </c>
      <c r="M2082">
        <v>58936</v>
      </c>
      <c r="N2082" t="s">
        <v>705</v>
      </c>
      <c r="O2082" t="s">
        <v>706</v>
      </c>
      <c r="P2082" t="s">
        <v>38</v>
      </c>
      <c r="Q2082" t="s">
        <v>236</v>
      </c>
      <c r="R2082">
        <v>12.00000000000000000000000000000000000001</v>
      </c>
      <c r="S2082" t="s">
        <v>45</v>
      </c>
      <c r="T208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2">
        <v>58937</v>
      </c>
      <c r="V2082" t="s">
        <v>38</v>
      </c>
      <c r="W2082" t="s">
        <v>337</v>
      </c>
      <c r="X2082">
        <v>11.00000000000000000000000000000000000002</v>
      </c>
      <c r="Y2082">
        <v>0</v>
      </c>
      <c r="Z2082" t="s">
        <v>46</v>
      </c>
      <c r="AA2082">
        <v>59007</v>
      </c>
      <c r="AB2082" t="s">
        <v>1775</v>
      </c>
      <c r="AC2082" t="s">
        <v>103</v>
      </c>
      <c r="AD2082" t="s">
        <v>38</v>
      </c>
      <c r="AE2082" t="s">
        <v>49</v>
      </c>
      <c r="AF2082" t="s">
        <v>50</v>
      </c>
      <c r="AG2082">
        <v>0</v>
      </c>
      <c r="AH2082">
        <v>0</v>
      </c>
      <c r="AI2082" t="s">
        <v>51</v>
      </c>
      <c r="AJ2082" t="s">
        <v>51</v>
      </c>
      <c r="AK2082" t="s">
        <v>51</v>
      </c>
    </row>
    <row r="2083" spans="1:37" x14ac:dyDescent="0.2">
      <c r="A2083">
        <v>58935</v>
      </c>
      <c r="B2083" t="s">
        <v>37</v>
      </c>
      <c r="C2083" t="s">
        <v>38</v>
      </c>
      <c r="D2083" t="s">
        <v>674</v>
      </c>
      <c r="E2083" t="s">
        <v>40</v>
      </c>
      <c r="G2083" s="4">
        <v>43946.507337962963</v>
      </c>
      <c r="H2083" s="4">
        <v>43946.507951388889</v>
      </c>
      <c r="I2083" t="s">
        <v>1691</v>
      </c>
      <c r="J2083" s="5">
        <v>53.00000000000000000000000000000000000001</v>
      </c>
      <c r="K2083" t="s">
        <v>38</v>
      </c>
      <c r="M2083">
        <v>58936</v>
      </c>
      <c r="N2083" t="s">
        <v>705</v>
      </c>
      <c r="O2083" t="s">
        <v>706</v>
      </c>
      <c r="P2083" t="s">
        <v>38</v>
      </c>
      <c r="Q2083" t="s">
        <v>236</v>
      </c>
      <c r="R2083">
        <v>12.00000000000000000000000000000000000001</v>
      </c>
      <c r="S2083" t="s">
        <v>45</v>
      </c>
      <c r="T208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3">
        <v>58937</v>
      </c>
      <c r="V2083" t="s">
        <v>38</v>
      </c>
      <c r="W2083" t="s">
        <v>337</v>
      </c>
      <c r="X2083">
        <v>11.00000000000000000000000000000000000002</v>
      </c>
      <c r="Y2083">
        <v>0</v>
      </c>
      <c r="Z2083" t="s">
        <v>46</v>
      </c>
      <c r="AA2083">
        <v>59006</v>
      </c>
      <c r="AB2083" t="s">
        <v>1776</v>
      </c>
      <c r="AC2083" t="s">
        <v>103</v>
      </c>
      <c r="AD2083" t="s">
        <v>38</v>
      </c>
      <c r="AE2083" t="s">
        <v>49</v>
      </c>
      <c r="AF2083" t="s">
        <v>50</v>
      </c>
      <c r="AG2083">
        <v>0</v>
      </c>
      <c r="AH2083">
        <v>0</v>
      </c>
      <c r="AI2083" t="s">
        <v>51</v>
      </c>
      <c r="AJ2083" t="s">
        <v>51</v>
      </c>
      <c r="AK2083" t="s">
        <v>51</v>
      </c>
    </row>
    <row r="2084" spans="1:37" x14ac:dyDescent="0.2">
      <c r="A2084">
        <v>58935</v>
      </c>
      <c r="B2084" t="s">
        <v>37</v>
      </c>
      <c r="C2084" t="s">
        <v>38</v>
      </c>
      <c r="D2084" t="s">
        <v>674</v>
      </c>
      <c r="E2084" t="s">
        <v>40</v>
      </c>
      <c r="G2084" s="4">
        <v>43946.507337962963</v>
      </c>
      <c r="H2084" s="4">
        <v>43946.507951388889</v>
      </c>
      <c r="I2084" t="s">
        <v>1691</v>
      </c>
      <c r="J2084" s="5">
        <v>53.00000000000000000000000000000000000001</v>
      </c>
      <c r="K2084" t="s">
        <v>38</v>
      </c>
      <c r="M2084">
        <v>58936</v>
      </c>
      <c r="N2084" t="s">
        <v>705</v>
      </c>
      <c r="O2084" t="s">
        <v>706</v>
      </c>
      <c r="P2084" t="s">
        <v>38</v>
      </c>
      <c r="Q2084" t="s">
        <v>236</v>
      </c>
      <c r="R2084">
        <v>12.00000000000000000000000000000000000001</v>
      </c>
      <c r="S2084" t="s">
        <v>45</v>
      </c>
      <c r="T208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4">
        <v>58937</v>
      </c>
      <c r="V2084" t="s">
        <v>38</v>
      </c>
      <c r="W2084" t="s">
        <v>337</v>
      </c>
      <c r="X2084">
        <v>11.00000000000000000000000000000000000002</v>
      </c>
      <c r="Y2084">
        <v>0</v>
      </c>
      <c r="Z2084" t="s">
        <v>46</v>
      </c>
      <c r="AA2084">
        <v>59005</v>
      </c>
      <c r="AB2084" t="s">
        <v>1777</v>
      </c>
      <c r="AC2084" t="s">
        <v>103</v>
      </c>
      <c r="AD2084" t="s">
        <v>38</v>
      </c>
      <c r="AE2084" t="s">
        <v>49</v>
      </c>
      <c r="AF2084" t="s">
        <v>50</v>
      </c>
      <c r="AG2084">
        <v>0</v>
      </c>
      <c r="AH2084">
        <v>0</v>
      </c>
      <c r="AI2084" t="s">
        <v>51</v>
      </c>
      <c r="AJ2084" t="s">
        <v>51</v>
      </c>
      <c r="AK2084" t="s">
        <v>51</v>
      </c>
    </row>
    <row r="2085" spans="1:37" x14ac:dyDescent="0.2">
      <c r="A2085">
        <v>58935</v>
      </c>
      <c r="B2085" t="s">
        <v>37</v>
      </c>
      <c r="C2085" t="s">
        <v>38</v>
      </c>
      <c r="D2085" t="s">
        <v>674</v>
      </c>
      <c r="E2085" t="s">
        <v>40</v>
      </c>
      <c r="G2085" s="4">
        <v>43946.507337962963</v>
      </c>
      <c r="H2085" s="4">
        <v>43946.507951388889</v>
      </c>
      <c r="I2085" t="s">
        <v>1691</v>
      </c>
      <c r="J2085" s="5">
        <v>53.00000000000000000000000000000000000001</v>
      </c>
      <c r="K2085" t="s">
        <v>38</v>
      </c>
      <c r="M2085">
        <v>58936</v>
      </c>
      <c r="N2085" t="s">
        <v>705</v>
      </c>
      <c r="O2085" t="s">
        <v>706</v>
      </c>
      <c r="P2085" t="s">
        <v>38</v>
      </c>
      <c r="Q2085" t="s">
        <v>236</v>
      </c>
      <c r="R2085">
        <v>12.00000000000000000000000000000000000001</v>
      </c>
      <c r="S2085" t="s">
        <v>45</v>
      </c>
      <c r="T208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5">
        <v>58937</v>
      </c>
      <c r="V2085" t="s">
        <v>38</v>
      </c>
      <c r="W2085" t="s">
        <v>337</v>
      </c>
      <c r="X2085">
        <v>11.00000000000000000000000000000000000002</v>
      </c>
      <c r="Y2085">
        <v>0</v>
      </c>
      <c r="Z2085" t="s">
        <v>46</v>
      </c>
      <c r="AA2085">
        <v>59004</v>
      </c>
      <c r="AB2085" t="s">
        <v>1778</v>
      </c>
      <c r="AC2085" t="s">
        <v>103</v>
      </c>
      <c r="AD2085" t="s">
        <v>38</v>
      </c>
      <c r="AE2085" t="s">
        <v>49</v>
      </c>
      <c r="AF2085" t="s">
        <v>50</v>
      </c>
      <c r="AG2085">
        <v>0</v>
      </c>
      <c r="AH2085">
        <v>0</v>
      </c>
      <c r="AI2085" t="s">
        <v>51</v>
      </c>
      <c r="AJ2085" t="s">
        <v>51</v>
      </c>
      <c r="AK2085" t="s">
        <v>51</v>
      </c>
    </row>
    <row r="2086" spans="1:37" x14ac:dyDescent="0.2">
      <c r="A2086">
        <v>58935</v>
      </c>
      <c r="B2086" t="s">
        <v>37</v>
      </c>
      <c r="C2086" t="s">
        <v>38</v>
      </c>
      <c r="D2086" t="s">
        <v>674</v>
      </c>
      <c r="E2086" t="s">
        <v>40</v>
      </c>
      <c r="G2086" s="4">
        <v>43946.507337962963</v>
      </c>
      <c r="H2086" s="4">
        <v>43946.507951388889</v>
      </c>
      <c r="I2086" t="s">
        <v>1691</v>
      </c>
      <c r="J2086" s="5">
        <v>53.00000000000000000000000000000000000001</v>
      </c>
      <c r="K2086" t="s">
        <v>38</v>
      </c>
      <c r="M2086">
        <v>58936</v>
      </c>
      <c r="N2086" t="s">
        <v>705</v>
      </c>
      <c r="O2086" t="s">
        <v>706</v>
      </c>
      <c r="P2086" t="s">
        <v>38</v>
      </c>
      <c r="Q2086" t="s">
        <v>236</v>
      </c>
      <c r="R2086">
        <v>12.00000000000000000000000000000000000001</v>
      </c>
      <c r="S2086" t="s">
        <v>45</v>
      </c>
      <c r="T208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6">
        <v>58937</v>
      </c>
      <c r="V2086" t="s">
        <v>38</v>
      </c>
      <c r="W2086" t="s">
        <v>337</v>
      </c>
      <c r="X2086">
        <v>11.00000000000000000000000000000000000002</v>
      </c>
      <c r="Y2086">
        <v>0</v>
      </c>
      <c r="Z2086" t="s">
        <v>46</v>
      </c>
      <c r="AA2086">
        <v>59003</v>
      </c>
      <c r="AB2086" t="s">
        <v>1779</v>
      </c>
      <c r="AC2086" t="s">
        <v>103</v>
      </c>
      <c r="AD2086" t="s">
        <v>38</v>
      </c>
      <c r="AE2086" t="s">
        <v>49</v>
      </c>
      <c r="AF2086" t="s">
        <v>50</v>
      </c>
      <c r="AG2086">
        <v>0</v>
      </c>
      <c r="AH2086">
        <v>0</v>
      </c>
      <c r="AI2086" t="s">
        <v>51</v>
      </c>
      <c r="AJ2086" t="s">
        <v>51</v>
      </c>
      <c r="AK2086" t="s">
        <v>51</v>
      </c>
    </row>
    <row r="2087" spans="1:37" x14ac:dyDescent="0.2">
      <c r="A2087">
        <v>58935</v>
      </c>
      <c r="B2087" t="s">
        <v>37</v>
      </c>
      <c r="C2087" t="s">
        <v>38</v>
      </c>
      <c r="D2087" t="s">
        <v>674</v>
      </c>
      <c r="E2087" t="s">
        <v>40</v>
      </c>
      <c r="G2087" s="4">
        <v>43946.507337962963</v>
      </c>
      <c r="H2087" s="4">
        <v>43946.507951388889</v>
      </c>
      <c r="I2087" t="s">
        <v>1691</v>
      </c>
      <c r="J2087" s="5">
        <v>53.00000000000000000000000000000000000001</v>
      </c>
      <c r="K2087" t="s">
        <v>38</v>
      </c>
      <c r="M2087">
        <v>58936</v>
      </c>
      <c r="N2087" t="s">
        <v>705</v>
      </c>
      <c r="O2087" t="s">
        <v>706</v>
      </c>
      <c r="P2087" t="s">
        <v>38</v>
      </c>
      <c r="Q2087" t="s">
        <v>236</v>
      </c>
      <c r="R2087">
        <v>12.00000000000000000000000000000000000001</v>
      </c>
      <c r="S2087" t="s">
        <v>45</v>
      </c>
      <c r="T208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7">
        <v>58937</v>
      </c>
      <c r="V2087" t="s">
        <v>38</v>
      </c>
      <c r="W2087" t="s">
        <v>337</v>
      </c>
      <c r="X2087">
        <v>11.00000000000000000000000000000000000002</v>
      </c>
      <c r="Y2087">
        <v>0</v>
      </c>
      <c r="Z2087" t="s">
        <v>46</v>
      </c>
      <c r="AA2087">
        <v>59002</v>
      </c>
      <c r="AB2087" t="s">
        <v>1780</v>
      </c>
      <c r="AC2087" t="s">
        <v>103</v>
      </c>
      <c r="AD2087" t="s">
        <v>38</v>
      </c>
      <c r="AE2087" t="s">
        <v>49</v>
      </c>
      <c r="AF2087" t="s">
        <v>50</v>
      </c>
      <c r="AG2087">
        <v>0</v>
      </c>
      <c r="AH2087">
        <v>0</v>
      </c>
      <c r="AI2087" t="s">
        <v>51</v>
      </c>
      <c r="AJ2087" t="s">
        <v>51</v>
      </c>
      <c r="AK2087" t="s">
        <v>51</v>
      </c>
    </row>
    <row r="2088" spans="1:37" x14ac:dyDescent="0.2">
      <c r="A2088">
        <v>58935</v>
      </c>
      <c r="B2088" t="s">
        <v>37</v>
      </c>
      <c r="C2088" t="s">
        <v>38</v>
      </c>
      <c r="D2088" t="s">
        <v>674</v>
      </c>
      <c r="E2088" t="s">
        <v>40</v>
      </c>
      <c r="G2088" s="4">
        <v>43946.507337962963</v>
      </c>
      <c r="H2088" s="4">
        <v>43946.507951388889</v>
      </c>
      <c r="I2088" t="s">
        <v>1691</v>
      </c>
      <c r="J2088" s="5">
        <v>53.00000000000000000000000000000000000001</v>
      </c>
      <c r="K2088" t="s">
        <v>38</v>
      </c>
      <c r="M2088">
        <v>58936</v>
      </c>
      <c r="N2088" t="s">
        <v>705</v>
      </c>
      <c r="O2088" t="s">
        <v>706</v>
      </c>
      <c r="P2088" t="s">
        <v>38</v>
      </c>
      <c r="Q2088" t="s">
        <v>236</v>
      </c>
      <c r="R2088">
        <v>12.00000000000000000000000000000000000001</v>
      </c>
      <c r="S2088" t="s">
        <v>45</v>
      </c>
      <c r="T208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8">
        <v>58937</v>
      </c>
      <c r="V2088" t="s">
        <v>38</v>
      </c>
      <c r="W2088" t="s">
        <v>337</v>
      </c>
      <c r="X2088">
        <v>11.00000000000000000000000000000000000002</v>
      </c>
      <c r="Y2088">
        <v>0</v>
      </c>
      <c r="Z2088" t="s">
        <v>46</v>
      </c>
      <c r="AA2088">
        <v>59001</v>
      </c>
      <c r="AB2088" t="s">
        <v>1781</v>
      </c>
      <c r="AC2088" t="s">
        <v>103</v>
      </c>
      <c r="AD2088" t="s">
        <v>38</v>
      </c>
      <c r="AE2088" t="s">
        <v>49</v>
      </c>
      <c r="AF2088" t="s">
        <v>50</v>
      </c>
      <c r="AG2088">
        <v>0</v>
      </c>
      <c r="AH2088">
        <v>0</v>
      </c>
      <c r="AI2088" t="s">
        <v>51</v>
      </c>
      <c r="AJ2088" t="s">
        <v>51</v>
      </c>
      <c r="AK2088" t="s">
        <v>51</v>
      </c>
    </row>
    <row r="2089" spans="1:37" x14ac:dyDescent="0.2">
      <c r="A2089">
        <v>58935</v>
      </c>
      <c r="B2089" t="s">
        <v>37</v>
      </c>
      <c r="C2089" t="s">
        <v>38</v>
      </c>
      <c r="D2089" t="s">
        <v>674</v>
      </c>
      <c r="E2089" t="s">
        <v>40</v>
      </c>
      <c r="G2089" s="4">
        <v>43946.507337962963</v>
      </c>
      <c r="H2089" s="4">
        <v>43946.507951388889</v>
      </c>
      <c r="I2089" t="s">
        <v>1691</v>
      </c>
      <c r="J2089" s="5">
        <v>53.00000000000000000000000000000000000001</v>
      </c>
      <c r="K2089" t="s">
        <v>38</v>
      </c>
      <c r="M2089">
        <v>58936</v>
      </c>
      <c r="N2089" t="s">
        <v>705</v>
      </c>
      <c r="O2089" t="s">
        <v>706</v>
      </c>
      <c r="P2089" t="s">
        <v>38</v>
      </c>
      <c r="Q2089" t="s">
        <v>236</v>
      </c>
      <c r="R2089">
        <v>12.00000000000000000000000000000000000001</v>
      </c>
      <c r="S2089" t="s">
        <v>45</v>
      </c>
      <c r="T208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89">
        <v>58937</v>
      </c>
      <c r="V2089" t="s">
        <v>38</v>
      </c>
      <c r="W2089" t="s">
        <v>337</v>
      </c>
      <c r="X2089">
        <v>11.00000000000000000000000000000000000002</v>
      </c>
      <c r="Y2089">
        <v>0</v>
      </c>
      <c r="Z2089" t="s">
        <v>46</v>
      </c>
      <c r="AA2089">
        <v>59000</v>
      </c>
      <c r="AB2089" t="s">
        <v>1782</v>
      </c>
      <c r="AC2089" t="s">
        <v>103</v>
      </c>
      <c r="AD2089" t="s">
        <v>38</v>
      </c>
      <c r="AE2089" t="s">
        <v>49</v>
      </c>
      <c r="AF2089" t="s">
        <v>50</v>
      </c>
      <c r="AG2089">
        <v>0</v>
      </c>
      <c r="AH2089">
        <v>0</v>
      </c>
      <c r="AI2089" t="s">
        <v>51</v>
      </c>
      <c r="AJ2089" t="s">
        <v>51</v>
      </c>
      <c r="AK2089" t="s">
        <v>51</v>
      </c>
    </row>
    <row r="2090" spans="1:37" x14ac:dyDescent="0.2">
      <c r="A2090">
        <v>58935</v>
      </c>
      <c r="B2090" t="s">
        <v>37</v>
      </c>
      <c r="C2090" t="s">
        <v>38</v>
      </c>
      <c r="D2090" t="s">
        <v>674</v>
      </c>
      <c r="E2090" t="s">
        <v>40</v>
      </c>
      <c r="G2090" s="4">
        <v>43946.507337962963</v>
      </c>
      <c r="H2090" s="4">
        <v>43946.507951388889</v>
      </c>
      <c r="I2090" t="s">
        <v>1691</v>
      </c>
      <c r="J2090" s="5">
        <v>53.00000000000000000000000000000000000001</v>
      </c>
      <c r="K2090" t="s">
        <v>38</v>
      </c>
      <c r="M2090">
        <v>58936</v>
      </c>
      <c r="N2090" t="s">
        <v>705</v>
      </c>
      <c r="O2090" t="s">
        <v>706</v>
      </c>
      <c r="P2090" t="s">
        <v>38</v>
      </c>
      <c r="Q2090" t="s">
        <v>236</v>
      </c>
      <c r="R2090">
        <v>12.00000000000000000000000000000000000001</v>
      </c>
      <c r="S2090" t="s">
        <v>45</v>
      </c>
      <c r="T209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0">
        <v>58937</v>
      </c>
      <c r="V2090" t="s">
        <v>38</v>
      </c>
      <c r="W2090" t="s">
        <v>337</v>
      </c>
      <c r="X2090">
        <v>11.00000000000000000000000000000000000002</v>
      </c>
      <c r="Y2090">
        <v>0</v>
      </c>
      <c r="Z2090" t="s">
        <v>46</v>
      </c>
      <c r="AA2090">
        <v>58999</v>
      </c>
      <c r="AB2090" t="s">
        <v>1783</v>
      </c>
      <c r="AC2090" t="s">
        <v>103</v>
      </c>
      <c r="AD2090" t="s">
        <v>38</v>
      </c>
      <c r="AE2090" t="s">
        <v>49</v>
      </c>
      <c r="AF2090" t="s">
        <v>50</v>
      </c>
      <c r="AG2090">
        <v>0</v>
      </c>
      <c r="AH2090">
        <v>0</v>
      </c>
      <c r="AI2090" t="s">
        <v>51</v>
      </c>
      <c r="AJ2090" t="s">
        <v>51</v>
      </c>
      <c r="AK2090" t="s">
        <v>51</v>
      </c>
    </row>
    <row r="2091" spans="1:37" x14ac:dyDescent="0.2">
      <c r="A2091">
        <v>58935</v>
      </c>
      <c r="B2091" t="s">
        <v>37</v>
      </c>
      <c r="C2091" t="s">
        <v>38</v>
      </c>
      <c r="D2091" t="s">
        <v>674</v>
      </c>
      <c r="E2091" t="s">
        <v>40</v>
      </c>
      <c r="G2091" s="4">
        <v>43946.507337962963</v>
      </c>
      <c r="H2091" s="4">
        <v>43946.507951388889</v>
      </c>
      <c r="I2091" t="s">
        <v>1691</v>
      </c>
      <c r="J2091" s="5">
        <v>53.00000000000000000000000000000000000001</v>
      </c>
      <c r="K2091" t="s">
        <v>38</v>
      </c>
      <c r="M2091">
        <v>58936</v>
      </c>
      <c r="N2091" t="s">
        <v>705</v>
      </c>
      <c r="O2091" t="s">
        <v>706</v>
      </c>
      <c r="P2091" t="s">
        <v>38</v>
      </c>
      <c r="Q2091" t="s">
        <v>236</v>
      </c>
      <c r="R2091">
        <v>12.00000000000000000000000000000000000001</v>
      </c>
      <c r="S2091" t="s">
        <v>45</v>
      </c>
      <c r="T209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1">
        <v>58937</v>
      </c>
      <c r="V2091" t="s">
        <v>38</v>
      </c>
      <c r="W2091" t="s">
        <v>337</v>
      </c>
      <c r="X2091">
        <v>11.00000000000000000000000000000000000002</v>
      </c>
      <c r="Y2091">
        <v>0</v>
      </c>
      <c r="Z2091" t="s">
        <v>46</v>
      </c>
      <c r="AA2091">
        <v>58998</v>
      </c>
      <c r="AB2091" t="s">
        <v>1784</v>
      </c>
      <c r="AC2091" t="s">
        <v>103</v>
      </c>
      <c r="AD2091" t="s">
        <v>38</v>
      </c>
      <c r="AE2091" t="s">
        <v>49</v>
      </c>
      <c r="AF2091" t="s">
        <v>50</v>
      </c>
      <c r="AG2091">
        <v>0</v>
      </c>
      <c r="AH2091">
        <v>0</v>
      </c>
      <c r="AI2091" t="s">
        <v>51</v>
      </c>
      <c r="AJ2091" t="s">
        <v>51</v>
      </c>
      <c r="AK2091" t="s">
        <v>51</v>
      </c>
    </row>
    <row r="2092" spans="1:37" x14ac:dyDescent="0.2">
      <c r="A2092">
        <v>58935</v>
      </c>
      <c r="B2092" t="s">
        <v>37</v>
      </c>
      <c r="C2092" t="s">
        <v>38</v>
      </c>
      <c r="D2092" t="s">
        <v>674</v>
      </c>
      <c r="E2092" t="s">
        <v>40</v>
      </c>
      <c r="G2092" s="4">
        <v>43946.507337962963</v>
      </c>
      <c r="H2092" s="4">
        <v>43946.507951388889</v>
      </c>
      <c r="I2092" t="s">
        <v>1691</v>
      </c>
      <c r="J2092" s="5">
        <v>53.00000000000000000000000000000000000001</v>
      </c>
      <c r="K2092" t="s">
        <v>38</v>
      </c>
      <c r="M2092">
        <v>58936</v>
      </c>
      <c r="N2092" t="s">
        <v>705</v>
      </c>
      <c r="O2092" t="s">
        <v>706</v>
      </c>
      <c r="P2092" t="s">
        <v>38</v>
      </c>
      <c r="Q2092" t="s">
        <v>236</v>
      </c>
      <c r="R2092">
        <v>12.00000000000000000000000000000000000001</v>
      </c>
      <c r="S2092" t="s">
        <v>45</v>
      </c>
      <c r="T209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2">
        <v>58937</v>
      </c>
      <c r="V2092" t="s">
        <v>38</v>
      </c>
      <c r="W2092" t="s">
        <v>337</v>
      </c>
      <c r="X2092">
        <v>11.00000000000000000000000000000000000002</v>
      </c>
      <c r="Y2092">
        <v>0</v>
      </c>
      <c r="Z2092" t="s">
        <v>46</v>
      </c>
      <c r="AA2092">
        <v>58997</v>
      </c>
      <c r="AB2092" t="s">
        <v>1785</v>
      </c>
      <c r="AC2092" t="s">
        <v>103</v>
      </c>
      <c r="AD2092" t="s">
        <v>38</v>
      </c>
      <c r="AE2092" t="s">
        <v>49</v>
      </c>
      <c r="AF2092" t="s">
        <v>50</v>
      </c>
      <c r="AG2092">
        <v>0</v>
      </c>
      <c r="AH2092">
        <v>0</v>
      </c>
      <c r="AI2092" t="s">
        <v>51</v>
      </c>
      <c r="AJ2092" t="s">
        <v>51</v>
      </c>
      <c r="AK2092" t="s">
        <v>51</v>
      </c>
    </row>
    <row r="2093" spans="1:37" x14ac:dyDescent="0.2">
      <c r="A2093">
        <v>58935</v>
      </c>
      <c r="B2093" t="s">
        <v>37</v>
      </c>
      <c r="C2093" t="s">
        <v>38</v>
      </c>
      <c r="D2093" t="s">
        <v>674</v>
      </c>
      <c r="E2093" t="s">
        <v>40</v>
      </c>
      <c r="G2093" s="4">
        <v>43946.507337962963</v>
      </c>
      <c r="H2093" s="4">
        <v>43946.507951388889</v>
      </c>
      <c r="I2093" t="s">
        <v>1691</v>
      </c>
      <c r="J2093" s="5">
        <v>53.00000000000000000000000000000000000001</v>
      </c>
      <c r="K2093" t="s">
        <v>38</v>
      </c>
      <c r="M2093">
        <v>58936</v>
      </c>
      <c r="N2093" t="s">
        <v>705</v>
      </c>
      <c r="O2093" t="s">
        <v>706</v>
      </c>
      <c r="P2093" t="s">
        <v>38</v>
      </c>
      <c r="Q2093" t="s">
        <v>236</v>
      </c>
      <c r="R2093">
        <v>12.00000000000000000000000000000000000001</v>
      </c>
      <c r="S2093" t="s">
        <v>45</v>
      </c>
      <c r="T209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3">
        <v>58937</v>
      </c>
      <c r="V2093" t="s">
        <v>38</v>
      </c>
      <c r="W2093" t="s">
        <v>337</v>
      </c>
      <c r="X2093">
        <v>11.00000000000000000000000000000000000002</v>
      </c>
      <c r="Y2093">
        <v>0</v>
      </c>
      <c r="Z2093" t="s">
        <v>46</v>
      </c>
      <c r="AA2093">
        <v>58996</v>
      </c>
      <c r="AB2093" t="s">
        <v>1786</v>
      </c>
      <c r="AC2093" t="s">
        <v>103</v>
      </c>
      <c r="AD2093" t="s">
        <v>38</v>
      </c>
      <c r="AE2093" t="s">
        <v>49</v>
      </c>
      <c r="AF2093" t="s">
        <v>50</v>
      </c>
      <c r="AG2093">
        <v>0</v>
      </c>
      <c r="AH2093">
        <v>0</v>
      </c>
      <c r="AI2093" t="s">
        <v>51</v>
      </c>
      <c r="AJ2093" t="s">
        <v>51</v>
      </c>
      <c r="AK2093" t="s">
        <v>51</v>
      </c>
    </row>
    <row r="2094" spans="1:37" x14ac:dyDescent="0.2">
      <c r="A2094">
        <v>58935</v>
      </c>
      <c r="B2094" t="s">
        <v>37</v>
      </c>
      <c r="C2094" t="s">
        <v>38</v>
      </c>
      <c r="D2094" t="s">
        <v>674</v>
      </c>
      <c r="E2094" t="s">
        <v>40</v>
      </c>
      <c r="G2094" s="4">
        <v>43946.507337962963</v>
      </c>
      <c r="H2094" s="4">
        <v>43946.507951388889</v>
      </c>
      <c r="I2094" t="s">
        <v>1691</v>
      </c>
      <c r="J2094" s="5">
        <v>53.00000000000000000000000000000000000001</v>
      </c>
      <c r="K2094" t="s">
        <v>38</v>
      </c>
      <c r="M2094">
        <v>58936</v>
      </c>
      <c r="N2094" t="s">
        <v>705</v>
      </c>
      <c r="O2094" t="s">
        <v>706</v>
      </c>
      <c r="P2094" t="s">
        <v>38</v>
      </c>
      <c r="Q2094" t="s">
        <v>236</v>
      </c>
      <c r="R2094">
        <v>12.00000000000000000000000000000000000001</v>
      </c>
      <c r="S2094" t="s">
        <v>45</v>
      </c>
      <c r="T209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4">
        <v>58937</v>
      </c>
      <c r="V2094" t="s">
        <v>38</v>
      </c>
      <c r="W2094" t="s">
        <v>337</v>
      </c>
      <c r="X2094">
        <v>11.00000000000000000000000000000000000002</v>
      </c>
      <c r="Y2094">
        <v>0</v>
      </c>
      <c r="Z2094" t="s">
        <v>46</v>
      </c>
      <c r="AA2094">
        <v>58995</v>
      </c>
      <c r="AB2094" t="s">
        <v>1787</v>
      </c>
      <c r="AC2094" t="s">
        <v>103</v>
      </c>
      <c r="AD2094" t="s">
        <v>38</v>
      </c>
      <c r="AE2094" t="s">
        <v>49</v>
      </c>
      <c r="AF2094" t="s">
        <v>50</v>
      </c>
      <c r="AG2094">
        <v>0</v>
      </c>
      <c r="AH2094">
        <v>0</v>
      </c>
      <c r="AI2094" t="s">
        <v>51</v>
      </c>
      <c r="AJ2094" t="s">
        <v>51</v>
      </c>
      <c r="AK2094" t="s">
        <v>51</v>
      </c>
    </row>
    <row r="2095" spans="1:37" x14ac:dyDescent="0.2">
      <c r="A2095">
        <v>58935</v>
      </c>
      <c r="B2095" t="s">
        <v>37</v>
      </c>
      <c r="C2095" t="s">
        <v>38</v>
      </c>
      <c r="D2095" t="s">
        <v>674</v>
      </c>
      <c r="E2095" t="s">
        <v>40</v>
      </c>
      <c r="G2095" s="4">
        <v>43946.507337962963</v>
      </c>
      <c r="H2095" s="4">
        <v>43946.507951388889</v>
      </c>
      <c r="I2095" t="s">
        <v>1691</v>
      </c>
      <c r="J2095" s="5">
        <v>53.00000000000000000000000000000000000001</v>
      </c>
      <c r="K2095" t="s">
        <v>38</v>
      </c>
      <c r="M2095">
        <v>58936</v>
      </c>
      <c r="N2095" t="s">
        <v>705</v>
      </c>
      <c r="O2095" t="s">
        <v>706</v>
      </c>
      <c r="P2095" t="s">
        <v>38</v>
      </c>
      <c r="Q2095" t="s">
        <v>236</v>
      </c>
      <c r="R2095">
        <v>12.00000000000000000000000000000000000001</v>
      </c>
      <c r="S2095" t="s">
        <v>45</v>
      </c>
      <c r="T209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5">
        <v>58937</v>
      </c>
      <c r="V2095" t="s">
        <v>38</v>
      </c>
      <c r="W2095" t="s">
        <v>337</v>
      </c>
      <c r="X2095">
        <v>11.00000000000000000000000000000000000002</v>
      </c>
      <c r="Y2095">
        <v>0</v>
      </c>
      <c r="Z2095" t="s">
        <v>46</v>
      </c>
      <c r="AA2095">
        <v>58994</v>
      </c>
      <c r="AB2095" t="s">
        <v>1788</v>
      </c>
      <c r="AC2095" t="s">
        <v>103</v>
      </c>
      <c r="AD2095" t="s">
        <v>38</v>
      </c>
      <c r="AE2095" t="s">
        <v>49</v>
      </c>
      <c r="AF2095" t="s">
        <v>50</v>
      </c>
      <c r="AG2095">
        <v>0</v>
      </c>
      <c r="AH2095">
        <v>0</v>
      </c>
      <c r="AI2095" t="s">
        <v>51</v>
      </c>
      <c r="AJ2095" t="s">
        <v>51</v>
      </c>
      <c r="AK2095" t="s">
        <v>51</v>
      </c>
    </row>
    <row r="2096" spans="1:37" x14ac:dyDescent="0.2">
      <c r="A2096">
        <v>58935</v>
      </c>
      <c r="B2096" t="s">
        <v>37</v>
      </c>
      <c r="C2096" t="s">
        <v>38</v>
      </c>
      <c r="D2096" t="s">
        <v>674</v>
      </c>
      <c r="E2096" t="s">
        <v>40</v>
      </c>
      <c r="G2096" s="4">
        <v>43946.507337962963</v>
      </c>
      <c r="H2096" s="4">
        <v>43946.507951388889</v>
      </c>
      <c r="I2096" t="s">
        <v>1691</v>
      </c>
      <c r="J2096" s="5">
        <v>53.00000000000000000000000000000000000001</v>
      </c>
      <c r="K2096" t="s">
        <v>38</v>
      </c>
      <c r="M2096">
        <v>58936</v>
      </c>
      <c r="N2096" t="s">
        <v>705</v>
      </c>
      <c r="O2096" t="s">
        <v>706</v>
      </c>
      <c r="P2096" t="s">
        <v>38</v>
      </c>
      <c r="Q2096" t="s">
        <v>236</v>
      </c>
      <c r="R2096">
        <v>12.00000000000000000000000000000000000001</v>
      </c>
      <c r="S2096" t="s">
        <v>45</v>
      </c>
      <c r="T209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6">
        <v>58937</v>
      </c>
      <c r="V2096" t="s">
        <v>38</v>
      </c>
      <c r="W2096" t="s">
        <v>337</v>
      </c>
      <c r="X2096">
        <v>11.00000000000000000000000000000000000002</v>
      </c>
      <c r="Y2096">
        <v>0</v>
      </c>
      <c r="Z2096" t="s">
        <v>46</v>
      </c>
      <c r="AA2096">
        <v>58993</v>
      </c>
      <c r="AB2096" t="s">
        <v>1789</v>
      </c>
      <c r="AC2096" t="s">
        <v>103</v>
      </c>
      <c r="AD2096" t="s">
        <v>38</v>
      </c>
      <c r="AE2096" t="s">
        <v>49</v>
      </c>
      <c r="AF2096" t="s">
        <v>50</v>
      </c>
      <c r="AG2096">
        <v>0</v>
      </c>
      <c r="AH2096">
        <v>0</v>
      </c>
      <c r="AI2096" t="s">
        <v>51</v>
      </c>
      <c r="AJ2096" t="s">
        <v>51</v>
      </c>
      <c r="AK2096" t="s">
        <v>51</v>
      </c>
    </row>
    <row r="2097" spans="1:37" x14ac:dyDescent="0.2">
      <c r="A2097">
        <v>58935</v>
      </c>
      <c r="B2097" t="s">
        <v>37</v>
      </c>
      <c r="C2097" t="s">
        <v>38</v>
      </c>
      <c r="D2097" t="s">
        <v>674</v>
      </c>
      <c r="E2097" t="s">
        <v>40</v>
      </c>
      <c r="G2097" s="4">
        <v>43946.507337962963</v>
      </c>
      <c r="H2097" s="4">
        <v>43946.507951388889</v>
      </c>
      <c r="I2097" t="s">
        <v>1691</v>
      </c>
      <c r="J2097" s="5">
        <v>53.00000000000000000000000000000000000001</v>
      </c>
      <c r="K2097" t="s">
        <v>38</v>
      </c>
      <c r="M2097">
        <v>58936</v>
      </c>
      <c r="N2097" t="s">
        <v>705</v>
      </c>
      <c r="O2097" t="s">
        <v>706</v>
      </c>
      <c r="P2097" t="s">
        <v>38</v>
      </c>
      <c r="Q2097" t="s">
        <v>236</v>
      </c>
      <c r="R2097">
        <v>12.00000000000000000000000000000000000001</v>
      </c>
      <c r="S2097" t="s">
        <v>45</v>
      </c>
      <c r="T209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7">
        <v>58937</v>
      </c>
      <c r="V2097" t="s">
        <v>38</v>
      </c>
      <c r="W2097" t="s">
        <v>337</v>
      </c>
      <c r="X2097">
        <v>11.00000000000000000000000000000000000002</v>
      </c>
      <c r="Y2097">
        <v>0</v>
      </c>
      <c r="Z2097" t="s">
        <v>46</v>
      </c>
      <c r="AA2097">
        <v>58992</v>
      </c>
      <c r="AB2097" t="s">
        <v>1790</v>
      </c>
      <c r="AC2097" t="s">
        <v>103</v>
      </c>
      <c r="AD2097" t="s">
        <v>38</v>
      </c>
      <c r="AE2097" t="s">
        <v>49</v>
      </c>
      <c r="AF2097" t="s">
        <v>50</v>
      </c>
      <c r="AG2097">
        <v>0</v>
      </c>
      <c r="AH2097">
        <v>0</v>
      </c>
      <c r="AI2097" t="s">
        <v>51</v>
      </c>
      <c r="AJ2097" t="s">
        <v>51</v>
      </c>
      <c r="AK2097" t="s">
        <v>51</v>
      </c>
    </row>
    <row r="2098" spans="1:37" x14ac:dyDescent="0.2">
      <c r="A2098">
        <v>58935</v>
      </c>
      <c r="B2098" t="s">
        <v>37</v>
      </c>
      <c r="C2098" t="s">
        <v>38</v>
      </c>
      <c r="D2098" t="s">
        <v>674</v>
      </c>
      <c r="E2098" t="s">
        <v>40</v>
      </c>
      <c r="G2098" s="4">
        <v>43946.507337962963</v>
      </c>
      <c r="H2098" s="4">
        <v>43946.507951388889</v>
      </c>
      <c r="I2098" t="s">
        <v>1691</v>
      </c>
      <c r="J2098" s="5">
        <v>53.00000000000000000000000000000000000001</v>
      </c>
      <c r="K2098" t="s">
        <v>38</v>
      </c>
      <c r="M2098">
        <v>58936</v>
      </c>
      <c r="N2098" t="s">
        <v>705</v>
      </c>
      <c r="O2098" t="s">
        <v>706</v>
      </c>
      <c r="P2098" t="s">
        <v>38</v>
      </c>
      <c r="Q2098" t="s">
        <v>236</v>
      </c>
      <c r="R2098">
        <v>12.00000000000000000000000000000000000001</v>
      </c>
      <c r="S2098" t="s">
        <v>45</v>
      </c>
      <c r="T209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8">
        <v>58937</v>
      </c>
      <c r="V2098" t="s">
        <v>38</v>
      </c>
      <c r="W2098" t="s">
        <v>337</v>
      </c>
      <c r="X2098">
        <v>11.00000000000000000000000000000000000002</v>
      </c>
      <c r="Y2098">
        <v>0</v>
      </c>
      <c r="Z2098" t="s">
        <v>46</v>
      </c>
      <c r="AA2098">
        <v>58991</v>
      </c>
      <c r="AB2098" t="s">
        <v>1791</v>
      </c>
      <c r="AC2098" t="s">
        <v>103</v>
      </c>
      <c r="AD2098" t="s">
        <v>38</v>
      </c>
      <c r="AE2098" t="s">
        <v>49</v>
      </c>
      <c r="AF2098" t="s">
        <v>50</v>
      </c>
      <c r="AG2098">
        <v>0</v>
      </c>
      <c r="AH2098">
        <v>0</v>
      </c>
      <c r="AI2098" t="s">
        <v>51</v>
      </c>
      <c r="AJ2098" t="s">
        <v>51</v>
      </c>
      <c r="AK2098" t="s">
        <v>51</v>
      </c>
    </row>
    <row r="2099" spans="1:37" x14ac:dyDescent="0.2">
      <c r="A2099">
        <v>58935</v>
      </c>
      <c r="B2099" t="s">
        <v>37</v>
      </c>
      <c r="C2099" t="s">
        <v>38</v>
      </c>
      <c r="D2099" t="s">
        <v>674</v>
      </c>
      <c r="E2099" t="s">
        <v>40</v>
      </c>
      <c r="G2099" s="4">
        <v>43946.507337962963</v>
      </c>
      <c r="H2099" s="4">
        <v>43946.507951388889</v>
      </c>
      <c r="I2099" t="s">
        <v>1691</v>
      </c>
      <c r="J2099" s="5">
        <v>53.00000000000000000000000000000000000001</v>
      </c>
      <c r="K2099" t="s">
        <v>38</v>
      </c>
      <c r="M2099">
        <v>58936</v>
      </c>
      <c r="N2099" t="s">
        <v>705</v>
      </c>
      <c r="O2099" t="s">
        <v>706</v>
      </c>
      <c r="P2099" t="s">
        <v>38</v>
      </c>
      <c r="Q2099" t="s">
        <v>236</v>
      </c>
      <c r="R2099">
        <v>12.00000000000000000000000000000000000001</v>
      </c>
      <c r="S2099" t="s">
        <v>45</v>
      </c>
      <c r="T209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099">
        <v>58937</v>
      </c>
      <c r="V2099" t="s">
        <v>38</v>
      </c>
      <c r="W2099" t="s">
        <v>337</v>
      </c>
      <c r="X2099">
        <v>11.00000000000000000000000000000000000002</v>
      </c>
      <c r="Y2099">
        <v>0</v>
      </c>
      <c r="Z2099" t="s">
        <v>46</v>
      </c>
      <c r="AA2099">
        <v>58990</v>
      </c>
      <c r="AB2099" t="s">
        <v>1792</v>
      </c>
      <c r="AC2099" t="s">
        <v>103</v>
      </c>
      <c r="AD2099" t="s">
        <v>38</v>
      </c>
      <c r="AE2099" t="s">
        <v>49</v>
      </c>
      <c r="AF2099" t="s">
        <v>50</v>
      </c>
      <c r="AG2099">
        <v>0</v>
      </c>
      <c r="AH2099">
        <v>0</v>
      </c>
      <c r="AI2099" t="s">
        <v>51</v>
      </c>
      <c r="AJ2099" t="s">
        <v>51</v>
      </c>
      <c r="AK2099" t="s">
        <v>51</v>
      </c>
    </row>
    <row r="2100" spans="1:37" x14ac:dyDescent="0.2">
      <c r="A2100">
        <v>58935</v>
      </c>
      <c r="B2100" t="s">
        <v>37</v>
      </c>
      <c r="C2100" t="s">
        <v>38</v>
      </c>
      <c r="D2100" t="s">
        <v>674</v>
      </c>
      <c r="E2100" t="s">
        <v>40</v>
      </c>
      <c r="G2100" s="4">
        <v>43946.507337962963</v>
      </c>
      <c r="H2100" s="4">
        <v>43946.507951388889</v>
      </c>
      <c r="I2100" t="s">
        <v>1691</v>
      </c>
      <c r="J2100" s="5">
        <v>53.00000000000000000000000000000000000001</v>
      </c>
      <c r="K2100" t="s">
        <v>38</v>
      </c>
      <c r="M2100">
        <v>58936</v>
      </c>
      <c r="N2100" t="s">
        <v>705</v>
      </c>
      <c r="O2100" t="s">
        <v>706</v>
      </c>
      <c r="P2100" t="s">
        <v>38</v>
      </c>
      <c r="Q2100" t="s">
        <v>236</v>
      </c>
      <c r="R2100">
        <v>12.00000000000000000000000000000000000001</v>
      </c>
      <c r="S2100" t="s">
        <v>45</v>
      </c>
      <c r="T210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0">
        <v>58937</v>
      </c>
      <c r="V2100" t="s">
        <v>38</v>
      </c>
      <c r="W2100" t="s">
        <v>337</v>
      </c>
      <c r="X2100">
        <v>11.00000000000000000000000000000000000002</v>
      </c>
      <c r="Y2100">
        <v>0</v>
      </c>
      <c r="Z2100" t="s">
        <v>46</v>
      </c>
      <c r="AA2100">
        <v>58989</v>
      </c>
      <c r="AB2100" t="s">
        <v>1793</v>
      </c>
      <c r="AC2100" t="s">
        <v>103</v>
      </c>
      <c r="AD2100" t="s">
        <v>38</v>
      </c>
      <c r="AE2100" t="s">
        <v>49</v>
      </c>
      <c r="AF2100" t="s">
        <v>50</v>
      </c>
      <c r="AG2100">
        <v>0</v>
      </c>
      <c r="AH2100">
        <v>0</v>
      </c>
      <c r="AI2100" t="s">
        <v>51</v>
      </c>
      <c r="AJ2100" t="s">
        <v>51</v>
      </c>
      <c r="AK2100" t="s">
        <v>51</v>
      </c>
    </row>
    <row r="2101" spans="1:37" x14ac:dyDescent="0.2">
      <c r="A2101">
        <v>58935</v>
      </c>
      <c r="B2101" t="s">
        <v>37</v>
      </c>
      <c r="C2101" t="s">
        <v>38</v>
      </c>
      <c r="D2101" t="s">
        <v>674</v>
      </c>
      <c r="E2101" t="s">
        <v>40</v>
      </c>
      <c r="G2101" s="4">
        <v>43946.507337962963</v>
      </c>
      <c r="H2101" s="4">
        <v>43946.507951388889</v>
      </c>
      <c r="I2101" t="s">
        <v>1691</v>
      </c>
      <c r="J2101" s="5">
        <v>53.00000000000000000000000000000000000001</v>
      </c>
      <c r="K2101" t="s">
        <v>38</v>
      </c>
      <c r="M2101">
        <v>58936</v>
      </c>
      <c r="N2101" t="s">
        <v>705</v>
      </c>
      <c r="O2101" t="s">
        <v>706</v>
      </c>
      <c r="P2101" t="s">
        <v>38</v>
      </c>
      <c r="Q2101" t="s">
        <v>236</v>
      </c>
      <c r="R2101">
        <v>12.00000000000000000000000000000000000001</v>
      </c>
      <c r="S2101" t="s">
        <v>45</v>
      </c>
      <c r="T210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1">
        <v>58937</v>
      </c>
      <c r="V2101" t="s">
        <v>38</v>
      </c>
      <c r="W2101" t="s">
        <v>337</v>
      </c>
      <c r="X2101">
        <v>11.00000000000000000000000000000000000002</v>
      </c>
      <c r="Y2101">
        <v>0</v>
      </c>
      <c r="Z2101" t="s">
        <v>46</v>
      </c>
      <c r="AA2101">
        <v>58988</v>
      </c>
      <c r="AB2101" t="s">
        <v>1794</v>
      </c>
      <c r="AC2101" t="s">
        <v>103</v>
      </c>
      <c r="AD2101" t="s">
        <v>38</v>
      </c>
      <c r="AE2101" t="s">
        <v>49</v>
      </c>
      <c r="AF2101" t="s">
        <v>50</v>
      </c>
      <c r="AG2101">
        <v>0</v>
      </c>
      <c r="AH2101">
        <v>0</v>
      </c>
      <c r="AI2101" t="s">
        <v>51</v>
      </c>
      <c r="AJ2101" t="s">
        <v>51</v>
      </c>
      <c r="AK2101" t="s">
        <v>51</v>
      </c>
    </row>
    <row r="2102" spans="1:37" x14ac:dyDescent="0.2">
      <c r="A2102">
        <v>58935</v>
      </c>
      <c r="B2102" t="s">
        <v>37</v>
      </c>
      <c r="C2102" t="s">
        <v>38</v>
      </c>
      <c r="D2102" t="s">
        <v>674</v>
      </c>
      <c r="E2102" t="s">
        <v>40</v>
      </c>
      <c r="G2102" s="4">
        <v>43946.507337962963</v>
      </c>
      <c r="H2102" s="4">
        <v>43946.507951388889</v>
      </c>
      <c r="I2102" t="s">
        <v>1691</v>
      </c>
      <c r="J2102" s="5">
        <v>53.00000000000000000000000000000000000001</v>
      </c>
      <c r="K2102" t="s">
        <v>38</v>
      </c>
      <c r="M2102">
        <v>58936</v>
      </c>
      <c r="N2102" t="s">
        <v>705</v>
      </c>
      <c r="O2102" t="s">
        <v>706</v>
      </c>
      <c r="P2102" t="s">
        <v>38</v>
      </c>
      <c r="Q2102" t="s">
        <v>236</v>
      </c>
      <c r="R2102">
        <v>12.00000000000000000000000000000000000001</v>
      </c>
      <c r="S2102" t="s">
        <v>45</v>
      </c>
      <c r="T210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2">
        <v>58937</v>
      </c>
      <c r="V2102" t="s">
        <v>38</v>
      </c>
      <c r="W2102" t="s">
        <v>337</v>
      </c>
      <c r="X2102">
        <v>11.00000000000000000000000000000000000002</v>
      </c>
      <c r="Y2102">
        <v>0</v>
      </c>
      <c r="Z2102" t="s">
        <v>46</v>
      </c>
      <c r="AA2102">
        <v>58987</v>
      </c>
      <c r="AB2102" t="s">
        <v>1795</v>
      </c>
      <c r="AC2102" t="s">
        <v>103</v>
      </c>
      <c r="AD2102" t="s">
        <v>38</v>
      </c>
      <c r="AE2102" t="s">
        <v>49</v>
      </c>
      <c r="AF2102" t="s">
        <v>50</v>
      </c>
      <c r="AG2102">
        <v>0</v>
      </c>
      <c r="AH2102">
        <v>0</v>
      </c>
      <c r="AI2102" t="s">
        <v>51</v>
      </c>
      <c r="AJ2102" t="s">
        <v>51</v>
      </c>
      <c r="AK2102" t="s">
        <v>51</v>
      </c>
    </row>
    <row r="2103" spans="1:37" x14ac:dyDescent="0.2">
      <c r="A2103">
        <v>58935</v>
      </c>
      <c r="B2103" t="s">
        <v>37</v>
      </c>
      <c r="C2103" t="s">
        <v>38</v>
      </c>
      <c r="D2103" t="s">
        <v>674</v>
      </c>
      <c r="E2103" t="s">
        <v>40</v>
      </c>
      <c r="G2103" s="4">
        <v>43946.507337962963</v>
      </c>
      <c r="H2103" s="4">
        <v>43946.507951388889</v>
      </c>
      <c r="I2103" t="s">
        <v>1691</v>
      </c>
      <c r="J2103" s="5">
        <v>53.00000000000000000000000000000000000001</v>
      </c>
      <c r="K2103" t="s">
        <v>38</v>
      </c>
      <c r="M2103">
        <v>58936</v>
      </c>
      <c r="N2103" t="s">
        <v>705</v>
      </c>
      <c r="O2103" t="s">
        <v>706</v>
      </c>
      <c r="P2103" t="s">
        <v>38</v>
      </c>
      <c r="Q2103" t="s">
        <v>236</v>
      </c>
      <c r="R2103">
        <v>12.00000000000000000000000000000000000001</v>
      </c>
      <c r="S2103" t="s">
        <v>45</v>
      </c>
      <c r="T210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3">
        <v>58937</v>
      </c>
      <c r="V2103" t="s">
        <v>38</v>
      </c>
      <c r="W2103" t="s">
        <v>337</v>
      </c>
      <c r="X2103">
        <v>11.00000000000000000000000000000000000002</v>
      </c>
      <c r="Y2103">
        <v>0</v>
      </c>
      <c r="Z2103" t="s">
        <v>46</v>
      </c>
      <c r="AA2103">
        <v>58986</v>
      </c>
      <c r="AB2103" t="s">
        <v>1796</v>
      </c>
      <c r="AC2103" t="s">
        <v>103</v>
      </c>
      <c r="AD2103" t="s">
        <v>38</v>
      </c>
      <c r="AE2103" t="s">
        <v>49</v>
      </c>
      <c r="AF2103" t="s">
        <v>50</v>
      </c>
      <c r="AG2103">
        <v>0</v>
      </c>
      <c r="AH2103">
        <v>0</v>
      </c>
      <c r="AI2103" t="s">
        <v>51</v>
      </c>
      <c r="AJ2103" t="s">
        <v>51</v>
      </c>
      <c r="AK2103" t="s">
        <v>51</v>
      </c>
    </row>
    <row r="2104" spans="1:37" x14ac:dyDescent="0.2">
      <c r="A2104">
        <v>58935</v>
      </c>
      <c r="B2104" t="s">
        <v>37</v>
      </c>
      <c r="C2104" t="s">
        <v>38</v>
      </c>
      <c r="D2104" t="s">
        <v>674</v>
      </c>
      <c r="E2104" t="s">
        <v>40</v>
      </c>
      <c r="G2104" s="4">
        <v>43946.507337962963</v>
      </c>
      <c r="H2104" s="4">
        <v>43946.507951388889</v>
      </c>
      <c r="I2104" t="s">
        <v>1691</v>
      </c>
      <c r="J2104" s="5">
        <v>53.00000000000000000000000000000000000001</v>
      </c>
      <c r="K2104" t="s">
        <v>38</v>
      </c>
      <c r="M2104">
        <v>58936</v>
      </c>
      <c r="N2104" t="s">
        <v>705</v>
      </c>
      <c r="O2104" t="s">
        <v>706</v>
      </c>
      <c r="P2104" t="s">
        <v>38</v>
      </c>
      <c r="Q2104" t="s">
        <v>236</v>
      </c>
      <c r="R2104">
        <v>12.00000000000000000000000000000000000001</v>
      </c>
      <c r="S2104" t="s">
        <v>45</v>
      </c>
      <c r="T210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4">
        <v>58937</v>
      </c>
      <c r="V2104" t="s">
        <v>38</v>
      </c>
      <c r="W2104" t="s">
        <v>337</v>
      </c>
      <c r="X2104">
        <v>11.00000000000000000000000000000000000002</v>
      </c>
      <c r="Y2104">
        <v>0</v>
      </c>
      <c r="Z2104" t="s">
        <v>46</v>
      </c>
      <c r="AA2104">
        <v>58985</v>
      </c>
      <c r="AB2104" t="s">
        <v>1797</v>
      </c>
      <c r="AC2104" t="s">
        <v>103</v>
      </c>
      <c r="AD2104" t="s">
        <v>38</v>
      </c>
      <c r="AE2104" t="s">
        <v>49</v>
      </c>
      <c r="AF2104" t="s">
        <v>50</v>
      </c>
      <c r="AG2104">
        <v>0</v>
      </c>
      <c r="AH2104">
        <v>0</v>
      </c>
      <c r="AI2104" t="s">
        <v>51</v>
      </c>
      <c r="AJ2104" t="s">
        <v>51</v>
      </c>
      <c r="AK2104" t="s">
        <v>51</v>
      </c>
    </row>
    <row r="2105" spans="1:37" x14ac:dyDescent="0.2">
      <c r="A2105">
        <v>58935</v>
      </c>
      <c r="B2105" t="s">
        <v>37</v>
      </c>
      <c r="C2105" t="s">
        <v>38</v>
      </c>
      <c r="D2105" t="s">
        <v>674</v>
      </c>
      <c r="E2105" t="s">
        <v>40</v>
      </c>
      <c r="G2105" s="4">
        <v>43946.507337962963</v>
      </c>
      <c r="H2105" s="4">
        <v>43946.507951388889</v>
      </c>
      <c r="I2105" t="s">
        <v>1691</v>
      </c>
      <c r="J2105" s="5">
        <v>53.00000000000000000000000000000000000001</v>
      </c>
      <c r="K2105" t="s">
        <v>38</v>
      </c>
      <c r="M2105">
        <v>58936</v>
      </c>
      <c r="N2105" t="s">
        <v>705</v>
      </c>
      <c r="O2105" t="s">
        <v>706</v>
      </c>
      <c r="P2105" t="s">
        <v>38</v>
      </c>
      <c r="Q2105" t="s">
        <v>236</v>
      </c>
      <c r="R2105">
        <v>12.00000000000000000000000000000000000001</v>
      </c>
      <c r="S2105" t="s">
        <v>45</v>
      </c>
      <c r="T210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5">
        <v>58937</v>
      </c>
      <c r="V2105" t="s">
        <v>38</v>
      </c>
      <c r="W2105" t="s">
        <v>337</v>
      </c>
      <c r="X2105">
        <v>11.00000000000000000000000000000000000002</v>
      </c>
      <c r="Y2105">
        <v>0</v>
      </c>
      <c r="Z2105" t="s">
        <v>46</v>
      </c>
      <c r="AA2105">
        <v>58984</v>
      </c>
      <c r="AB2105" t="s">
        <v>1798</v>
      </c>
      <c r="AC2105" t="s">
        <v>103</v>
      </c>
      <c r="AD2105" t="s">
        <v>38</v>
      </c>
      <c r="AE2105" t="s">
        <v>49</v>
      </c>
      <c r="AF2105" t="s">
        <v>50</v>
      </c>
      <c r="AG2105">
        <v>0</v>
      </c>
      <c r="AH2105">
        <v>0</v>
      </c>
      <c r="AI2105" t="s">
        <v>51</v>
      </c>
      <c r="AJ2105" t="s">
        <v>51</v>
      </c>
      <c r="AK2105" t="s">
        <v>51</v>
      </c>
    </row>
    <row r="2106" spans="1:37" x14ac:dyDescent="0.2">
      <c r="A2106">
        <v>58935</v>
      </c>
      <c r="B2106" t="s">
        <v>37</v>
      </c>
      <c r="C2106" t="s">
        <v>38</v>
      </c>
      <c r="D2106" t="s">
        <v>674</v>
      </c>
      <c r="E2106" t="s">
        <v>40</v>
      </c>
      <c r="G2106" s="4">
        <v>43946.507337962963</v>
      </c>
      <c r="H2106" s="4">
        <v>43946.507951388889</v>
      </c>
      <c r="I2106" t="s">
        <v>1691</v>
      </c>
      <c r="J2106" s="5">
        <v>53.00000000000000000000000000000000000001</v>
      </c>
      <c r="K2106" t="s">
        <v>38</v>
      </c>
      <c r="M2106">
        <v>58936</v>
      </c>
      <c r="N2106" t="s">
        <v>705</v>
      </c>
      <c r="O2106" t="s">
        <v>706</v>
      </c>
      <c r="P2106" t="s">
        <v>38</v>
      </c>
      <c r="Q2106" t="s">
        <v>236</v>
      </c>
      <c r="R2106">
        <v>12.00000000000000000000000000000000000001</v>
      </c>
      <c r="S2106" t="s">
        <v>45</v>
      </c>
      <c r="T210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6">
        <v>58937</v>
      </c>
      <c r="V2106" t="s">
        <v>38</v>
      </c>
      <c r="W2106" t="s">
        <v>337</v>
      </c>
      <c r="X2106">
        <v>11.00000000000000000000000000000000000002</v>
      </c>
      <c r="Y2106">
        <v>0</v>
      </c>
      <c r="Z2106" t="s">
        <v>46</v>
      </c>
      <c r="AA2106">
        <v>58983</v>
      </c>
      <c r="AB2106" t="s">
        <v>1799</v>
      </c>
      <c r="AC2106" t="s">
        <v>103</v>
      </c>
      <c r="AD2106" t="s">
        <v>38</v>
      </c>
      <c r="AE2106" t="s">
        <v>49</v>
      </c>
      <c r="AF2106" t="s">
        <v>50</v>
      </c>
      <c r="AG2106">
        <v>0</v>
      </c>
      <c r="AH2106">
        <v>0</v>
      </c>
      <c r="AI2106" t="s">
        <v>51</v>
      </c>
      <c r="AJ2106" t="s">
        <v>51</v>
      </c>
      <c r="AK2106" t="s">
        <v>51</v>
      </c>
    </row>
    <row r="2107" spans="1:37" x14ac:dyDescent="0.2">
      <c r="A2107">
        <v>58935</v>
      </c>
      <c r="B2107" t="s">
        <v>37</v>
      </c>
      <c r="C2107" t="s">
        <v>38</v>
      </c>
      <c r="D2107" t="s">
        <v>674</v>
      </c>
      <c r="E2107" t="s">
        <v>40</v>
      </c>
      <c r="G2107" s="4">
        <v>43946.507337962963</v>
      </c>
      <c r="H2107" s="4">
        <v>43946.507951388889</v>
      </c>
      <c r="I2107" t="s">
        <v>1691</v>
      </c>
      <c r="J2107" s="5">
        <v>53.00000000000000000000000000000000000001</v>
      </c>
      <c r="K2107" t="s">
        <v>38</v>
      </c>
      <c r="M2107">
        <v>58936</v>
      </c>
      <c r="N2107" t="s">
        <v>705</v>
      </c>
      <c r="O2107" t="s">
        <v>706</v>
      </c>
      <c r="P2107" t="s">
        <v>38</v>
      </c>
      <c r="Q2107" t="s">
        <v>236</v>
      </c>
      <c r="R2107">
        <v>12.00000000000000000000000000000000000001</v>
      </c>
      <c r="S2107" t="s">
        <v>45</v>
      </c>
      <c r="T210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7">
        <v>58937</v>
      </c>
      <c r="V2107" t="s">
        <v>38</v>
      </c>
      <c r="W2107" t="s">
        <v>337</v>
      </c>
      <c r="X2107">
        <v>11.00000000000000000000000000000000000002</v>
      </c>
      <c r="Y2107">
        <v>0</v>
      </c>
      <c r="Z2107" t="s">
        <v>46</v>
      </c>
      <c r="AA2107">
        <v>58982</v>
      </c>
      <c r="AB2107" t="s">
        <v>1800</v>
      </c>
      <c r="AC2107" t="s">
        <v>103</v>
      </c>
      <c r="AD2107" t="s">
        <v>38</v>
      </c>
      <c r="AE2107" t="s">
        <v>49</v>
      </c>
      <c r="AF2107" t="s">
        <v>50</v>
      </c>
      <c r="AG2107">
        <v>0</v>
      </c>
      <c r="AH2107">
        <v>0</v>
      </c>
      <c r="AI2107" t="s">
        <v>51</v>
      </c>
      <c r="AJ2107" t="s">
        <v>51</v>
      </c>
      <c r="AK2107" t="s">
        <v>51</v>
      </c>
    </row>
    <row r="2108" spans="1:37" x14ac:dyDescent="0.2">
      <c r="A2108">
        <v>58935</v>
      </c>
      <c r="B2108" t="s">
        <v>37</v>
      </c>
      <c r="C2108" t="s">
        <v>38</v>
      </c>
      <c r="D2108" t="s">
        <v>674</v>
      </c>
      <c r="E2108" t="s">
        <v>40</v>
      </c>
      <c r="G2108" s="4">
        <v>43946.507337962963</v>
      </c>
      <c r="H2108" s="4">
        <v>43946.507951388889</v>
      </c>
      <c r="I2108" t="s">
        <v>1691</v>
      </c>
      <c r="J2108" s="5">
        <v>53.00000000000000000000000000000000000001</v>
      </c>
      <c r="K2108" t="s">
        <v>38</v>
      </c>
      <c r="M2108">
        <v>58936</v>
      </c>
      <c r="N2108" t="s">
        <v>705</v>
      </c>
      <c r="O2108" t="s">
        <v>706</v>
      </c>
      <c r="P2108" t="s">
        <v>38</v>
      </c>
      <c r="Q2108" t="s">
        <v>236</v>
      </c>
      <c r="R2108">
        <v>12.00000000000000000000000000000000000001</v>
      </c>
      <c r="S2108" t="s">
        <v>45</v>
      </c>
      <c r="T210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8">
        <v>58937</v>
      </c>
      <c r="V2108" t="s">
        <v>38</v>
      </c>
      <c r="W2108" t="s">
        <v>337</v>
      </c>
      <c r="X2108">
        <v>11.00000000000000000000000000000000000002</v>
      </c>
      <c r="Y2108">
        <v>0</v>
      </c>
      <c r="Z2108" t="s">
        <v>46</v>
      </c>
      <c r="AA2108">
        <v>58981</v>
      </c>
      <c r="AB2108" t="s">
        <v>1801</v>
      </c>
      <c r="AC2108" t="s">
        <v>103</v>
      </c>
      <c r="AD2108" t="s">
        <v>38</v>
      </c>
      <c r="AE2108" t="s">
        <v>49</v>
      </c>
      <c r="AF2108" t="s">
        <v>50</v>
      </c>
      <c r="AG2108">
        <v>0</v>
      </c>
      <c r="AH2108">
        <v>0</v>
      </c>
      <c r="AI2108" t="s">
        <v>51</v>
      </c>
      <c r="AJ2108" t="s">
        <v>51</v>
      </c>
      <c r="AK2108" t="s">
        <v>51</v>
      </c>
    </row>
    <row r="2109" spans="1:37" x14ac:dyDescent="0.2">
      <c r="A2109">
        <v>58935</v>
      </c>
      <c r="B2109" t="s">
        <v>37</v>
      </c>
      <c r="C2109" t="s">
        <v>38</v>
      </c>
      <c r="D2109" t="s">
        <v>674</v>
      </c>
      <c r="E2109" t="s">
        <v>40</v>
      </c>
      <c r="G2109" s="4">
        <v>43946.507337962963</v>
      </c>
      <c r="H2109" s="4">
        <v>43946.507951388889</v>
      </c>
      <c r="I2109" t="s">
        <v>1691</v>
      </c>
      <c r="J2109" s="5">
        <v>53.00000000000000000000000000000000000001</v>
      </c>
      <c r="K2109" t="s">
        <v>38</v>
      </c>
      <c r="M2109">
        <v>58936</v>
      </c>
      <c r="N2109" t="s">
        <v>705</v>
      </c>
      <c r="O2109" t="s">
        <v>706</v>
      </c>
      <c r="P2109" t="s">
        <v>38</v>
      </c>
      <c r="Q2109" t="s">
        <v>236</v>
      </c>
      <c r="R2109">
        <v>12.00000000000000000000000000000000000001</v>
      </c>
      <c r="S2109" t="s">
        <v>45</v>
      </c>
      <c r="T210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09">
        <v>58937</v>
      </c>
      <c r="V2109" t="s">
        <v>38</v>
      </c>
      <c r="W2109" t="s">
        <v>337</v>
      </c>
      <c r="X2109">
        <v>11.00000000000000000000000000000000000002</v>
      </c>
      <c r="Y2109">
        <v>0</v>
      </c>
      <c r="Z2109" t="s">
        <v>46</v>
      </c>
      <c r="AA2109">
        <v>58980</v>
      </c>
      <c r="AB2109" t="s">
        <v>1802</v>
      </c>
      <c r="AC2109" t="s">
        <v>103</v>
      </c>
      <c r="AD2109" t="s">
        <v>38</v>
      </c>
      <c r="AE2109" t="s">
        <v>49</v>
      </c>
      <c r="AF2109" t="s">
        <v>50</v>
      </c>
      <c r="AG2109">
        <v>0</v>
      </c>
      <c r="AH2109">
        <v>0</v>
      </c>
      <c r="AI2109" t="s">
        <v>51</v>
      </c>
      <c r="AJ2109" t="s">
        <v>51</v>
      </c>
      <c r="AK2109" t="s">
        <v>51</v>
      </c>
    </row>
    <row r="2110" spans="1:37" x14ac:dyDescent="0.2">
      <c r="A2110">
        <v>58935</v>
      </c>
      <c r="B2110" t="s">
        <v>37</v>
      </c>
      <c r="C2110" t="s">
        <v>38</v>
      </c>
      <c r="D2110" t="s">
        <v>674</v>
      </c>
      <c r="E2110" t="s">
        <v>40</v>
      </c>
      <c r="G2110" s="4">
        <v>43946.507337962963</v>
      </c>
      <c r="H2110" s="4">
        <v>43946.507951388889</v>
      </c>
      <c r="I2110" t="s">
        <v>1691</v>
      </c>
      <c r="J2110" s="5">
        <v>53.00000000000000000000000000000000000001</v>
      </c>
      <c r="K2110" t="s">
        <v>38</v>
      </c>
      <c r="M2110">
        <v>58936</v>
      </c>
      <c r="N2110" t="s">
        <v>705</v>
      </c>
      <c r="O2110" t="s">
        <v>706</v>
      </c>
      <c r="P2110" t="s">
        <v>38</v>
      </c>
      <c r="Q2110" t="s">
        <v>236</v>
      </c>
      <c r="R2110">
        <v>12.00000000000000000000000000000000000001</v>
      </c>
      <c r="S2110" t="s">
        <v>45</v>
      </c>
      <c r="T211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0">
        <v>58937</v>
      </c>
      <c r="V2110" t="s">
        <v>38</v>
      </c>
      <c r="W2110" t="s">
        <v>337</v>
      </c>
      <c r="X2110">
        <v>11.00000000000000000000000000000000000002</v>
      </c>
      <c r="Y2110">
        <v>0</v>
      </c>
      <c r="Z2110" t="s">
        <v>46</v>
      </c>
      <c r="AA2110">
        <v>58979</v>
      </c>
      <c r="AB2110" t="s">
        <v>1803</v>
      </c>
      <c r="AC2110" t="s">
        <v>103</v>
      </c>
      <c r="AD2110" t="s">
        <v>38</v>
      </c>
      <c r="AE2110" t="s">
        <v>49</v>
      </c>
      <c r="AF2110" t="s">
        <v>50</v>
      </c>
      <c r="AG2110">
        <v>0</v>
      </c>
      <c r="AH2110">
        <v>0</v>
      </c>
      <c r="AI2110" t="s">
        <v>51</v>
      </c>
      <c r="AJ2110" t="s">
        <v>51</v>
      </c>
      <c r="AK2110" t="s">
        <v>51</v>
      </c>
    </row>
    <row r="2111" spans="1:37" x14ac:dyDescent="0.2">
      <c r="A2111">
        <v>58935</v>
      </c>
      <c r="B2111" t="s">
        <v>37</v>
      </c>
      <c r="C2111" t="s">
        <v>38</v>
      </c>
      <c r="D2111" t="s">
        <v>674</v>
      </c>
      <c r="E2111" t="s">
        <v>40</v>
      </c>
      <c r="G2111" s="4">
        <v>43946.507337962963</v>
      </c>
      <c r="H2111" s="4">
        <v>43946.507951388889</v>
      </c>
      <c r="I2111" t="s">
        <v>1691</v>
      </c>
      <c r="J2111" s="5">
        <v>53.00000000000000000000000000000000000001</v>
      </c>
      <c r="K2111" t="s">
        <v>38</v>
      </c>
      <c r="M2111">
        <v>58936</v>
      </c>
      <c r="N2111" t="s">
        <v>705</v>
      </c>
      <c r="O2111" t="s">
        <v>706</v>
      </c>
      <c r="P2111" t="s">
        <v>38</v>
      </c>
      <c r="Q2111" t="s">
        <v>236</v>
      </c>
      <c r="R2111">
        <v>12.00000000000000000000000000000000000001</v>
      </c>
      <c r="S2111" t="s">
        <v>45</v>
      </c>
      <c r="T211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1">
        <v>58937</v>
      </c>
      <c r="V2111" t="s">
        <v>38</v>
      </c>
      <c r="W2111" t="s">
        <v>337</v>
      </c>
      <c r="X2111">
        <v>11.00000000000000000000000000000000000002</v>
      </c>
      <c r="Y2111">
        <v>0</v>
      </c>
      <c r="Z2111" t="s">
        <v>46</v>
      </c>
      <c r="AA2111">
        <v>58978</v>
      </c>
      <c r="AB2111" t="s">
        <v>1804</v>
      </c>
      <c r="AC2111" t="s">
        <v>103</v>
      </c>
      <c r="AD2111" t="s">
        <v>38</v>
      </c>
      <c r="AE2111" t="s">
        <v>49</v>
      </c>
      <c r="AF2111" t="s">
        <v>50</v>
      </c>
      <c r="AG2111">
        <v>0</v>
      </c>
      <c r="AH2111">
        <v>0</v>
      </c>
      <c r="AI2111" t="s">
        <v>51</v>
      </c>
      <c r="AJ2111" t="s">
        <v>51</v>
      </c>
      <c r="AK2111" t="s">
        <v>51</v>
      </c>
    </row>
    <row r="2112" spans="1:37" x14ac:dyDescent="0.2">
      <c r="A2112">
        <v>58935</v>
      </c>
      <c r="B2112" t="s">
        <v>37</v>
      </c>
      <c r="C2112" t="s">
        <v>38</v>
      </c>
      <c r="D2112" t="s">
        <v>674</v>
      </c>
      <c r="E2112" t="s">
        <v>40</v>
      </c>
      <c r="G2112" s="4">
        <v>43946.507337962963</v>
      </c>
      <c r="H2112" s="4">
        <v>43946.507951388889</v>
      </c>
      <c r="I2112" t="s">
        <v>1691</v>
      </c>
      <c r="J2112" s="5">
        <v>53.00000000000000000000000000000000000001</v>
      </c>
      <c r="K2112" t="s">
        <v>38</v>
      </c>
      <c r="M2112">
        <v>58936</v>
      </c>
      <c r="N2112" t="s">
        <v>705</v>
      </c>
      <c r="O2112" t="s">
        <v>706</v>
      </c>
      <c r="P2112" t="s">
        <v>38</v>
      </c>
      <c r="Q2112" t="s">
        <v>236</v>
      </c>
      <c r="R2112">
        <v>12.00000000000000000000000000000000000001</v>
      </c>
      <c r="S2112" t="s">
        <v>45</v>
      </c>
      <c r="T211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2">
        <v>58937</v>
      </c>
      <c r="V2112" t="s">
        <v>38</v>
      </c>
      <c r="W2112" t="s">
        <v>337</v>
      </c>
      <c r="X2112">
        <v>11.00000000000000000000000000000000000002</v>
      </c>
      <c r="Y2112">
        <v>0</v>
      </c>
      <c r="Z2112" t="s">
        <v>46</v>
      </c>
      <c r="AA2112">
        <v>58977</v>
      </c>
      <c r="AB2112" t="s">
        <v>1805</v>
      </c>
      <c r="AC2112" t="s">
        <v>103</v>
      </c>
      <c r="AD2112" t="s">
        <v>38</v>
      </c>
      <c r="AE2112" t="s">
        <v>49</v>
      </c>
      <c r="AF2112" t="s">
        <v>50</v>
      </c>
      <c r="AG2112">
        <v>0</v>
      </c>
      <c r="AH2112">
        <v>0</v>
      </c>
      <c r="AI2112" t="s">
        <v>51</v>
      </c>
      <c r="AJ2112" t="s">
        <v>51</v>
      </c>
      <c r="AK2112" t="s">
        <v>51</v>
      </c>
    </row>
    <row r="2113" spans="1:37" x14ac:dyDescent="0.2">
      <c r="A2113">
        <v>58935</v>
      </c>
      <c r="B2113" t="s">
        <v>37</v>
      </c>
      <c r="C2113" t="s">
        <v>38</v>
      </c>
      <c r="D2113" t="s">
        <v>674</v>
      </c>
      <c r="E2113" t="s">
        <v>40</v>
      </c>
      <c r="G2113" s="4">
        <v>43946.507337962963</v>
      </c>
      <c r="H2113" s="4">
        <v>43946.507951388889</v>
      </c>
      <c r="I2113" t="s">
        <v>1691</v>
      </c>
      <c r="J2113" s="5">
        <v>53.00000000000000000000000000000000000001</v>
      </c>
      <c r="K2113" t="s">
        <v>38</v>
      </c>
      <c r="M2113">
        <v>58936</v>
      </c>
      <c r="N2113" t="s">
        <v>705</v>
      </c>
      <c r="O2113" t="s">
        <v>706</v>
      </c>
      <c r="P2113" t="s">
        <v>38</v>
      </c>
      <c r="Q2113" t="s">
        <v>236</v>
      </c>
      <c r="R2113">
        <v>12.00000000000000000000000000000000000001</v>
      </c>
      <c r="S2113" t="s">
        <v>45</v>
      </c>
      <c r="T211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3">
        <v>58937</v>
      </c>
      <c r="V2113" t="s">
        <v>38</v>
      </c>
      <c r="W2113" t="s">
        <v>337</v>
      </c>
      <c r="X2113">
        <v>11.00000000000000000000000000000000000002</v>
      </c>
      <c r="Y2113">
        <v>0</v>
      </c>
      <c r="Z2113" t="s">
        <v>46</v>
      </c>
      <c r="AA2113">
        <v>58976</v>
      </c>
      <c r="AB2113" t="s">
        <v>1806</v>
      </c>
      <c r="AC2113" t="s">
        <v>103</v>
      </c>
      <c r="AD2113" t="s">
        <v>38</v>
      </c>
      <c r="AE2113" t="s">
        <v>49</v>
      </c>
      <c r="AF2113" t="s">
        <v>50</v>
      </c>
      <c r="AG2113">
        <v>.9999999999999999999999999999999999999996</v>
      </c>
      <c r="AH2113">
        <v>0</v>
      </c>
      <c r="AI2113" t="s">
        <v>51</v>
      </c>
      <c r="AJ2113" t="s">
        <v>51</v>
      </c>
      <c r="AK2113" t="s">
        <v>51</v>
      </c>
    </row>
    <row r="2114" spans="1:37" x14ac:dyDescent="0.2">
      <c r="A2114">
        <v>58935</v>
      </c>
      <c r="B2114" t="s">
        <v>37</v>
      </c>
      <c r="C2114" t="s">
        <v>38</v>
      </c>
      <c r="D2114" t="s">
        <v>674</v>
      </c>
      <c r="E2114" t="s">
        <v>40</v>
      </c>
      <c r="G2114" s="4">
        <v>43946.507337962963</v>
      </c>
      <c r="H2114" s="4">
        <v>43946.507951388889</v>
      </c>
      <c r="I2114" t="s">
        <v>1691</v>
      </c>
      <c r="J2114" s="5">
        <v>53.00000000000000000000000000000000000001</v>
      </c>
      <c r="K2114" t="s">
        <v>38</v>
      </c>
      <c r="M2114">
        <v>58936</v>
      </c>
      <c r="N2114" t="s">
        <v>705</v>
      </c>
      <c r="O2114" t="s">
        <v>706</v>
      </c>
      <c r="P2114" t="s">
        <v>38</v>
      </c>
      <c r="Q2114" t="s">
        <v>236</v>
      </c>
      <c r="R2114">
        <v>12.00000000000000000000000000000000000001</v>
      </c>
      <c r="S2114" t="s">
        <v>45</v>
      </c>
      <c r="T211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4">
        <v>58937</v>
      </c>
      <c r="V2114" t="s">
        <v>38</v>
      </c>
      <c r="W2114" t="s">
        <v>337</v>
      </c>
      <c r="X2114">
        <v>11.00000000000000000000000000000000000002</v>
      </c>
      <c r="Y2114">
        <v>0</v>
      </c>
      <c r="Z2114" t="s">
        <v>46</v>
      </c>
      <c r="AA2114">
        <v>58975</v>
      </c>
      <c r="AB2114" t="s">
        <v>1807</v>
      </c>
      <c r="AC2114" t="s">
        <v>103</v>
      </c>
      <c r="AD2114" t="s">
        <v>38</v>
      </c>
      <c r="AE2114" t="s">
        <v>49</v>
      </c>
      <c r="AF2114" t="s">
        <v>50</v>
      </c>
      <c r="AG2114">
        <v>0</v>
      </c>
      <c r="AH2114">
        <v>0</v>
      </c>
      <c r="AI2114" t="s">
        <v>51</v>
      </c>
      <c r="AJ2114" t="s">
        <v>51</v>
      </c>
      <c r="AK2114" t="s">
        <v>51</v>
      </c>
    </row>
    <row r="2115" spans="1:37" x14ac:dyDescent="0.2">
      <c r="A2115">
        <v>58935</v>
      </c>
      <c r="B2115" t="s">
        <v>37</v>
      </c>
      <c r="C2115" t="s">
        <v>38</v>
      </c>
      <c r="D2115" t="s">
        <v>674</v>
      </c>
      <c r="E2115" t="s">
        <v>40</v>
      </c>
      <c r="G2115" s="4">
        <v>43946.507337962963</v>
      </c>
      <c r="H2115" s="4">
        <v>43946.507951388889</v>
      </c>
      <c r="I2115" t="s">
        <v>1691</v>
      </c>
      <c r="J2115" s="5">
        <v>53.00000000000000000000000000000000000001</v>
      </c>
      <c r="K2115" t="s">
        <v>38</v>
      </c>
      <c r="M2115">
        <v>58936</v>
      </c>
      <c r="N2115" t="s">
        <v>705</v>
      </c>
      <c r="O2115" t="s">
        <v>706</v>
      </c>
      <c r="P2115" t="s">
        <v>38</v>
      </c>
      <c r="Q2115" t="s">
        <v>236</v>
      </c>
      <c r="R2115">
        <v>12.00000000000000000000000000000000000001</v>
      </c>
      <c r="S2115" t="s">
        <v>45</v>
      </c>
      <c r="T211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5">
        <v>58937</v>
      </c>
      <c r="V2115" t="s">
        <v>38</v>
      </c>
      <c r="W2115" t="s">
        <v>337</v>
      </c>
      <c r="X2115">
        <v>11.00000000000000000000000000000000000002</v>
      </c>
      <c r="Y2115">
        <v>0</v>
      </c>
      <c r="Z2115" t="s">
        <v>46</v>
      </c>
      <c r="AA2115">
        <v>58974</v>
      </c>
      <c r="AB2115" t="s">
        <v>1808</v>
      </c>
      <c r="AC2115" t="s">
        <v>103</v>
      </c>
      <c r="AD2115" t="s">
        <v>38</v>
      </c>
      <c r="AE2115" t="s">
        <v>49</v>
      </c>
      <c r="AF2115" t="s">
        <v>50</v>
      </c>
      <c r="AG2115">
        <v>0</v>
      </c>
      <c r="AH2115">
        <v>0</v>
      </c>
      <c r="AI2115" t="s">
        <v>51</v>
      </c>
      <c r="AJ2115" t="s">
        <v>51</v>
      </c>
      <c r="AK2115" t="s">
        <v>51</v>
      </c>
    </row>
    <row r="2116" spans="1:37" x14ac:dyDescent="0.2">
      <c r="A2116">
        <v>58935</v>
      </c>
      <c r="B2116" t="s">
        <v>37</v>
      </c>
      <c r="C2116" t="s">
        <v>38</v>
      </c>
      <c r="D2116" t="s">
        <v>674</v>
      </c>
      <c r="E2116" t="s">
        <v>40</v>
      </c>
      <c r="G2116" s="4">
        <v>43946.507337962963</v>
      </c>
      <c r="H2116" s="4">
        <v>43946.507951388889</v>
      </c>
      <c r="I2116" t="s">
        <v>1691</v>
      </c>
      <c r="J2116" s="5">
        <v>53.00000000000000000000000000000000000001</v>
      </c>
      <c r="K2116" t="s">
        <v>38</v>
      </c>
      <c r="M2116">
        <v>58936</v>
      </c>
      <c r="N2116" t="s">
        <v>705</v>
      </c>
      <c r="O2116" t="s">
        <v>706</v>
      </c>
      <c r="P2116" t="s">
        <v>38</v>
      </c>
      <c r="Q2116" t="s">
        <v>236</v>
      </c>
      <c r="R2116">
        <v>12.00000000000000000000000000000000000001</v>
      </c>
      <c r="S2116" t="s">
        <v>45</v>
      </c>
      <c r="T211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6">
        <v>58937</v>
      </c>
      <c r="V2116" t="s">
        <v>38</v>
      </c>
      <c r="W2116" t="s">
        <v>337</v>
      </c>
      <c r="X2116">
        <v>11.00000000000000000000000000000000000002</v>
      </c>
      <c r="Y2116">
        <v>0</v>
      </c>
      <c r="Z2116" t="s">
        <v>46</v>
      </c>
      <c r="AA2116">
        <v>58973</v>
      </c>
      <c r="AB2116" t="s">
        <v>1809</v>
      </c>
      <c r="AC2116" t="s">
        <v>103</v>
      </c>
      <c r="AD2116" t="s">
        <v>38</v>
      </c>
      <c r="AE2116" t="s">
        <v>49</v>
      </c>
      <c r="AF2116" t="s">
        <v>50</v>
      </c>
      <c r="AG2116">
        <v>0</v>
      </c>
      <c r="AH2116">
        <v>0</v>
      </c>
      <c r="AI2116" t="s">
        <v>51</v>
      </c>
      <c r="AJ2116" t="s">
        <v>51</v>
      </c>
      <c r="AK2116" t="s">
        <v>51</v>
      </c>
    </row>
    <row r="2117" spans="1:37" x14ac:dyDescent="0.2">
      <c r="A2117">
        <v>58935</v>
      </c>
      <c r="B2117" t="s">
        <v>37</v>
      </c>
      <c r="C2117" t="s">
        <v>38</v>
      </c>
      <c r="D2117" t="s">
        <v>674</v>
      </c>
      <c r="E2117" t="s">
        <v>40</v>
      </c>
      <c r="G2117" s="4">
        <v>43946.507337962963</v>
      </c>
      <c r="H2117" s="4">
        <v>43946.507951388889</v>
      </c>
      <c r="I2117" t="s">
        <v>1691</v>
      </c>
      <c r="J2117" s="5">
        <v>53.00000000000000000000000000000000000001</v>
      </c>
      <c r="K2117" t="s">
        <v>38</v>
      </c>
      <c r="M2117">
        <v>58936</v>
      </c>
      <c r="N2117" t="s">
        <v>705</v>
      </c>
      <c r="O2117" t="s">
        <v>706</v>
      </c>
      <c r="P2117" t="s">
        <v>38</v>
      </c>
      <c r="Q2117" t="s">
        <v>236</v>
      </c>
      <c r="R2117">
        <v>12.00000000000000000000000000000000000001</v>
      </c>
      <c r="S2117" t="s">
        <v>45</v>
      </c>
      <c r="T211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7">
        <v>58937</v>
      </c>
      <c r="V2117" t="s">
        <v>38</v>
      </c>
      <c r="W2117" t="s">
        <v>337</v>
      </c>
      <c r="X2117">
        <v>11.00000000000000000000000000000000000002</v>
      </c>
      <c r="Y2117">
        <v>0</v>
      </c>
      <c r="Z2117" t="s">
        <v>46</v>
      </c>
      <c r="AA2117">
        <v>58972</v>
      </c>
      <c r="AB2117" t="s">
        <v>1810</v>
      </c>
      <c r="AC2117" t="s">
        <v>103</v>
      </c>
      <c r="AD2117" t="s">
        <v>38</v>
      </c>
      <c r="AE2117" t="s">
        <v>49</v>
      </c>
      <c r="AF2117" t="s">
        <v>50</v>
      </c>
      <c r="AG2117">
        <v>0</v>
      </c>
      <c r="AH2117">
        <v>0</v>
      </c>
      <c r="AI2117" t="s">
        <v>51</v>
      </c>
      <c r="AJ2117" t="s">
        <v>51</v>
      </c>
      <c r="AK2117" t="s">
        <v>51</v>
      </c>
    </row>
    <row r="2118" spans="1:37" x14ac:dyDescent="0.2">
      <c r="A2118">
        <v>58935</v>
      </c>
      <c r="B2118" t="s">
        <v>37</v>
      </c>
      <c r="C2118" t="s">
        <v>38</v>
      </c>
      <c r="D2118" t="s">
        <v>674</v>
      </c>
      <c r="E2118" t="s">
        <v>40</v>
      </c>
      <c r="G2118" s="4">
        <v>43946.507337962963</v>
      </c>
      <c r="H2118" s="4">
        <v>43946.507951388889</v>
      </c>
      <c r="I2118" t="s">
        <v>1691</v>
      </c>
      <c r="J2118" s="5">
        <v>53.00000000000000000000000000000000000001</v>
      </c>
      <c r="K2118" t="s">
        <v>38</v>
      </c>
      <c r="M2118">
        <v>58936</v>
      </c>
      <c r="N2118" t="s">
        <v>705</v>
      </c>
      <c r="O2118" t="s">
        <v>706</v>
      </c>
      <c r="P2118" t="s">
        <v>38</v>
      </c>
      <c r="Q2118" t="s">
        <v>236</v>
      </c>
      <c r="R2118">
        <v>12.00000000000000000000000000000000000001</v>
      </c>
      <c r="S2118" t="s">
        <v>45</v>
      </c>
      <c r="T211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8">
        <v>58937</v>
      </c>
      <c r="V2118" t="s">
        <v>38</v>
      </c>
      <c r="W2118" t="s">
        <v>337</v>
      </c>
      <c r="X2118">
        <v>11.00000000000000000000000000000000000002</v>
      </c>
      <c r="Y2118">
        <v>0</v>
      </c>
      <c r="Z2118" t="s">
        <v>46</v>
      </c>
      <c r="AA2118">
        <v>58971</v>
      </c>
      <c r="AB2118" t="s">
        <v>1811</v>
      </c>
      <c r="AC2118" t="s">
        <v>103</v>
      </c>
      <c r="AD2118" t="s">
        <v>38</v>
      </c>
      <c r="AE2118" t="s">
        <v>49</v>
      </c>
      <c r="AF2118" t="s">
        <v>50</v>
      </c>
      <c r="AG2118">
        <v>0</v>
      </c>
      <c r="AH2118">
        <v>0</v>
      </c>
      <c r="AI2118" t="s">
        <v>51</v>
      </c>
      <c r="AJ2118" t="s">
        <v>51</v>
      </c>
      <c r="AK2118" t="s">
        <v>51</v>
      </c>
    </row>
    <row r="2119" spans="1:37" x14ac:dyDescent="0.2">
      <c r="A2119">
        <v>58935</v>
      </c>
      <c r="B2119" t="s">
        <v>37</v>
      </c>
      <c r="C2119" t="s">
        <v>38</v>
      </c>
      <c r="D2119" t="s">
        <v>674</v>
      </c>
      <c r="E2119" t="s">
        <v>40</v>
      </c>
      <c r="G2119" s="4">
        <v>43946.507337962963</v>
      </c>
      <c r="H2119" s="4">
        <v>43946.507951388889</v>
      </c>
      <c r="I2119" t="s">
        <v>1691</v>
      </c>
      <c r="J2119" s="5">
        <v>53.00000000000000000000000000000000000001</v>
      </c>
      <c r="K2119" t="s">
        <v>38</v>
      </c>
      <c r="M2119">
        <v>58936</v>
      </c>
      <c r="N2119" t="s">
        <v>705</v>
      </c>
      <c r="O2119" t="s">
        <v>706</v>
      </c>
      <c r="P2119" t="s">
        <v>38</v>
      </c>
      <c r="Q2119" t="s">
        <v>236</v>
      </c>
      <c r="R2119">
        <v>12.00000000000000000000000000000000000001</v>
      </c>
      <c r="S2119" t="s">
        <v>45</v>
      </c>
      <c r="T211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19">
        <v>58937</v>
      </c>
      <c r="V2119" t="s">
        <v>38</v>
      </c>
      <c r="W2119" t="s">
        <v>337</v>
      </c>
      <c r="X2119">
        <v>11.00000000000000000000000000000000000002</v>
      </c>
      <c r="Y2119">
        <v>0</v>
      </c>
      <c r="Z2119" t="s">
        <v>46</v>
      </c>
      <c r="AA2119">
        <v>58970</v>
      </c>
      <c r="AB2119" t="s">
        <v>1812</v>
      </c>
      <c r="AC2119" t="s">
        <v>103</v>
      </c>
      <c r="AD2119" t="s">
        <v>38</v>
      </c>
      <c r="AE2119" t="s">
        <v>49</v>
      </c>
      <c r="AF2119" t="s">
        <v>50</v>
      </c>
      <c r="AG2119">
        <v>.9999999999999999999999999999999999999996</v>
      </c>
      <c r="AH2119">
        <v>0</v>
      </c>
      <c r="AI2119" t="s">
        <v>51</v>
      </c>
      <c r="AJ2119" t="s">
        <v>51</v>
      </c>
      <c r="AK2119" t="s">
        <v>51</v>
      </c>
    </row>
    <row r="2120" spans="1:37" x14ac:dyDescent="0.2">
      <c r="A2120">
        <v>58935</v>
      </c>
      <c r="B2120" t="s">
        <v>37</v>
      </c>
      <c r="C2120" t="s">
        <v>38</v>
      </c>
      <c r="D2120" t="s">
        <v>674</v>
      </c>
      <c r="E2120" t="s">
        <v>40</v>
      </c>
      <c r="G2120" s="4">
        <v>43946.507337962963</v>
      </c>
      <c r="H2120" s="4">
        <v>43946.507951388889</v>
      </c>
      <c r="I2120" t="s">
        <v>1691</v>
      </c>
      <c r="J2120" s="5">
        <v>53.00000000000000000000000000000000000001</v>
      </c>
      <c r="K2120" t="s">
        <v>38</v>
      </c>
      <c r="M2120">
        <v>58936</v>
      </c>
      <c r="N2120" t="s">
        <v>705</v>
      </c>
      <c r="O2120" t="s">
        <v>706</v>
      </c>
      <c r="P2120" t="s">
        <v>38</v>
      </c>
      <c r="Q2120" t="s">
        <v>236</v>
      </c>
      <c r="R2120">
        <v>12.00000000000000000000000000000000000001</v>
      </c>
      <c r="S2120" t="s">
        <v>45</v>
      </c>
      <c r="T212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0">
        <v>58937</v>
      </c>
      <c r="V2120" t="s">
        <v>38</v>
      </c>
      <c r="W2120" t="s">
        <v>337</v>
      </c>
      <c r="X2120">
        <v>11.00000000000000000000000000000000000002</v>
      </c>
      <c r="Y2120">
        <v>0</v>
      </c>
      <c r="Z2120" t="s">
        <v>46</v>
      </c>
      <c r="AA2120">
        <v>58969</v>
      </c>
      <c r="AB2120" t="s">
        <v>1813</v>
      </c>
      <c r="AC2120" t="s">
        <v>103</v>
      </c>
      <c r="AD2120" t="s">
        <v>38</v>
      </c>
      <c r="AE2120" t="s">
        <v>49</v>
      </c>
      <c r="AF2120" t="s">
        <v>50</v>
      </c>
      <c r="AG2120">
        <v>0</v>
      </c>
      <c r="AH2120">
        <v>0</v>
      </c>
      <c r="AI2120" t="s">
        <v>51</v>
      </c>
      <c r="AJ2120" t="s">
        <v>51</v>
      </c>
      <c r="AK2120" t="s">
        <v>51</v>
      </c>
    </row>
    <row r="2121" spans="1:37" x14ac:dyDescent="0.2">
      <c r="A2121">
        <v>58935</v>
      </c>
      <c r="B2121" t="s">
        <v>37</v>
      </c>
      <c r="C2121" t="s">
        <v>38</v>
      </c>
      <c r="D2121" t="s">
        <v>674</v>
      </c>
      <c r="E2121" t="s">
        <v>40</v>
      </c>
      <c r="G2121" s="4">
        <v>43946.507337962963</v>
      </c>
      <c r="H2121" s="4">
        <v>43946.507951388889</v>
      </c>
      <c r="I2121" t="s">
        <v>1691</v>
      </c>
      <c r="J2121" s="5">
        <v>53.00000000000000000000000000000000000001</v>
      </c>
      <c r="K2121" t="s">
        <v>38</v>
      </c>
      <c r="M2121">
        <v>58936</v>
      </c>
      <c r="N2121" t="s">
        <v>705</v>
      </c>
      <c r="O2121" t="s">
        <v>706</v>
      </c>
      <c r="P2121" t="s">
        <v>38</v>
      </c>
      <c r="Q2121" t="s">
        <v>236</v>
      </c>
      <c r="R2121">
        <v>12.00000000000000000000000000000000000001</v>
      </c>
      <c r="S2121" t="s">
        <v>45</v>
      </c>
      <c r="T212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1">
        <v>58937</v>
      </c>
      <c r="V2121" t="s">
        <v>38</v>
      </c>
      <c r="W2121" t="s">
        <v>337</v>
      </c>
      <c r="X2121">
        <v>11.00000000000000000000000000000000000002</v>
      </c>
      <c r="Y2121">
        <v>0</v>
      </c>
      <c r="Z2121" t="s">
        <v>46</v>
      </c>
      <c r="AA2121">
        <v>58968</v>
      </c>
      <c r="AB2121" t="s">
        <v>1814</v>
      </c>
      <c r="AC2121" t="s">
        <v>103</v>
      </c>
      <c r="AD2121" t="s">
        <v>38</v>
      </c>
      <c r="AE2121" t="s">
        <v>49</v>
      </c>
      <c r="AF2121" t="s">
        <v>50</v>
      </c>
      <c r="AG2121">
        <v>0</v>
      </c>
      <c r="AH2121">
        <v>0</v>
      </c>
      <c r="AI2121" t="s">
        <v>51</v>
      </c>
      <c r="AJ2121" t="s">
        <v>51</v>
      </c>
      <c r="AK2121" t="s">
        <v>51</v>
      </c>
    </row>
    <row r="2122" spans="1:37" x14ac:dyDescent="0.2">
      <c r="A2122">
        <v>58935</v>
      </c>
      <c r="B2122" t="s">
        <v>37</v>
      </c>
      <c r="C2122" t="s">
        <v>38</v>
      </c>
      <c r="D2122" t="s">
        <v>674</v>
      </c>
      <c r="E2122" t="s">
        <v>40</v>
      </c>
      <c r="G2122" s="4">
        <v>43946.507337962963</v>
      </c>
      <c r="H2122" s="4">
        <v>43946.507951388889</v>
      </c>
      <c r="I2122" t="s">
        <v>1691</v>
      </c>
      <c r="J2122" s="5">
        <v>53.00000000000000000000000000000000000001</v>
      </c>
      <c r="K2122" t="s">
        <v>38</v>
      </c>
      <c r="M2122">
        <v>58936</v>
      </c>
      <c r="N2122" t="s">
        <v>705</v>
      </c>
      <c r="O2122" t="s">
        <v>706</v>
      </c>
      <c r="P2122" t="s">
        <v>38</v>
      </c>
      <c r="Q2122" t="s">
        <v>236</v>
      </c>
      <c r="R2122">
        <v>12.00000000000000000000000000000000000001</v>
      </c>
      <c r="S2122" t="s">
        <v>45</v>
      </c>
      <c r="T212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2">
        <v>58937</v>
      </c>
      <c r="V2122" t="s">
        <v>38</v>
      </c>
      <c r="W2122" t="s">
        <v>337</v>
      </c>
      <c r="X2122">
        <v>11.00000000000000000000000000000000000002</v>
      </c>
      <c r="Y2122">
        <v>0</v>
      </c>
      <c r="Z2122" t="s">
        <v>46</v>
      </c>
      <c r="AA2122">
        <v>58967</v>
      </c>
      <c r="AB2122" t="s">
        <v>1815</v>
      </c>
      <c r="AC2122" t="s">
        <v>103</v>
      </c>
      <c r="AD2122" t="s">
        <v>38</v>
      </c>
      <c r="AE2122" t="s">
        <v>49</v>
      </c>
      <c r="AF2122" t="s">
        <v>50</v>
      </c>
      <c r="AG2122">
        <v>0</v>
      </c>
      <c r="AH2122">
        <v>0</v>
      </c>
      <c r="AI2122" t="s">
        <v>51</v>
      </c>
      <c r="AJ2122" t="s">
        <v>51</v>
      </c>
      <c r="AK2122" t="s">
        <v>51</v>
      </c>
    </row>
    <row r="2123" spans="1:37" x14ac:dyDescent="0.2">
      <c r="A2123">
        <v>58935</v>
      </c>
      <c r="B2123" t="s">
        <v>37</v>
      </c>
      <c r="C2123" t="s">
        <v>38</v>
      </c>
      <c r="D2123" t="s">
        <v>674</v>
      </c>
      <c r="E2123" t="s">
        <v>40</v>
      </c>
      <c r="G2123" s="4">
        <v>43946.507337962963</v>
      </c>
      <c r="H2123" s="4">
        <v>43946.507951388889</v>
      </c>
      <c r="I2123" t="s">
        <v>1691</v>
      </c>
      <c r="J2123" s="5">
        <v>53.00000000000000000000000000000000000001</v>
      </c>
      <c r="K2123" t="s">
        <v>38</v>
      </c>
      <c r="M2123">
        <v>58936</v>
      </c>
      <c r="N2123" t="s">
        <v>705</v>
      </c>
      <c r="O2123" t="s">
        <v>706</v>
      </c>
      <c r="P2123" t="s">
        <v>38</v>
      </c>
      <c r="Q2123" t="s">
        <v>236</v>
      </c>
      <c r="R2123">
        <v>12.00000000000000000000000000000000000001</v>
      </c>
      <c r="S2123" t="s">
        <v>45</v>
      </c>
      <c r="T212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3">
        <v>58937</v>
      </c>
      <c r="V2123" t="s">
        <v>38</v>
      </c>
      <c r="W2123" t="s">
        <v>337</v>
      </c>
      <c r="X2123">
        <v>11.00000000000000000000000000000000000002</v>
      </c>
      <c r="Y2123">
        <v>0</v>
      </c>
      <c r="Z2123" t="s">
        <v>46</v>
      </c>
      <c r="AA2123">
        <v>58966</v>
      </c>
      <c r="AB2123" t="s">
        <v>1816</v>
      </c>
      <c r="AC2123" t="s">
        <v>103</v>
      </c>
      <c r="AD2123" t="s">
        <v>38</v>
      </c>
      <c r="AE2123" t="s">
        <v>49</v>
      </c>
      <c r="AF2123" t="s">
        <v>50</v>
      </c>
      <c r="AG2123">
        <v>0</v>
      </c>
      <c r="AH2123">
        <v>0</v>
      </c>
      <c r="AI2123" t="s">
        <v>51</v>
      </c>
      <c r="AJ2123" t="s">
        <v>51</v>
      </c>
      <c r="AK2123" t="s">
        <v>51</v>
      </c>
    </row>
    <row r="2124" spans="1:37" x14ac:dyDescent="0.2">
      <c r="A2124">
        <v>58935</v>
      </c>
      <c r="B2124" t="s">
        <v>37</v>
      </c>
      <c r="C2124" t="s">
        <v>38</v>
      </c>
      <c r="D2124" t="s">
        <v>674</v>
      </c>
      <c r="E2124" t="s">
        <v>40</v>
      </c>
      <c r="G2124" s="4">
        <v>43946.507337962963</v>
      </c>
      <c r="H2124" s="4">
        <v>43946.507951388889</v>
      </c>
      <c r="I2124" t="s">
        <v>1691</v>
      </c>
      <c r="J2124" s="5">
        <v>53.00000000000000000000000000000000000001</v>
      </c>
      <c r="K2124" t="s">
        <v>38</v>
      </c>
      <c r="M2124">
        <v>58936</v>
      </c>
      <c r="N2124" t="s">
        <v>705</v>
      </c>
      <c r="O2124" t="s">
        <v>706</v>
      </c>
      <c r="P2124" t="s">
        <v>38</v>
      </c>
      <c r="Q2124" t="s">
        <v>236</v>
      </c>
      <c r="R2124">
        <v>12.00000000000000000000000000000000000001</v>
      </c>
      <c r="S2124" t="s">
        <v>45</v>
      </c>
      <c r="T212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4">
        <v>58937</v>
      </c>
      <c r="V2124" t="s">
        <v>38</v>
      </c>
      <c r="W2124" t="s">
        <v>337</v>
      </c>
      <c r="X2124">
        <v>11.00000000000000000000000000000000000002</v>
      </c>
      <c r="Y2124">
        <v>0</v>
      </c>
      <c r="Z2124" t="s">
        <v>46</v>
      </c>
      <c r="AA2124">
        <v>58965</v>
      </c>
      <c r="AB2124" t="s">
        <v>1817</v>
      </c>
      <c r="AC2124" t="s">
        <v>103</v>
      </c>
      <c r="AD2124" t="s">
        <v>38</v>
      </c>
      <c r="AE2124" t="s">
        <v>49</v>
      </c>
      <c r="AF2124" t="s">
        <v>50</v>
      </c>
      <c r="AG2124">
        <v>0</v>
      </c>
      <c r="AH2124">
        <v>0</v>
      </c>
      <c r="AI2124" t="s">
        <v>51</v>
      </c>
      <c r="AJ2124" t="s">
        <v>51</v>
      </c>
      <c r="AK2124" t="s">
        <v>51</v>
      </c>
    </row>
    <row r="2125" spans="1:37" x14ac:dyDescent="0.2">
      <c r="A2125">
        <v>58935</v>
      </c>
      <c r="B2125" t="s">
        <v>37</v>
      </c>
      <c r="C2125" t="s">
        <v>38</v>
      </c>
      <c r="D2125" t="s">
        <v>674</v>
      </c>
      <c r="E2125" t="s">
        <v>40</v>
      </c>
      <c r="G2125" s="4">
        <v>43946.507337962963</v>
      </c>
      <c r="H2125" s="4">
        <v>43946.507951388889</v>
      </c>
      <c r="I2125" t="s">
        <v>1691</v>
      </c>
      <c r="J2125" s="5">
        <v>53.00000000000000000000000000000000000001</v>
      </c>
      <c r="K2125" t="s">
        <v>38</v>
      </c>
      <c r="M2125">
        <v>58936</v>
      </c>
      <c r="N2125" t="s">
        <v>705</v>
      </c>
      <c r="O2125" t="s">
        <v>706</v>
      </c>
      <c r="P2125" t="s">
        <v>38</v>
      </c>
      <c r="Q2125" t="s">
        <v>236</v>
      </c>
      <c r="R2125">
        <v>12.00000000000000000000000000000000000001</v>
      </c>
      <c r="S2125" t="s">
        <v>45</v>
      </c>
      <c r="T212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5">
        <v>58937</v>
      </c>
      <c r="V2125" t="s">
        <v>38</v>
      </c>
      <c r="W2125" t="s">
        <v>337</v>
      </c>
      <c r="X2125">
        <v>11.00000000000000000000000000000000000002</v>
      </c>
      <c r="Y2125">
        <v>0</v>
      </c>
      <c r="Z2125" t="s">
        <v>46</v>
      </c>
      <c r="AA2125">
        <v>58964</v>
      </c>
      <c r="AB2125" t="s">
        <v>1818</v>
      </c>
      <c r="AC2125" t="s">
        <v>103</v>
      </c>
      <c r="AD2125" t="s">
        <v>38</v>
      </c>
      <c r="AE2125" t="s">
        <v>49</v>
      </c>
      <c r="AF2125" t="s">
        <v>50</v>
      </c>
      <c r="AG2125">
        <v>0</v>
      </c>
      <c r="AH2125">
        <v>0</v>
      </c>
      <c r="AI2125" t="s">
        <v>51</v>
      </c>
      <c r="AJ2125" t="s">
        <v>51</v>
      </c>
      <c r="AK2125" t="s">
        <v>51</v>
      </c>
    </row>
    <row r="2126" spans="1:37" x14ac:dyDescent="0.2">
      <c r="A2126">
        <v>58935</v>
      </c>
      <c r="B2126" t="s">
        <v>37</v>
      </c>
      <c r="C2126" t="s">
        <v>38</v>
      </c>
      <c r="D2126" t="s">
        <v>674</v>
      </c>
      <c r="E2126" t="s">
        <v>40</v>
      </c>
      <c r="G2126" s="4">
        <v>43946.507337962963</v>
      </c>
      <c r="H2126" s="4">
        <v>43946.507951388889</v>
      </c>
      <c r="I2126" t="s">
        <v>1691</v>
      </c>
      <c r="J2126" s="5">
        <v>53.00000000000000000000000000000000000001</v>
      </c>
      <c r="K2126" t="s">
        <v>38</v>
      </c>
      <c r="M2126">
        <v>58936</v>
      </c>
      <c r="N2126" t="s">
        <v>705</v>
      </c>
      <c r="O2126" t="s">
        <v>706</v>
      </c>
      <c r="P2126" t="s">
        <v>38</v>
      </c>
      <c r="Q2126" t="s">
        <v>236</v>
      </c>
      <c r="R2126">
        <v>12.00000000000000000000000000000000000001</v>
      </c>
      <c r="S2126" t="s">
        <v>45</v>
      </c>
      <c r="T212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6">
        <v>58937</v>
      </c>
      <c r="V2126" t="s">
        <v>38</v>
      </c>
      <c r="W2126" t="s">
        <v>337</v>
      </c>
      <c r="X2126">
        <v>11.00000000000000000000000000000000000002</v>
      </c>
      <c r="Y2126">
        <v>0</v>
      </c>
      <c r="Z2126" t="s">
        <v>46</v>
      </c>
      <c r="AA2126">
        <v>58963</v>
      </c>
      <c r="AB2126" t="s">
        <v>1819</v>
      </c>
      <c r="AC2126" t="s">
        <v>103</v>
      </c>
      <c r="AD2126" t="s">
        <v>38</v>
      </c>
      <c r="AE2126" t="s">
        <v>49</v>
      </c>
      <c r="AF2126" t="s">
        <v>50</v>
      </c>
      <c r="AG2126">
        <v>0</v>
      </c>
      <c r="AH2126">
        <v>0</v>
      </c>
      <c r="AI2126" t="s">
        <v>51</v>
      </c>
      <c r="AJ2126" t="s">
        <v>51</v>
      </c>
      <c r="AK2126" t="s">
        <v>51</v>
      </c>
    </row>
    <row r="2127" spans="1:37" x14ac:dyDescent="0.2">
      <c r="A2127">
        <v>58935</v>
      </c>
      <c r="B2127" t="s">
        <v>37</v>
      </c>
      <c r="C2127" t="s">
        <v>38</v>
      </c>
      <c r="D2127" t="s">
        <v>674</v>
      </c>
      <c r="E2127" t="s">
        <v>40</v>
      </c>
      <c r="G2127" s="4">
        <v>43946.507337962963</v>
      </c>
      <c r="H2127" s="4">
        <v>43946.507951388889</v>
      </c>
      <c r="I2127" t="s">
        <v>1691</v>
      </c>
      <c r="J2127" s="5">
        <v>53.00000000000000000000000000000000000001</v>
      </c>
      <c r="K2127" t="s">
        <v>38</v>
      </c>
      <c r="M2127">
        <v>58936</v>
      </c>
      <c r="N2127" t="s">
        <v>705</v>
      </c>
      <c r="O2127" t="s">
        <v>706</v>
      </c>
      <c r="P2127" t="s">
        <v>38</v>
      </c>
      <c r="Q2127" t="s">
        <v>236</v>
      </c>
      <c r="R2127">
        <v>12.00000000000000000000000000000000000001</v>
      </c>
      <c r="S2127" t="s">
        <v>45</v>
      </c>
      <c r="T212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7">
        <v>58937</v>
      </c>
      <c r="V2127" t="s">
        <v>38</v>
      </c>
      <c r="W2127" t="s">
        <v>337</v>
      </c>
      <c r="X2127">
        <v>11.00000000000000000000000000000000000002</v>
      </c>
      <c r="Y2127">
        <v>0</v>
      </c>
      <c r="Z2127" t="s">
        <v>46</v>
      </c>
      <c r="AA2127">
        <v>58962</v>
      </c>
      <c r="AB2127" t="s">
        <v>1820</v>
      </c>
      <c r="AC2127" t="s">
        <v>103</v>
      </c>
      <c r="AD2127" t="s">
        <v>38</v>
      </c>
      <c r="AE2127" t="s">
        <v>49</v>
      </c>
      <c r="AF2127" t="s">
        <v>50</v>
      </c>
      <c r="AG2127">
        <v>0</v>
      </c>
      <c r="AH2127">
        <v>0</v>
      </c>
      <c r="AI2127" t="s">
        <v>51</v>
      </c>
      <c r="AJ2127" t="s">
        <v>51</v>
      </c>
      <c r="AK2127" t="s">
        <v>51</v>
      </c>
    </row>
    <row r="2128" spans="1:37" x14ac:dyDescent="0.2">
      <c r="A2128">
        <v>58935</v>
      </c>
      <c r="B2128" t="s">
        <v>37</v>
      </c>
      <c r="C2128" t="s">
        <v>38</v>
      </c>
      <c r="D2128" t="s">
        <v>674</v>
      </c>
      <c r="E2128" t="s">
        <v>40</v>
      </c>
      <c r="G2128" s="4">
        <v>43946.507337962963</v>
      </c>
      <c r="H2128" s="4">
        <v>43946.507951388889</v>
      </c>
      <c r="I2128" t="s">
        <v>1691</v>
      </c>
      <c r="J2128" s="5">
        <v>53.00000000000000000000000000000000000001</v>
      </c>
      <c r="K2128" t="s">
        <v>38</v>
      </c>
      <c r="M2128">
        <v>58936</v>
      </c>
      <c r="N2128" t="s">
        <v>705</v>
      </c>
      <c r="O2128" t="s">
        <v>706</v>
      </c>
      <c r="P2128" t="s">
        <v>38</v>
      </c>
      <c r="Q2128" t="s">
        <v>236</v>
      </c>
      <c r="R2128">
        <v>12.00000000000000000000000000000000000001</v>
      </c>
      <c r="S2128" t="s">
        <v>45</v>
      </c>
      <c r="T212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8">
        <v>58937</v>
      </c>
      <c r="V2128" t="s">
        <v>38</v>
      </c>
      <c r="W2128" t="s">
        <v>337</v>
      </c>
      <c r="X2128">
        <v>11.00000000000000000000000000000000000002</v>
      </c>
      <c r="Y2128">
        <v>0</v>
      </c>
      <c r="Z2128" t="s">
        <v>46</v>
      </c>
      <c r="AA2128">
        <v>58961</v>
      </c>
      <c r="AB2128" t="s">
        <v>1821</v>
      </c>
      <c r="AC2128" t="s">
        <v>103</v>
      </c>
      <c r="AD2128" t="s">
        <v>38</v>
      </c>
      <c r="AE2128" t="s">
        <v>49</v>
      </c>
      <c r="AF2128" t="s">
        <v>50</v>
      </c>
      <c r="AG2128">
        <v>0</v>
      </c>
      <c r="AH2128">
        <v>0</v>
      </c>
      <c r="AI2128" t="s">
        <v>51</v>
      </c>
      <c r="AJ2128" t="s">
        <v>51</v>
      </c>
      <c r="AK2128" t="s">
        <v>51</v>
      </c>
    </row>
    <row r="2129" spans="1:37" x14ac:dyDescent="0.2">
      <c r="A2129">
        <v>58935</v>
      </c>
      <c r="B2129" t="s">
        <v>37</v>
      </c>
      <c r="C2129" t="s">
        <v>38</v>
      </c>
      <c r="D2129" t="s">
        <v>674</v>
      </c>
      <c r="E2129" t="s">
        <v>40</v>
      </c>
      <c r="G2129" s="4">
        <v>43946.507337962963</v>
      </c>
      <c r="H2129" s="4">
        <v>43946.507951388889</v>
      </c>
      <c r="I2129" t="s">
        <v>1691</v>
      </c>
      <c r="J2129" s="5">
        <v>53.00000000000000000000000000000000000001</v>
      </c>
      <c r="K2129" t="s">
        <v>38</v>
      </c>
      <c r="M2129">
        <v>58936</v>
      </c>
      <c r="N2129" t="s">
        <v>705</v>
      </c>
      <c r="O2129" t="s">
        <v>706</v>
      </c>
      <c r="P2129" t="s">
        <v>38</v>
      </c>
      <c r="Q2129" t="s">
        <v>236</v>
      </c>
      <c r="R2129">
        <v>12.00000000000000000000000000000000000001</v>
      </c>
      <c r="S2129" t="s">
        <v>45</v>
      </c>
      <c r="T212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29">
        <v>58937</v>
      </c>
      <c r="V2129" t="s">
        <v>38</v>
      </c>
      <c r="W2129" t="s">
        <v>337</v>
      </c>
      <c r="X2129">
        <v>11.00000000000000000000000000000000000002</v>
      </c>
      <c r="Y2129">
        <v>0</v>
      </c>
      <c r="Z2129" t="s">
        <v>46</v>
      </c>
      <c r="AA2129">
        <v>58960</v>
      </c>
      <c r="AB2129" t="s">
        <v>1822</v>
      </c>
      <c r="AC2129" t="s">
        <v>103</v>
      </c>
      <c r="AD2129" t="s">
        <v>38</v>
      </c>
      <c r="AE2129" t="s">
        <v>49</v>
      </c>
      <c r="AF2129" t="s">
        <v>50</v>
      </c>
      <c r="AG2129">
        <v>0</v>
      </c>
      <c r="AH2129">
        <v>0</v>
      </c>
      <c r="AI2129" t="s">
        <v>51</v>
      </c>
      <c r="AJ2129" t="s">
        <v>51</v>
      </c>
      <c r="AK2129" t="s">
        <v>51</v>
      </c>
    </row>
    <row r="2130" spans="1:37" x14ac:dyDescent="0.2">
      <c r="A2130">
        <v>58935</v>
      </c>
      <c r="B2130" t="s">
        <v>37</v>
      </c>
      <c r="C2130" t="s">
        <v>38</v>
      </c>
      <c r="D2130" t="s">
        <v>674</v>
      </c>
      <c r="E2130" t="s">
        <v>40</v>
      </c>
      <c r="G2130" s="4">
        <v>43946.507337962963</v>
      </c>
      <c r="H2130" s="4">
        <v>43946.507951388889</v>
      </c>
      <c r="I2130" t="s">
        <v>1691</v>
      </c>
      <c r="J2130" s="5">
        <v>53.00000000000000000000000000000000000001</v>
      </c>
      <c r="K2130" t="s">
        <v>38</v>
      </c>
      <c r="M2130">
        <v>58936</v>
      </c>
      <c r="N2130" t="s">
        <v>705</v>
      </c>
      <c r="O2130" t="s">
        <v>706</v>
      </c>
      <c r="P2130" t="s">
        <v>38</v>
      </c>
      <c r="Q2130" t="s">
        <v>236</v>
      </c>
      <c r="R2130">
        <v>12.00000000000000000000000000000000000001</v>
      </c>
      <c r="S2130" t="s">
        <v>45</v>
      </c>
      <c r="T213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0">
        <v>58937</v>
      </c>
      <c r="V2130" t="s">
        <v>38</v>
      </c>
      <c r="W2130" t="s">
        <v>337</v>
      </c>
      <c r="X2130">
        <v>11.00000000000000000000000000000000000002</v>
      </c>
      <c r="Y2130">
        <v>0</v>
      </c>
      <c r="Z2130" t="s">
        <v>46</v>
      </c>
      <c r="AA2130">
        <v>58959</v>
      </c>
      <c r="AB2130" t="s">
        <v>1823</v>
      </c>
      <c r="AC2130" t="s">
        <v>103</v>
      </c>
      <c r="AD2130" t="s">
        <v>38</v>
      </c>
      <c r="AE2130" t="s">
        <v>49</v>
      </c>
      <c r="AF2130" t="s">
        <v>50</v>
      </c>
      <c r="AG2130">
        <v>0</v>
      </c>
      <c r="AH2130">
        <v>0</v>
      </c>
      <c r="AI2130" t="s">
        <v>51</v>
      </c>
      <c r="AJ2130" t="s">
        <v>51</v>
      </c>
      <c r="AK2130" t="s">
        <v>51</v>
      </c>
    </row>
    <row r="2131" spans="1:37" x14ac:dyDescent="0.2">
      <c r="A2131">
        <v>58935</v>
      </c>
      <c r="B2131" t="s">
        <v>37</v>
      </c>
      <c r="C2131" t="s">
        <v>38</v>
      </c>
      <c r="D2131" t="s">
        <v>674</v>
      </c>
      <c r="E2131" t="s">
        <v>40</v>
      </c>
      <c r="G2131" s="4">
        <v>43946.507337962963</v>
      </c>
      <c r="H2131" s="4">
        <v>43946.507951388889</v>
      </c>
      <c r="I2131" t="s">
        <v>1691</v>
      </c>
      <c r="J2131" s="5">
        <v>53.00000000000000000000000000000000000001</v>
      </c>
      <c r="K2131" t="s">
        <v>38</v>
      </c>
      <c r="M2131">
        <v>58936</v>
      </c>
      <c r="N2131" t="s">
        <v>705</v>
      </c>
      <c r="O2131" t="s">
        <v>706</v>
      </c>
      <c r="P2131" t="s">
        <v>38</v>
      </c>
      <c r="Q2131" t="s">
        <v>236</v>
      </c>
      <c r="R2131">
        <v>12.00000000000000000000000000000000000001</v>
      </c>
      <c r="S2131" t="s">
        <v>45</v>
      </c>
      <c r="T213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1">
        <v>58937</v>
      </c>
      <c r="V2131" t="s">
        <v>38</v>
      </c>
      <c r="W2131" t="s">
        <v>337</v>
      </c>
      <c r="X2131">
        <v>11.00000000000000000000000000000000000002</v>
      </c>
      <c r="Y2131">
        <v>0</v>
      </c>
      <c r="Z2131" t="s">
        <v>46</v>
      </c>
      <c r="AA2131">
        <v>58958</v>
      </c>
      <c r="AB2131" t="s">
        <v>1824</v>
      </c>
      <c r="AC2131" t="s">
        <v>103</v>
      </c>
      <c r="AD2131" t="s">
        <v>38</v>
      </c>
      <c r="AE2131" t="s">
        <v>49</v>
      </c>
      <c r="AF2131" t="s">
        <v>50</v>
      </c>
      <c r="AG2131">
        <v>0</v>
      </c>
      <c r="AH2131">
        <v>0</v>
      </c>
      <c r="AI2131" t="s">
        <v>51</v>
      </c>
      <c r="AJ2131" t="s">
        <v>51</v>
      </c>
      <c r="AK2131" t="s">
        <v>51</v>
      </c>
    </row>
    <row r="2132" spans="1:37" x14ac:dyDescent="0.2">
      <c r="A2132">
        <v>58935</v>
      </c>
      <c r="B2132" t="s">
        <v>37</v>
      </c>
      <c r="C2132" t="s">
        <v>38</v>
      </c>
      <c r="D2132" t="s">
        <v>674</v>
      </c>
      <c r="E2132" t="s">
        <v>40</v>
      </c>
      <c r="G2132" s="4">
        <v>43946.507337962963</v>
      </c>
      <c r="H2132" s="4">
        <v>43946.507951388889</v>
      </c>
      <c r="I2132" t="s">
        <v>1691</v>
      </c>
      <c r="J2132" s="5">
        <v>53.00000000000000000000000000000000000001</v>
      </c>
      <c r="K2132" t="s">
        <v>38</v>
      </c>
      <c r="M2132">
        <v>58936</v>
      </c>
      <c r="N2132" t="s">
        <v>705</v>
      </c>
      <c r="O2132" t="s">
        <v>706</v>
      </c>
      <c r="P2132" t="s">
        <v>38</v>
      </c>
      <c r="Q2132" t="s">
        <v>236</v>
      </c>
      <c r="R2132">
        <v>12.00000000000000000000000000000000000001</v>
      </c>
      <c r="S2132" t="s">
        <v>45</v>
      </c>
      <c r="T213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2">
        <v>58937</v>
      </c>
      <c r="V2132" t="s">
        <v>38</v>
      </c>
      <c r="W2132" t="s">
        <v>337</v>
      </c>
      <c r="X2132">
        <v>11.00000000000000000000000000000000000002</v>
      </c>
      <c r="Y2132">
        <v>0</v>
      </c>
      <c r="Z2132" t="s">
        <v>46</v>
      </c>
      <c r="AA2132">
        <v>58957</v>
      </c>
      <c r="AB2132" t="s">
        <v>1825</v>
      </c>
      <c r="AC2132" t="s">
        <v>103</v>
      </c>
      <c r="AD2132" t="s">
        <v>38</v>
      </c>
      <c r="AE2132" t="s">
        <v>49</v>
      </c>
      <c r="AF2132" t="s">
        <v>50</v>
      </c>
      <c r="AG2132">
        <v>0</v>
      </c>
      <c r="AH2132">
        <v>0</v>
      </c>
      <c r="AI2132" t="s">
        <v>51</v>
      </c>
      <c r="AJ2132" t="s">
        <v>51</v>
      </c>
      <c r="AK2132" t="s">
        <v>51</v>
      </c>
    </row>
    <row r="2133" spans="1:37" x14ac:dyDescent="0.2">
      <c r="A2133">
        <v>58935</v>
      </c>
      <c r="B2133" t="s">
        <v>37</v>
      </c>
      <c r="C2133" t="s">
        <v>38</v>
      </c>
      <c r="D2133" t="s">
        <v>674</v>
      </c>
      <c r="E2133" t="s">
        <v>40</v>
      </c>
      <c r="G2133" s="4">
        <v>43946.507337962963</v>
      </c>
      <c r="H2133" s="4">
        <v>43946.507951388889</v>
      </c>
      <c r="I2133" t="s">
        <v>1691</v>
      </c>
      <c r="J2133" s="5">
        <v>53.00000000000000000000000000000000000001</v>
      </c>
      <c r="K2133" t="s">
        <v>38</v>
      </c>
      <c r="M2133">
        <v>58936</v>
      </c>
      <c r="N2133" t="s">
        <v>705</v>
      </c>
      <c r="O2133" t="s">
        <v>706</v>
      </c>
      <c r="P2133" t="s">
        <v>38</v>
      </c>
      <c r="Q2133" t="s">
        <v>236</v>
      </c>
      <c r="R2133">
        <v>12.00000000000000000000000000000000000001</v>
      </c>
      <c r="S2133" t="s">
        <v>45</v>
      </c>
      <c r="T213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3">
        <v>58937</v>
      </c>
      <c r="V2133" t="s">
        <v>38</v>
      </c>
      <c r="W2133" t="s">
        <v>337</v>
      </c>
      <c r="X2133">
        <v>11.00000000000000000000000000000000000002</v>
      </c>
      <c r="Y2133">
        <v>0</v>
      </c>
      <c r="Z2133" t="s">
        <v>46</v>
      </c>
      <c r="AA2133">
        <v>58956</v>
      </c>
      <c r="AB2133" t="s">
        <v>1826</v>
      </c>
      <c r="AC2133" t="s">
        <v>103</v>
      </c>
      <c r="AD2133" t="s">
        <v>38</v>
      </c>
      <c r="AE2133" t="s">
        <v>49</v>
      </c>
      <c r="AF2133" t="s">
        <v>50</v>
      </c>
      <c r="AG2133">
        <v>.9999999999999999999999999999999999999996</v>
      </c>
      <c r="AH2133">
        <v>0</v>
      </c>
      <c r="AI2133" t="s">
        <v>51</v>
      </c>
      <c r="AJ2133" t="s">
        <v>51</v>
      </c>
      <c r="AK2133" t="s">
        <v>51</v>
      </c>
    </row>
    <row r="2134" spans="1:37" x14ac:dyDescent="0.2">
      <c r="A2134">
        <v>58935</v>
      </c>
      <c r="B2134" t="s">
        <v>37</v>
      </c>
      <c r="C2134" t="s">
        <v>38</v>
      </c>
      <c r="D2134" t="s">
        <v>674</v>
      </c>
      <c r="E2134" t="s">
        <v>40</v>
      </c>
      <c r="G2134" s="4">
        <v>43946.507337962963</v>
      </c>
      <c r="H2134" s="4">
        <v>43946.507951388889</v>
      </c>
      <c r="I2134" t="s">
        <v>1691</v>
      </c>
      <c r="J2134" s="5">
        <v>53.00000000000000000000000000000000000001</v>
      </c>
      <c r="K2134" t="s">
        <v>38</v>
      </c>
      <c r="M2134">
        <v>58936</v>
      </c>
      <c r="N2134" t="s">
        <v>705</v>
      </c>
      <c r="O2134" t="s">
        <v>706</v>
      </c>
      <c r="P2134" t="s">
        <v>38</v>
      </c>
      <c r="Q2134" t="s">
        <v>236</v>
      </c>
      <c r="R2134">
        <v>12.00000000000000000000000000000000000001</v>
      </c>
      <c r="S2134" t="s">
        <v>45</v>
      </c>
      <c r="T213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4">
        <v>58937</v>
      </c>
      <c r="V2134" t="s">
        <v>38</v>
      </c>
      <c r="W2134" t="s">
        <v>337</v>
      </c>
      <c r="X2134">
        <v>11.00000000000000000000000000000000000002</v>
      </c>
      <c r="Y2134">
        <v>0</v>
      </c>
      <c r="Z2134" t="s">
        <v>46</v>
      </c>
      <c r="AA2134">
        <v>58955</v>
      </c>
      <c r="AB2134" t="s">
        <v>1827</v>
      </c>
      <c r="AC2134" t="s">
        <v>103</v>
      </c>
      <c r="AD2134" t="s">
        <v>38</v>
      </c>
      <c r="AE2134" t="s">
        <v>49</v>
      </c>
      <c r="AF2134" t="s">
        <v>50</v>
      </c>
      <c r="AG2134">
        <v>0</v>
      </c>
      <c r="AH2134">
        <v>0</v>
      </c>
      <c r="AI2134" t="s">
        <v>51</v>
      </c>
      <c r="AJ2134" t="s">
        <v>51</v>
      </c>
      <c r="AK2134" t="s">
        <v>51</v>
      </c>
    </row>
    <row r="2135" spans="1:37" x14ac:dyDescent="0.2">
      <c r="A2135">
        <v>58935</v>
      </c>
      <c r="B2135" t="s">
        <v>37</v>
      </c>
      <c r="C2135" t="s">
        <v>38</v>
      </c>
      <c r="D2135" t="s">
        <v>674</v>
      </c>
      <c r="E2135" t="s">
        <v>40</v>
      </c>
      <c r="G2135" s="4">
        <v>43946.507337962963</v>
      </c>
      <c r="H2135" s="4">
        <v>43946.507951388889</v>
      </c>
      <c r="I2135" t="s">
        <v>1691</v>
      </c>
      <c r="J2135" s="5">
        <v>53.00000000000000000000000000000000000001</v>
      </c>
      <c r="K2135" t="s">
        <v>38</v>
      </c>
      <c r="M2135">
        <v>58936</v>
      </c>
      <c r="N2135" t="s">
        <v>705</v>
      </c>
      <c r="O2135" t="s">
        <v>706</v>
      </c>
      <c r="P2135" t="s">
        <v>38</v>
      </c>
      <c r="Q2135" t="s">
        <v>236</v>
      </c>
      <c r="R2135">
        <v>12.00000000000000000000000000000000000001</v>
      </c>
      <c r="S2135" t="s">
        <v>45</v>
      </c>
      <c r="T213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5">
        <v>58937</v>
      </c>
      <c r="V2135" t="s">
        <v>38</v>
      </c>
      <c r="W2135" t="s">
        <v>337</v>
      </c>
      <c r="X2135">
        <v>11.00000000000000000000000000000000000002</v>
      </c>
      <c r="Y2135">
        <v>0</v>
      </c>
      <c r="Z2135" t="s">
        <v>46</v>
      </c>
      <c r="AA2135">
        <v>58954</v>
      </c>
      <c r="AB2135" t="s">
        <v>1828</v>
      </c>
      <c r="AC2135" t="s">
        <v>103</v>
      </c>
      <c r="AD2135" t="s">
        <v>38</v>
      </c>
      <c r="AE2135" t="s">
        <v>49</v>
      </c>
      <c r="AF2135" t="s">
        <v>50</v>
      </c>
      <c r="AG2135">
        <v>0</v>
      </c>
      <c r="AH2135">
        <v>0</v>
      </c>
      <c r="AI2135" t="s">
        <v>51</v>
      </c>
      <c r="AJ2135" t="s">
        <v>51</v>
      </c>
      <c r="AK2135" t="s">
        <v>51</v>
      </c>
    </row>
    <row r="2136" spans="1:37" x14ac:dyDescent="0.2">
      <c r="A2136">
        <v>58935</v>
      </c>
      <c r="B2136" t="s">
        <v>37</v>
      </c>
      <c r="C2136" t="s">
        <v>38</v>
      </c>
      <c r="D2136" t="s">
        <v>674</v>
      </c>
      <c r="E2136" t="s">
        <v>40</v>
      </c>
      <c r="G2136" s="4">
        <v>43946.507337962963</v>
      </c>
      <c r="H2136" s="4">
        <v>43946.507951388889</v>
      </c>
      <c r="I2136" t="s">
        <v>1691</v>
      </c>
      <c r="J2136" s="5">
        <v>53.00000000000000000000000000000000000001</v>
      </c>
      <c r="K2136" t="s">
        <v>38</v>
      </c>
      <c r="M2136">
        <v>58936</v>
      </c>
      <c r="N2136" t="s">
        <v>705</v>
      </c>
      <c r="O2136" t="s">
        <v>706</v>
      </c>
      <c r="P2136" t="s">
        <v>38</v>
      </c>
      <c r="Q2136" t="s">
        <v>236</v>
      </c>
      <c r="R2136">
        <v>12.00000000000000000000000000000000000001</v>
      </c>
      <c r="S2136" t="s">
        <v>45</v>
      </c>
      <c r="T213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6">
        <v>58937</v>
      </c>
      <c r="V2136" t="s">
        <v>38</v>
      </c>
      <c r="W2136" t="s">
        <v>337</v>
      </c>
      <c r="X2136">
        <v>11.00000000000000000000000000000000000002</v>
      </c>
      <c r="Y2136">
        <v>0</v>
      </c>
      <c r="Z2136" t="s">
        <v>46</v>
      </c>
      <c r="AA2136">
        <v>58953</v>
      </c>
      <c r="AB2136" t="s">
        <v>1829</v>
      </c>
      <c r="AC2136" t="s">
        <v>103</v>
      </c>
      <c r="AD2136" t="s">
        <v>38</v>
      </c>
      <c r="AE2136" t="s">
        <v>49</v>
      </c>
      <c r="AF2136" t="s">
        <v>50</v>
      </c>
      <c r="AG2136">
        <v>0</v>
      </c>
      <c r="AH2136">
        <v>0</v>
      </c>
      <c r="AI2136" t="s">
        <v>51</v>
      </c>
      <c r="AJ2136" t="s">
        <v>51</v>
      </c>
      <c r="AK2136" t="s">
        <v>51</v>
      </c>
    </row>
    <row r="2137" spans="1:37" x14ac:dyDescent="0.2">
      <c r="A2137">
        <v>58935</v>
      </c>
      <c r="B2137" t="s">
        <v>37</v>
      </c>
      <c r="C2137" t="s">
        <v>38</v>
      </c>
      <c r="D2137" t="s">
        <v>674</v>
      </c>
      <c r="E2137" t="s">
        <v>40</v>
      </c>
      <c r="G2137" s="4">
        <v>43946.507337962963</v>
      </c>
      <c r="H2137" s="4">
        <v>43946.507951388889</v>
      </c>
      <c r="I2137" t="s">
        <v>1691</v>
      </c>
      <c r="J2137" s="5">
        <v>53.00000000000000000000000000000000000001</v>
      </c>
      <c r="K2137" t="s">
        <v>38</v>
      </c>
      <c r="M2137">
        <v>58936</v>
      </c>
      <c r="N2137" t="s">
        <v>705</v>
      </c>
      <c r="O2137" t="s">
        <v>706</v>
      </c>
      <c r="P2137" t="s">
        <v>38</v>
      </c>
      <c r="Q2137" t="s">
        <v>236</v>
      </c>
      <c r="R2137">
        <v>12.00000000000000000000000000000000000001</v>
      </c>
      <c r="S2137" t="s">
        <v>45</v>
      </c>
      <c r="T213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7">
        <v>58937</v>
      </c>
      <c r="V2137" t="s">
        <v>38</v>
      </c>
      <c r="W2137" t="s">
        <v>337</v>
      </c>
      <c r="X2137">
        <v>11.00000000000000000000000000000000000002</v>
      </c>
      <c r="Y2137">
        <v>0</v>
      </c>
      <c r="Z2137" t="s">
        <v>46</v>
      </c>
      <c r="AA2137">
        <v>58952</v>
      </c>
      <c r="AB2137" t="s">
        <v>1830</v>
      </c>
      <c r="AC2137" t="s">
        <v>103</v>
      </c>
      <c r="AD2137" t="s">
        <v>38</v>
      </c>
      <c r="AE2137" t="s">
        <v>49</v>
      </c>
      <c r="AF2137" t="s">
        <v>50</v>
      </c>
      <c r="AG2137">
        <v>0</v>
      </c>
      <c r="AH2137">
        <v>0</v>
      </c>
      <c r="AI2137" t="s">
        <v>51</v>
      </c>
      <c r="AJ2137" t="s">
        <v>51</v>
      </c>
      <c r="AK2137" t="s">
        <v>51</v>
      </c>
    </row>
    <row r="2138" spans="1:37" x14ac:dyDescent="0.2">
      <c r="A2138">
        <v>58935</v>
      </c>
      <c r="B2138" t="s">
        <v>37</v>
      </c>
      <c r="C2138" t="s">
        <v>38</v>
      </c>
      <c r="D2138" t="s">
        <v>674</v>
      </c>
      <c r="E2138" t="s">
        <v>40</v>
      </c>
      <c r="G2138" s="4">
        <v>43946.507337962963</v>
      </c>
      <c r="H2138" s="4">
        <v>43946.507951388889</v>
      </c>
      <c r="I2138" t="s">
        <v>1691</v>
      </c>
      <c r="J2138" s="5">
        <v>53.00000000000000000000000000000000000001</v>
      </c>
      <c r="K2138" t="s">
        <v>38</v>
      </c>
      <c r="M2138">
        <v>58936</v>
      </c>
      <c r="N2138" t="s">
        <v>705</v>
      </c>
      <c r="O2138" t="s">
        <v>706</v>
      </c>
      <c r="P2138" t="s">
        <v>38</v>
      </c>
      <c r="Q2138" t="s">
        <v>236</v>
      </c>
      <c r="R2138">
        <v>12.00000000000000000000000000000000000001</v>
      </c>
      <c r="S2138" t="s">
        <v>45</v>
      </c>
      <c r="T213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8">
        <v>58937</v>
      </c>
      <c r="V2138" t="s">
        <v>38</v>
      </c>
      <c r="W2138" t="s">
        <v>337</v>
      </c>
      <c r="X2138">
        <v>11.00000000000000000000000000000000000002</v>
      </c>
      <c r="Y2138">
        <v>0</v>
      </c>
      <c r="Z2138" t="s">
        <v>46</v>
      </c>
      <c r="AA2138">
        <v>58951</v>
      </c>
      <c r="AB2138" t="s">
        <v>1831</v>
      </c>
      <c r="AC2138" t="s">
        <v>103</v>
      </c>
      <c r="AD2138" t="s">
        <v>38</v>
      </c>
      <c r="AE2138" t="s">
        <v>49</v>
      </c>
      <c r="AF2138" t="s">
        <v>50</v>
      </c>
      <c r="AG2138">
        <v>0</v>
      </c>
      <c r="AH2138">
        <v>0</v>
      </c>
      <c r="AI2138" t="s">
        <v>51</v>
      </c>
      <c r="AJ2138" t="s">
        <v>51</v>
      </c>
      <c r="AK2138" t="s">
        <v>51</v>
      </c>
    </row>
    <row r="2139" spans="1:37" x14ac:dyDescent="0.2">
      <c r="A2139">
        <v>58935</v>
      </c>
      <c r="B2139" t="s">
        <v>37</v>
      </c>
      <c r="C2139" t="s">
        <v>38</v>
      </c>
      <c r="D2139" t="s">
        <v>674</v>
      </c>
      <c r="E2139" t="s">
        <v>40</v>
      </c>
      <c r="G2139" s="4">
        <v>43946.507337962963</v>
      </c>
      <c r="H2139" s="4">
        <v>43946.507951388889</v>
      </c>
      <c r="I2139" t="s">
        <v>1691</v>
      </c>
      <c r="J2139" s="5">
        <v>53.00000000000000000000000000000000000001</v>
      </c>
      <c r="K2139" t="s">
        <v>38</v>
      </c>
      <c r="M2139">
        <v>58936</v>
      </c>
      <c r="N2139" t="s">
        <v>705</v>
      </c>
      <c r="O2139" t="s">
        <v>706</v>
      </c>
      <c r="P2139" t="s">
        <v>38</v>
      </c>
      <c r="Q2139" t="s">
        <v>236</v>
      </c>
      <c r="R2139">
        <v>12.00000000000000000000000000000000000001</v>
      </c>
      <c r="S2139" t="s">
        <v>45</v>
      </c>
      <c r="T213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39">
        <v>58937</v>
      </c>
      <c r="V2139" t="s">
        <v>38</v>
      </c>
      <c r="W2139" t="s">
        <v>337</v>
      </c>
      <c r="X2139">
        <v>11.00000000000000000000000000000000000002</v>
      </c>
      <c r="Y2139">
        <v>0</v>
      </c>
      <c r="Z2139" t="s">
        <v>46</v>
      </c>
      <c r="AA2139">
        <v>58950</v>
      </c>
      <c r="AB2139" t="s">
        <v>1832</v>
      </c>
      <c r="AC2139" t="s">
        <v>103</v>
      </c>
      <c r="AD2139" t="s">
        <v>38</v>
      </c>
      <c r="AE2139" t="s">
        <v>49</v>
      </c>
      <c r="AF2139" t="s">
        <v>50</v>
      </c>
      <c r="AG2139">
        <v>0</v>
      </c>
      <c r="AH2139">
        <v>0</v>
      </c>
      <c r="AI2139" t="s">
        <v>51</v>
      </c>
      <c r="AJ2139" t="s">
        <v>51</v>
      </c>
      <c r="AK2139" t="s">
        <v>51</v>
      </c>
    </row>
    <row r="2140" spans="1:37" x14ac:dyDescent="0.2">
      <c r="A2140">
        <v>58935</v>
      </c>
      <c r="B2140" t="s">
        <v>37</v>
      </c>
      <c r="C2140" t="s">
        <v>38</v>
      </c>
      <c r="D2140" t="s">
        <v>674</v>
      </c>
      <c r="E2140" t="s">
        <v>40</v>
      </c>
      <c r="G2140" s="4">
        <v>43946.507337962963</v>
      </c>
      <c r="H2140" s="4">
        <v>43946.507951388889</v>
      </c>
      <c r="I2140" t="s">
        <v>1691</v>
      </c>
      <c r="J2140" s="5">
        <v>53.00000000000000000000000000000000000001</v>
      </c>
      <c r="K2140" t="s">
        <v>38</v>
      </c>
      <c r="M2140">
        <v>58936</v>
      </c>
      <c r="N2140" t="s">
        <v>705</v>
      </c>
      <c r="O2140" t="s">
        <v>706</v>
      </c>
      <c r="P2140" t="s">
        <v>38</v>
      </c>
      <c r="Q2140" t="s">
        <v>236</v>
      </c>
      <c r="R2140">
        <v>12.00000000000000000000000000000000000001</v>
      </c>
      <c r="S2140" t="s">
        <v>45</v>
      </c>
      <c r="T214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0">
        <v>58937</v>
      </c>
      <c r="V2140" t="s">
        <v>38</v>
      </c>
      <c r="W2140" t="s">
        <v>337</v>
      </c>
      <c r="X2140">
        <v>11.00000000000000000000000000000000000002</v>
      </c>
      <c r="Y2140">
        <v>0</v>
      </c>
      <c r="Z2140" t="s">
        <v>46</v>
      </c>
      <c r="AA2140">
        <v>58949</v>
      </c>
      <c r="AB2140" t="s">
        <v>1833</v>
      </c>
      <c r="AC2140" t="s">
        <v>103</v>
      </c>
      <c r="AD2140" t="s">
        <v>38</v>
      </c>
      <c r="AE2140" t="s">
        <v>49</v>
      </c>
      <c r="AF2140" t="s">
        <v>50</v>
      </c>
      <c r="AG2140">
        <v>0</v>
      </c>
      <c r="AH2140">
        <v>0</v>
      </c>
      <c r="AI2140" t="s">
        <v>51</v>
      </c>
      <c r="AJ2140" t="s">
        <v>51</v>
      </c>
      <c r="AK2140" t="s">
        <v>51</v>
      </c>
    </row>
    <row r="2141" spans="1:37" x14ac:dyDescent="0.2">
      <c r="A2141">
        <v>58935</v>
      </c>
      <c r="B2141" t="s">
        <v>37</v>
      </c>
      <c r="C2141" t="s">
        <v>38</v>
      </c>
      <c r="D2141" t="s">
        <v>674</v>
      </c>
      <c r="E2141" t="s">
        <v>40</v>
      </c>
      <c r="G2141" s="4">
        <v>43946.507337962963</v>
      </c>
      <c r="H2141" s="4">
        <v>43946.507951388889</v>
      </c>
      <c r="I2141" t="s">
        <v>1691</v>
      </c>
      <c r="J2141" s="5">
        <v>53.00000000000000000000000000000000000001</v>
      </c>
      <c r="K2141" t="s">
        <v>38</v>
      </c>
      <c r="M2141">
        <v>58936</v>
      </c>
      <c r="N2141" t="s">
        <v>705</v>
      </c>
      <c r="O2141" t="s">
        <v>706</v>
      </c>
      <c r="P2141" t="s">
        <v>38</v>
      </c>
      <c r="Q2141" t="s">
        <v>236</v>
      </c>
      <c r="R2141">
        <v>12.00000000000000000000000000000000000001</v>
      </c>
      <c r="S2141" t="s">
        <v>45</v>
      </c>
      <c r="T214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1">
        <v>58937</v>
      </c>
      <c r="V2141" t="s">
        <v>38</v>
      </c>
      <c r="W2141" t="s">
        <v>337</v>
      </c>
      <c r="X2141">
        <v>11.00000000000000000000000000000000000002</v>
      </c>
      <c r="Y2141">
        <v>0</v>
      </c>
      <c r="Z2141" t="s">
        <v>46</v>
      </c>
      <c r="AA2141">
        <v>58948</v>
      </c>
      <c r="AB2141" t="s">
        <v>1834</v>
      </c>
      <c r="AC2141" t="s">
        <v>103</v>
      </c>
      <c r="AD2141" t="s">
        <v>38</v>
      </c>
      <c r="AE2141" t="s">
        <v>49</v>
      </c>
      <c r="AF2141" t="s">
        <v>50</v>
      </c>
      <c r="AG2141">
        <v>0</v>
      </c>
      <c r="AH2141">
        <v>0</v>
      </c>
      <c r="AI2141" t="s">
        <v>51</v>
      </c>
      <c r="AJ2141" t="s">
        <v>51</v>
      </c>
      <c r="AK2141" t="s">
        <v>51</v>
      </c>
    </row>
    <row r="2142" spans="1:37" x14ac:dyDescent="0.2">
      <c r="A2142">
        <v>58935</v>
      </c>
      <c r="B2142" t="s">
        <v>37</v>
      </c>
      <c r="C2142" t="s">
        <v>38</v>
      </c>
      <c r="D2142" t="s">
        <v>674</v>
      </c>
      <c r="E2142" t="s">
        <v>40</v>
      </c>
      <c r="G2142" s="4">
        <v>43946.507337962963</v>
      </c>
      <c r="H2142" s="4">
        <v>43946.507951388889</v>
      </c>
      <c r="I2142" t="s">
        <v>1691</v>
      </c>
      <c r="J2142" s="5">
        <v>53.00000000000000000000000000000000000001</v>
      </c>
      <c r="K2142" t="s">
        <v>38</v>
      </c>
      <c r="M2142">
        <v>58936</v>
      </c>
      <c r="N2142" t="s">
        <v>705</v>
      </c>
      <c r="O2142" t="s">
        <v>706</v>
      </c>
      <c r="P2142" t="s">
        <v>38</v>
      </c>
      <c r="Q2142" t="s">
        <v>236</v>
      </c>
      <c r="R2142">
        <v>12.00000000000000000000000000000000000001</v>
      </c>
      <c r="S2142" t="s">
        <v>45</v>
      </c>
      <c r="T2142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2">
        <v>58937</v>
      </c>
      <c r="V2142" t="s">
        <v>38</v>
      </c>
      <c r="W2142" t="s">
        <v>337</v>
      </c>
      <c r="X2142">
        <v>11.00000000000000000000000000000000000002</v>
      </c>
      <c r="Y2142">
        <v>0</v>
      </c>
      <c r="Z2142" t="s">
        <v>46</v>
      </c>
      <c r="AA2142">
        <v>58947</v>
      </c>
      <c r="AB2142" t="s">
        <v>1835</v>
      </c>
      <c r="AC2142" t="s">
        <v>103</v>
      </c>
      <c r="AD2142" t="s">
        <v>38</v>
      </c>
      <c r="AE2142" t="s">
        <v>49</v>
      </c>
      <c r="AF2142" t="s">
        <v>50</v>
      </c>
      <c r="AG2142">
        <v>0</v>
      </c>
      <c r="AH2142">
        <v>0</v>
      </c>
      <c r="AI2142" t="s">
        <v>51</v>
      </c>
      <c r="AJ2142" t="s">
        <v>51</v>
      </c>
      <c r="AK2142" t="s">
        <v>51</v>
      </c>
    </row>
    <row r="2143" spans="1:37" x14ac:dyDescent="0.2">
      <c r="A2143">
        <v>58935</v>
      </c>
      <c r="B2143" t="s">
        <v>37</v>
      </c>
      <c r="C2143" t="s">
        <v>38</v>
      </c>
      <c r="D2143" t="s">
        <v>674</v>
      </c>
      <c r="E2143" t="s">
        <v>40</v>
      </c>
      <c r="G2143" s="4">
        <v>43946.507337962963</v>
      </c>
      <c r="H2143" s="4">
        <v>43946.507951388889</v>
      </c>
      <c r="I2143" t="s">
        <v>1691</v>
      </c>
      <c r="J2143" s="5">
        <v>53.00000000000000000000000000000000000001</v>
      </c>
      <c r="K2143" t="s">
        <v>38</v>
      </c>
      <c r="M2143">
        <v>58936</v>
      </c>
      <c r="N2143" t="s">
        <v>705</v>
      </c>
      <c r="O2143" t="s">
        <v>706</v>
      </c>
      <c r="P2143" t="s">
        <v>38</v>
      </c>
      <c r="Q2143" t="s">
        <v>236</v>
      </c>
      <c r="R2143">
        <v>12.00000000000000000000000000000000000001</v>
      </c>
      <c r="S2143" t="s">
        <v>45</v>
      </c>
      <c r="T2143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3">
        <v>58937</v>
      </c>
      <c r="V2143" t="s">
        <v>38</v>
      </c>
      <c r="W2143" t="s">
        <v>337</v>
      </c>
      <c r="X2143">
        <v>11.00000000000000000000000000000000000002</v>
      </c>
      <c r="Y2143">
        <v>0</v>
      </c>
      <c r="Z2143" t="s">
        <v>46</v>
      </c>
      <c r="AA2143">
        <v>58946</v>
      </c>
      <c r="AB2143" t="s">
        <v>1836</v>
      </c>
      <c r="AC2143" t="s">
        <v>103</v>
      </c>
      <c r="AD2143" t="s">
        <v>38</v>
      </c>
      <c r="AE2143" t="s">
        <v>49</v>
      </c>
      <c r="AF2143" t="s">
        <v>50</v>
      </c>
      <c r="AG2143">
        <v>0</v>
      </c>
      <c r="AH2143">
        <v>0</v>
      </c>
      <c r="AI2143" t="s">
        <v>51</v>
      </c>
      <c r="AJ2143" t="s">
        <v>51</v>
      </c>
      <c r="AK2143" t="s">
        <v>51</v>
      </c>
    </row>
    <row r="2144" spans="1:37" x14ac:dyDescent="0.2">
      <c r="A2144">
        <v>58935</v>
      </c>
      <c r="B2144" t="s">
        <v>37</v>
      </c>
      <c r="C2144" t="s">
        <v>38</v>
      </c>
      <c r="D2144" t="s">
        <v>674</v>
      </c>
      <c r="E2144" t="s">
        <v>40</v>
      </c>
      <c r="G2144" s="4">
        <v>43946.507337962963</v>
      </c>
      <c r="H2144" s="4">
        <v>43946.507951388889</v>
      </c>
      <c r="I2144" t="s">
        <v>1691</v>
      </c>
      <c r="J2144" s="5">
        <v>53.00000000000000000000000000000000000001</v>
      </c>
      <c r="K2144" t="s">
        <v>38</v>
      </c>
      <c r="M2144">
        <v>58936</v>
      </c>
      <c r="N2144" t="s">
        <v>705</v>
      </c>
      <c r="O2144" t="s">
        <v>706</v>
      </c>
      <c r="P2144" t="s">
        <v>38</v>
      </c>
      <c r="Q2144" t="s">
        <v>236</v>
      </c>
      <c r="R2144">
        <v>12.00000000000000000000000000000000000001</v>
      </c>
      <c r="S2144" t="s">
        <v>45</v>
      </c>
      <c r="T2144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4">
        <v>58937</v>
      </c>
      <c r="V2144" t="s">
        <v>38</v>
      </c>
      <c r="W2144" t="s">
        <v>337</v>
      </c>
      <c r="X2144">
        <v>11.00000000000000000000000000000000000002</v>
      </c>
      <c r="Y2144">
        <v>0</v>
      </c>
      <c r="Z2144" t="s">
        <v>46</v>
      </c>
      <c r="AA2144">
        <v>58945</v>
      </c>
      <c r="AB2144" t="s">
        <v>1837</v>
      </c>
      <c r="AC2144" t="s">
        <v>103</v>
      </c>
      <c r="AD2144" t="s">
        <v>38</v>
      </c>
      <c r="AE2144" t="s">
        <v>49</v>
      </c>
      <c r="AF2144" t="s">
        <v>50</v>
      </c>
      <c r="AG2144">
        <v>0</v>
      </c>
      <c r="AH2144">
        <v>0</v>
      </c>
      <c r="AI2144" t="s">
        <v>51</v>
      </c>
      <c r="AJ2144" t="s">
        <v>51</v>
      </c>
      <c r="AK2144" t="s">
        <v>51</v>
      </c>
    </row>
    <row r="2145" spans="1:37" x14ac:dyDescent="0.2">
      <c r="A2145">
        <v>58935</v>
      </c>
      <c r="B2145" t="s">
        <v>37</v>
      </c>
      <c r="C2145" t="s">
        <v>38</v>
      </c>
      <c r="D2145" t="s">
        <v>674</v>
      </c>
      <c r="E2145" t="s">
        <v>40</v>
      </c>
      <c r="G2145" s="4">
        <v>43946.507337962963</v>
      </c>
      <c r="H2145" s="4">
        <v>43946.507951388889</v>
      </c>
      <c r="I2145" t="s">
        <v>1691</v>
      </c>
      <c r="J2145" s="5">
        <v>53.00000000000000000000000000000000000001</v>
      </c>
      <c r="K2145" t="s">
        <v>38</v>
      </c>
      <c r="M2145">
        <v>58936</v>
      </c>
      <c r="N2145" t="s">
        <v>705</v>
      </c>
      <c r="O2145" t="s">
        <v>706</v>
      </c>
      <c r="P2145" t="s">
        <v>38</v>
      </c>
      <c r="Q2145" t="s">
        <v>236</v>
      </c>
      <c r="R2145">
        <v>12.00000000000000000000000000000000000001</v>
      </c>
      <c r="S2145" t="s">
        <v>45</v>
      </c>
      <c r="T2145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5">
        <v>58937</v>
      </c>
      <c r="V2145" t="s">
        <v>38</v>
      </c>
      <c r="W2145" t="s">
        <v>337</v>
      </c>
      <c r="X2145">
        <v>11.00000000000000000000000000000000000002</v>
      </c>
      <c r="Y2145">
        <v>0</v>
      </c>
      <c r="Z2145" t="s">
        <v>46</v>
      </c>
      <c r="AA2145">
        <v>58944</v>
      </c>
      <c r="AB2145" t="s">
        <v>1838</v>
      </c>
      <c r="AC2145" t="s">
        <v>103</v>
      </c>
      <c r="AD2145" t="s">
        <v>38</v>
      </c>
      <c r="AE2145" t="s">
        <v>49</v>
      </c>
      <c r="AF2145" t="s">
        <v>50</v>
      </c>
      <c r="AG2145">
        <v>0</v>
      </c>
      <c r="AH2145">
        <v>0</v>
      </c>
      <c r="AI2145" t="s">
        <v>51</v>
      </c>
      <c r="AJ2145" t="s">
        <v>51</v>
      </c>
      <c r="AK2145" t="s">
        <v>51</v>
      </c>
    </row>
    <row r="2146" spans="1:37" x14ac:dyDescent="0.2">
      <c r="A2146">
        <v>58935</v>
      </c>
      <c r="B2146" t="s">
        <v>37</v>
      </c>
      <c r="C2146" t="s">
        <v>38</v>
      </c>
      <c r="D2146" t="s">
        <v>674</v>
      </c>
      <c r="E2146" t="s">
        <v>40</v>
      </c>
      <c r="G2146" s="4">
        <v>43946.507337962963</v>
      </c>
      <c r="H2146" s="4">
        <v>43946.507951388889</v>
      </c>
      <c r="I2146" t="s">
        <v>1691</v>
      </c>
      <c r="J2146" s="5">
        <v>53.00000000000000000000000000000000000001</v>
      </c>
      <c r="K2146" t="s">
        <v>38</v>
      </c>
      <c r="M2146">
        <v>58936</v>
      </c>
      <c r="N2146" t="s">
        <v>705</v>
      </c>
      <c r="O2146" t="s">
        <v>706</v>
      </c>
      <c r="P2146" t="s">
        <v>38</v>
      </c>
      <c r="Q2146" t="s">
        <v>236</v>
      </c>
      <c r="R2146">
        <v>12.00000000000000000000000000000000000001</v>
      </c>
      <c r="S2146" t="s">
        <v>45</v>
      </c>
      <c r="T2146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6">
        <v>58937</v>
      </c>
      <c r="V2146" t="s">
        <v>38</v>
      </c>
      <c r="W2146" t="s">
        <v>337</v>
      </c>
      <c r="X2146">
        <v>11.00000000000000000000000000000000000002</v>
      </c>
      <c r="Y2146">
        <v>0</v>
      </c>
      <c r="Z2146" t="s">
        <v>46</v>
      </c>
      <c r="AA2146">
        <v>58943</v>
      </c>
      <c r="AB2146" t="s">
        <v>1839</v>
      </c>
      <c r="AC2146" t="s">
        <v>103</v>
      </c>
      <c r="AD2146" t="s">
        <v>38</v>
      </c>
      <c r="AE2146" t="s">
        <v>49</v>
      </c>
      <c r="AF2146" t="s">
        <v>50</v>
      </c>
      <c r="AG2146">
        <v>0</v>
      </c>
      <c r="AH2146">
        <v>0</v>
      </c>
      <c r="AI2146" t="s">
        <v>51</v>
      </c>
      <c r="AJ2146" t="s">
        <v>51</v>
      </c>
      <c r="AK2146" t="s">
        <v>51</v>
      </c>
    </row>
    <row r="2147" spans="1:37" x14ac:dyDescent="0.2">
      <c r="A2147">
        <v>58935</v>
      </c>
      <c r="B2147" t="s">
        <v>37</v>
      </c>
      <c r="C2147" t="s">
        <v>38</v>
      </c>
      <c r="D2147" t="s">
        <v>674</v>
      </c>
      <c r="E2147" t="s">
        <v>40</v>
      </c>
      <c r="G2147" s="4">
        <v>43946.507337962963</v>
      </c>
      <c r="H2147" s="4">
        <v>43946.507951388889</v>
      </c>
      <c r="I2147" t="s">
        <v>1691</v>
      </c>
      <c r="J2147" s="5">
        <v>53.00000000000000000000000000000000000001</v>
      </c>
      <c r="K2147" t="s">
        <v>38</v>
      </c>
      <c r="M2147">
        <v>58936</v>
      </c>
      <c r="N2147" t="s">
        <v>705</v>
      </c>
      <c r="O2147" t="s">
        <v>706</v>
      </c>
      <c r="P2147" t="s">
        <v>38</v>
      </c>
      <c r="Q2147" t="s">
        <v>236</v>
      </c>
      <c r="R2147">
        <v>12.00000000000000000000000000000000000001</v>
      </c>
      <c r="S2147" t="s">
        <v>45</v>
      </c>
      <c r="T2147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7">
        <v>58937</v>
      </c>
      <c r="V2147" t="s">
        <v>38</v>
      </c>
      <c r="W2147" t="s">
        <v>337</v>
      </c>
      <c r="X2147">
        <v>11.00000000000000000000000000000000000002</v>
      </c>
      <c r="Y2147">
        <v>0</v>
      </c>
      <c r="Z2147" t="s">
        <v>46</v>
      </c>
      <c r="AA2147">
        <v>58942</v>
      </c>
      <c r="AB2147" t="s">
        <v>1840</v>
      </c>
      <c r="AC2147" t="s">
        <v>103</v>
      </c>
      <c r="AD2147" t="s">
        <v>38</v>
      </c>
      <c r="AE2147" t="s">
        <v>49</v>
      </c>
      <c r="AF2147" t="s">
        <v>50</v>
      </c>
      <c r="AG2147">
        <v>0</v>
      </c>
      <c r="AH2147">
        <v>0</v>
      </c>
      <c r="AI2147" t="s">
        <v>51</v>
      </c>
      <c r="AJ2147" t="s">
        <v>51</v>
      </c>
      <c r="AK2147" t="s">
        <v>51</v>
      </c>
    </row>
    <row r="2148" spans="1:37" x14ac:dyDescent="0.2">
      <c r="A2148">
        <v>58935</v>
      </c>
      <c r="B2148" t="s">
        <v>37</v>
      </c>
      <c r="C2148" t="s">
        <v>38</v>
      </c>
      <c r="D2148" t="s">
        <v>674</v>
      </c>
      <c r="E2148" t="s">
        <v>40</v>
      </c>
      <c r="G2148" s="4">
        <v>43946.507337962963</v>
      </c>
      <c r="H2148" s="4">
        <v>43946.507951388889</v>
      </c>
      <c r="I2148" t="s">
        <v>1691</v>
      </c>
      <c r="J2148" s="5">
        <v>53.00000000000000000000000000000000000001</v>
      </c>
      <c r="K2148" t="s">
        <v>38</v>
      </c>
      <c r="M2148">
        <v>58936</v>
      </c>
      <c r="N2148" t="s">
        <v>705</v>
      </c>
      <c r="O2148" t="s">
        <v>706</v>
      </c>
      <c r="P2148" t="s">
        <v>38</v>
      </c>
      <c r="Q2148" t="s">
        <v>236</v>
      </c>
      <c r="R2148">
        <v>12.00000000000000000000000000000000000001</v>
      </c>
      <c r="S2148" t="s">
        <v>45</v>
      </c>
      <c r="T2148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8">
        <v>58937</v>
      </c>
      <c r="V2148" t="s">
        <v>38</v>
      </c>
      <c r="W2148" t="s">
        <v>337</v>
      </c>
      <c r="X2148">
        <v>11.00000000000000000000000000000000000002</v>
      </c>
      <c r="Y2148">
        <v>0</v>
      </c>
      <c r="Z2148" t="s">
        <v>46</v>
      </c>
      <c r="AA2148">
        <v>58941</v>
      </c>
      <c r="AB2148" t="s">
        <v>1841</v>
      </c>
      <c r="AC2148" t="s">
        <v>103</v>
      </c>
      <c r="AD2148" t="s">
        <v>38</v>
      </c>
      <c r="AE2148" t="s">
        <v>49</v>
      </c>
      <c r="AF2148" t="s">
        <v>50</v>
      </c>
      <c r="AG2148">
        <v>.9999999999999999999999999999999999999996</v>
      </c>
      <c r="AH2148">
        <v>0</v>
      </c>
      <c r="AI2148" t="s">
        <v>51</v>
      </c>
      <c r="AJ2148" t="s">
        <v>51</v>
      </c>
      <c r="AK2148" t="s">
        <v>51</v>
      </c>
    </row>
    <row r="2149" spans="1:37" x14ac:dyDescent="0.2">
      <c r="A2149">
        <v>58935</v>
      </c>
      <c r="B2149" t="s">
        <v>37</v>
      </c>
      <c r="C2149" t="s">
        <v>38</v>
      </c>
      <c r="D2149" t="s">
        <v>674</v>
      </c>
      <c r="E2149" t="s">
        <v>40</v>
      </c>
      <c r="G2149" s="4">
        <v>43946.507337962963</v>
      </c>
      <c r="H2149" s="4">
        <v>43946.507951388889</v>
      </c>
      <c r="I2149" t="s">
        <v>1691</v>
      </c>
      <c r="J2149" s="5">
        <v>53.00000000000000000000000000000000000001</v>
      </c>
      <c r="K2149" t="s">
        <v>38</v>
      </c>
      <c r="M2149">
        <v>58936</v>
      </c>
      <c r="N2149" t="s">
        <v>705</v>
      </c>
      <c r="O2149" t="s">
        <v>706</v>
      </c>
      <c r="P2149" t="s">
        <v>38</v>
      </c>
      <c r="Q2149" t="s">
        <v>236</v>
      </c>
      <c r="R2149">
        <v>12.00000000000000000000000000000000000001</v>
      </c>
      <c r="S2149" t="s">
        <v>45</v>
      </c>
      <c r="T2149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49">
        <v>58937</v>
      </c>
      <c r="V2149" t="s">
        <v>38</v>
      </c>
      <c r="W2149" t="s">
        <v>337</v>
      </c>
      <c r="X2149">
        <v>11.00000000000000000000000000000000000002</v>
      </c>
      <c r="Y2149">
        <v>0</v>
      </c>
      <c r="Z2149" t="s">
        <v>46</v>
      </c>
      <c r="AA2149">
        <v>58940</v>
      </c>
      <c r="AB2149" t="s">
        <v>1842</v>
      </c>
      <c r="AC2149" t="s">
        <v>103</v>
      </c>
      <c r="AD2149" t="s">
        <v>38</v>
      </c>
      <c r="AE2149" t="s">
        <v>49</v>
      </c>
      <c r="AF2149" t="s">
        <v>78</v>
      </c>
      <c r="AG2149">
        <v>5</v>
      </c>
      <c r="AH2149">
        <v>5</v>
      </c>
      <c r="AI2149" t="s">
        <v>51</v>
      </c>
      <c r="AJ2149" t="s">
        <v>51</v>
      </c>
      <c r="AK2149" t="s">
        <v>51</v>
      </c>
    </row>
    <row r="2150" spans="1:37" x14ac:dyDescent="0.2">
      <c r="A2150">
        <v>58935</v>
      </c>
      <c r="B2150" t="s">
        <v>37</v>
      </c>
      <c r="C2150" t="s">
        <v>38</v>
      </c>
      <c r="D2150" t="s">
        <v>674</v>
      </c>
      <c r="E2150" t="s">
        <v>40</v>
      </c>
      <c r="G2150" s="4">
        <v>43946.507337962963</v>
      </c>
      <c r="H2150" s="4">
        <v>43946.507951388889</v>
      </c>
      <c r="I2150" t="s">
        <v>1691</v>
      </c>
      <c r="J2150" s="5">
        <v>53.00000000000000000000000000000000000001</v>
      </c>
      <c r="K2150" t="s">
        <v>38</v>
      </c>
      <c r="M2150">
        <v>58936</v>
      </c>
      <c r="N2150" t="s">
        <v>705</v>
      </c>
      <c r="O2150" t="s">
        <v>706</v>
      </c>
      <c r="P2150" t="s">
        <v>38</v>
      </c>
      <c r="Q2150" t="s">
        <v>236</v>
      </c>
      <c r="R2150">
        <v>12.00000000000000000000000000000000000001</v>
      </c>
      <c r="S2150" t="s">
        <v>45</v>
      </c>
      <c r="T2150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50">
        <v>58937</v>
      </c>
      <c r="V2150" t="s">
        <v>38</v>
      </c>
      <c r="W2150" t="s">
        <v>337</v>
      </c>
      <c r="X2150">
        <v>11.00000000000000000000000000000000000002</v>
      </c>
      <c r="Y2150">
        <v>0</v>
      </c>
      <c r="Z2150" t="s">
        <v>46</v>
      </c>
      <c r="AA2150">
        <v>58939</v>
      </c>
      <c r="AB2150" t="s">
        <v>1843</v>
      </c>
      <c r="AC2150" t="s">
        <v>48</v>
      </c>
      <c r="AD2150" t="s">
        <v>38</v>
      </c>
      <c r="AE2150" t="s">
        <v>49</v>
      </c>
      <c r="AF2150" t="s">
        <v>50</v>
      </c>
      <c r="AG2150">
        <v>0</v>
      </c>
      <c r="AH2150">
        <v>0</v>
      </c>
      <c r="AI2150" t="s">
        <v>51</v>
      </c>
      <c r="AJ2150" t="s">
        <v>51</v>
      </c>
      <c r="AK2150" t="s">
        <v>51</v>
      </c>
    </row>
    <row r="2151" spans="1:37" x14ac:dyDescent="0.2">
      <c r="A2151">
        <v>58935</v>
      </c>
      <c r="B2151" t="s">
        <v>37</v>
      </c>
      <c r="C2151" t="s">
        <v>38</v>
      </c>
      <c r="D2151" t="s">
        <v>674</v>
      </c>
      <c r="E2151" t="s">
        <v>40</v>
      </c>
      <c r="G2151" s="4">
        <v>43946.507337962963</v>
      </c>
      <c r="H2151" s="4">
        <v>43946.507951388889</v>
      </c>
      <c r="I2151" t="s">
        <v>1691</v>
      </c>
      <c r="J2151" s="5">
        <v>53.00000000000000000000000000000000000001</v>
      </c>
      <c r="K2151" t="s">
        <v>38</v>
      </c>
      <c r="M2151">
        <v>58936</v>
      </c>
      <c r="N2151" t="s">
        <v>705</v>
      </c>
      <c r="O2151" t="s">
        <v>706</v>
      </c>
      <c r="P2151" t="s">
        <v>38</v>
      </c>
      <c r="Q2151" t="s">
        <v>236</v>
      </c>
      <c r="R2151">
        <v>12.00000000000000000000000000000000000001</v>
      </c>
      <c r="S2151" t="s">
        <v>45</v>
      </c>
      <c r="T2151" t="str" s="2">
        <f>=HYPERLINK("http://demo.enginatics.com:80/ecc/user/applications/log/58935.log","http://demo.enginatics.com:80/ecc/user/applications/log/58935.log")</f>
        <v>"http://demo.enginatics.com:80/ecc/user/applications/log/58935.log")</v>
      </c>
      <c r="U2151">
        <v>58937</v>
      </c>
      <c r="V2151" t="s">
        <v>38</v>
      </c>
      <c r="W2151" t="s">
        <v>337</v>
      </c>
      <c r="X2151">
        <v>11.00000000000000000000000000000000000002</v>
      </c>
      <c r="Y2151">
        <v>0</v>
      </c>
      <c r="Z2151" t="s">
        <v>46</v>
      </c>
      <c r="AA2151">
        <v>58938</v>
      </c>
      <c r="AB2151" t="s">
        <v>859</v>
      </c>
      <c r="AC2151" t="s">
        <v>56</v>
      </c>
      <c r="AD2151" t="s">
        <v>38</v>
      </c>
      <c r="AE2151" t="s">
        <v>49</v>
      </c>
      <c r="AF2151" t="s">
        <v>50</v>
      </c>
      <c r="AG2151">
        <v>0</v>
      </c>
      <c r="AH2151">
        <v>0</v>
      </c>
      <c r="AI2151" t="s">
        <v>51</v>
      </c>
      <c r="AJ2151" t="s">
        <v>51</v>
      </c>
      <c r="AK2151" t="s">
        <v>51</v>
      </c>
    </row>
    <row r="2152" spans="1:37" x14ac:dyDescent="0.2">
      <c r="A2152">
        <v>58930</v>
      </c>
      <c r="B2152" t="s">
        <v>37</v>
      </c>
      <c r="C2152" t="s">
        <v>38</v>
      </c>
      <c r="D2152" t="s">
        <v>83</v>
      </c>
      <c r="E2152" t="s">
        <v>84</v>
      </c>
      <c r="G2152" s="4">
        <v>43946.456064814815</v>
      </c>
      <c r="H2152" s="4">
        <v>43946.456111111111</v>
      </c>
      <c r="I2152" t="s">
        <v>44</v>
      </c>
      <c r="J2152" s="5">
        <v>4</v>
      </c>
      <c r="K2152" t="s">
        <v>38</v>
      </c>
      <c r="M2152">
        <v>58931</v>
      </c>
      <c r="N2152" t="s">
        <v>84</v>
      </c>
      <c r="O2152" t="s">
        <v>86</v>
      </c>
      <c r="P2152" t="s">
        <v>38</v>
      </c>
      <c r="Q2152" t="s">
        <v>85</v>
      </c>
      <c r="R2152">
        <v>3</v>
      </c>
      <c r="S2152" t="s">
        <v>45</v>
      </c>
      <c r="T2152" t="str" s="2">
        <f>=HYPERLINK("http://demo.enginatics.com:80/ecc/user/applications/log/58930.log","http://demo.enginatics.com:80/ecc/user/applications/log/58930.log")</f>
        <v>"http://demo.enginatics.com:80/ecc/user/applications/log/58930.log")</v>
      </c>
      <c r="U2152">
        <v>58932</v>
      </c>
      <c r="V2152" t="s">
        <v>38</v>
      </c>
      <c r="W2152" t="s">
        <v>85</v>
      </c>
      <c r="X2152">
        <v>3</v>
      </c>
      <c r="Y2152">
        <v>0</v>
      </c>
      <c r="Z2152" t="s">
        <v>46</v>
      </c>
      <c r="AA2152">
        <v>58934</v>
      </c>
      <c r="AB2152" t="s">
        <v>1844</v>
      </c>
      <c r="AC2152" t="s">
        <v>68</v>
      </c>
      <c r="AD2152" t="s">
        <v>38</v>
      </c>
      <c r="AE2152" t="s">
        <v>49</v>
      </c>
      <c r="AF2152" t="s">
        <v>85</v>
      </c>
      <c r="AG2152">
        <v>3</v>
      </c>
      <c r="AH2152">
        <v>2</v>
      </c>
      <c r="AI2152" t="s">
        <v>51</v>
      </c>
      <c r="AJ2152" t="s">
        <v>51</v>
      </c>
      <c r="AK2152" t="s">
        <v>51</v>
      </c>
    </row>
    <row r="2153" spans="1:37" x14ac:dyDescent="0.2">
      <c r="A2153">
        <v>58930</v>
      </c>
      <c r="B2153" t="s">
        <v>37</v>
      </c>
      <c r="C2153" t="s">
        <v>38</v>
      </c>
      <c r="D2153" t="s">
        <v>83</v>
      </c>
      <c r="E2153" t="s">
        <v>84</v>
      </c>
      <c r="G2153" s="4">
        <v>43946.456064814815</v>
      </c>
      <c r="H2153" s="4">
        <v>43946.456111111111</v>
      </c>
      <c r="I2153" t="s">
        <v>44</v>
      </c>
      <c r="J2153" s="5">
        <v>4</v>
      </c>
      <c r="K2153" t="s">
        <v>38</v>
      </c>
      <c r="M2153">
        <v>58931</v>
      </c>
      <c r="N2153" t="s">
        <v>84</v>
      </c>
      <c r="O2153" t="s">
        <v>86</v>
      </c>
      <c r="P2153" t="s">
        <v>38</v>
      </c>
      <c r="Q2153" t="s">
        <v>85</v>
      </c>
      <c r="R2153">
        <v>3</v>
      </c>
      <c r="S2153" t="s">
        <v>45</v>
      </c>
      <c r="T2153" t="str" s="2">
        <f>=HYPERLINK("http://demo.enginatics.com:80/ecc/user/applications/log/58930.log","http://demo.enginatics.com:80/ecc/user/applications/log/58930.log")</f>
        <v>"http://demo.enginatics.com:80/ecc/user/applications/log/58930.log")</v>
      </c>
      <c r="U2153">
        <v>58932</v>
      </c>
      <c r="V2153" t="s">
        <v>38</v>
      </c>
      <c r="W2153" t="s">
        <v>85</v>
      </c>
      <c r="X2153">
        <v>3</v>
      </c>
      <c r="Y2153">
        <v>0</v>
      </c>
      <c r="Z2153" t="s">
        <v>46</v>
      </c>
      <c r="AA2153">
        <v>58933</v>
      </c>
      <c r="AB2153" t="s">
        <v>1845</v>
      </c>
      <c r="AC2153" t="s">
        <v>56</v>
      </c>
      <c r="AD2153" t="s">
        <v>38</v>
      </c>
      <c r="AE2153" t="s">
        <v>49</v>
      </c>
      <c r="AF2153" t="s">
        <v>50</v>
      </c>
      <c r="AG2153">
        <v>0</v>
      </c>
      <c r="AH2153">
        <v>0</v>
      </c>
      <c r="AI2153" t="s">
        <v>51</v>
      </c>
      <c r="AJ2153" t="s">
        <v>51</v>
      </c>
      <c r="AK2153" t="s">
        <v>51</v>
      </c>
    </row>
    <row r="2154" spans="1:37" x14ac:dyDescent="0.2">
      <c r="A2154">
        <v>58928</v>
      </c>
      <c r="B2154" t="s">
        <v>37</v>
      </c>
      <c r="C2154" t="s">
        <v>38</v>
      </c>
      <c r="D2154" t="s">
        <v>83</v>
      </c>
      <c r="E2154" t="s">
        <v>90</v>
      </c>
      <c r="G2154" s="4">
        <v>43946.438356481481</v>
      </c>
      <c r="H2154" s="4">
        <v>43946.438356481481</v>
      </c>
      <c r="I2154" t="s">
        <v>50</v>
      </c>
      <c r="J2154" s="5">
        <v>0</v>
      </c>
      <c r="K2154" t="s">
        <v>38</v>
      </c>
      <c r="M2154">
        <v>58929</v>
      </c>
      <c r="N2154" t="s">
        <v>90</v>
      </c>
      <c r="O2154" t="s">
        <v>91</v>
      </c>
      <c r="P2154" t="s">
        <v>38</v>
      </c>
      <c r="Q2154" t="s">
        <v>50</v>
      </c>
      <c r="R2154">
        <v>0</v>
      </c>
      <c r="S2154" t="s">
        <v>92</v>
      </c>
      <c r="T2154" t="str" s="2">
        <f>=HYPERLINK("http://demo.enginatics.com:80/ecc/user/applications/log/58928.log","http://demo.enginatics.com:80/ecc/user/applications/log/58928.log")</f>
        <v>"http://demo.enginatics.com:80/ecc/user/applications/log/58928.log")</v>
      </c>
    </row>
    <row r="2155" spans="1:37" x14ac:dyDescent="0.2">
      <c r="A2155">
        <v>58912</v>
      </c>
      <c r="B2155" t="s">
        <v>37</v>
      </c>
      <c r="C2155" t="s">
        <v>38</v>
      </c>
      <c r="D2155" t="s">
        <v>93</v>
      </c>
      <c r="E2155" t="s">
        <v>94</v>
      </c>
      <c r="G2155" s="4">
        <v>43946.417326388889</v>
      </c>
      <c r="H2155" s="4">
        <v>43946.417326388889</v>
      </c>
      <c r="I2155" t="s">
        <v>50</v>
      </c>
      <c r="J2155" s="5">
        <v>0</v>
      </c>
      <c r="K2155" t="s">
        <v>38</v>
      </c>
      <c r="M2155">
        <v>58913</v>
      </c>
      <c r="N2155" t="s">
        <v>94</v>
      </c>
      <c r="O2155" t="s">
        <v>95</v>
      </c>
      <c r="P2155" t="s">
        <v>38</v>
      </c>
      <c r="Q2155" t="s">
        <v>50</v>
      </c>
      <c r="R2155">
        <v>0</v>
      </c>
      <c r="S2155" t="s">
        <v>45</v>
      </c>
      <c r="T2155" t="str" s="2">
        <f>=HYPERLINK("http://demo.enginatics.com:80/ecc/user/applications/log/58912.log","http://demo.enginatics.com:80/ecc/user/applications/log/58912.log")</f>
        <v>"http://demo.enginatics.com:80/ecc/user/applications/log/58912.log")</v>
      </c>
      <c r="U2155">
        <v>58914</v>
      </c>
      <c r="V2155" t="s">
        <v>38</v>
      </c>
      <c r="W2155" t="s">
        <v>50</v>
      </c>
      <c r="X2155">
        <v>0</v>
      </c>
      <c r="Y2155">
        <v>0</v>
      </c>
      <c r="Z2155" t="s">
        <v>46</v>
      </c>
      <c r="AA2155">
        <v>58917</v>
      </c>
      <c r="AB2155" t="s">
        <v>96</v>
      </c>
      <c r="AC2155" t="s">
        <v>97</v>
      </c>
      <c r="AD2155" t="s">
        <v>38</v>
      </c>
      <c r="AE2155" t="s">
        <v>49</v>
      </c>
      <c r="AF2155" t="s">
        <v>50</v>
      </c>
      <c r="AG2155">
        <v>0</v>
      </c>
      <c r="AH2155">
        <v>0</v>
      </c>
      <c r="AI2155" t="s">
        <v>51</v>
      </c>
      <c r="AJ2155" t="s">
        <v>51</v>
      </c>
      <c r="AK2155" t="s">
        <v>51</v>
      </c>
    </row>
    <row r="2156" spans="1:37" x14ac:dyDescent="0.2">
      <c r="A2156">
        <v>58912</v>
      </c>
      <c r="B2156" t="s">
        <v>37</v>
      </c>
      <c r="C2156" t="s">
        <v>38</v>
      </c>
      <c r="D2156" t="s">
        <v>93</v>
      </c>
      <c r="E2156" t="s">
        <v>94</v>
      </c>
      <c r="G2156" s="4">
        <v>43946.417326388889</v>
      </c>
      <c r="H2156" s="4">
        <v>43946.417326388889</v>
      </c>
      <c r="I2156" t="s">
        <v>50</v>
      </c>
      <c r="J2156" s="5">
        <v>0</v>
      </c>
      <c r="K2156" t="s">
        <v>38</v>
      </c>
      <c r="M2156">
        <v>58913</v>
      </c>
      <c r="N2156" t="s">
        <v>94</v>
      </c>
      <c r="O2156" t="s">
        <v>95</v>
      </c>
      <c r="P2156" t="s">
        <v>38</v>
      </c>
      <c r="Q2156" t="s">
        <v>50</v>
      </c>
      <c r="R2156">
        <v>0</v>
      </c>
      <c r="S2156" t="s">
        <v>45</v>
      </c>
      <c r="T2156" t="str" s="2">
        <f>=HYPERLINK("http://demo.enginatics.com:80/ecc/user/applications/log/58912.log","http://demo.enginatics.com:80/ecc/user/applications/log/58912.log")</f>
        <v>"http://demo.enginatics.com:80/ecc/user/applications/log/58912.log")</v>
      </c>
      <c r="U2156">
        <v>58914</v>
      </c>
      <c r="V2156" t="s">
        <v>38</v>
      </c>
      <c r="W2156" t="s">
        <v>50</v>
      </c>
      <c r="X2156">
        <v>0</v>
      </c>
      <c r="Y2156">
        <v>0</v>
      </c>
      <c r="Z2156" t="s">
        <v>46</v>
      </c>
      <c r="AA2156">
        <v>58916</v>
      </c>
      <c r="AB2156" t="s">
        <v>98</v>
      </c>
      <c r="AC2156" t="s">
        <v>56</v>
      </c>
      <c r="AD2156" t="s">
        <v>38</v>
      </c>
      <c r="AE2156" t="s">
        <v>49</v>
      </c>
      <c r="AF2156" t="s">
        <v>50</v>
      </c>
      <c r="AG2156">
        <v>0</v>
      </c>
      <c r="AH2156">
        <v>0</v>
      </c>
      <c r="AI2156" t="s">
        <v>51</v>
      </c>
      <c r="AJ2156" t="s">
        <v>51</v>
      </c>
      <c r="AK2156" t="s">
        <v>51</v>
      </c>
    </row>
    <row r="2157" spans="1:37" x14ac:dyDescent="0.2">
      <c r="A2157">
        <v>58912</v>
      </c>
      <c r="B2157" t="s">
        <v>37</v>
      </c>
      <c r="C2157" t="s">
        <v>38</v>
      </c>
      <c r="D2157" t="s">
        <v>93</v>
      </c>
      <c r="E2157" t="s">
        <v>94</v>
      </c>
      <c r="G2157" s="4">
        <v>43946.417326388889</v>
      </c>
      <c r="H2157" s="4">
        <v>43946.417326388889</v>
      </c>
      <c r="I2157" t="s">
        <v>50</v>
      </c>
      <c r="J2157" s="5">
        <v>0</v>
      </c>
      <c r="K2157" t="s">
        <v>38</v>
      </c>
      <c r="M2157">
        <v>58913</v>
      </c>
      <c r="N2157" t="s">
        <v>94</v>
      </c>
      <c r="O2157" t="s">
        <v>95</v>
      </c>
      <c r="P2157" t="s">
        <v>38</v>
      </c>
      <c r="Q2157" t="s">
        <v>50</v>
      </c>
      <c r="R2157">
        <v>0</v>
      </c>
      <c r="S2157" t="s">
        <v>45</v>
      </c>
      <c r="T2157" t="str" s="2">
        <f>=HYPERLINK("http://demo.enginatics.com:80/ecc/user/applications/log/58912.log","http://demo.enginatics.com:80/ecc/user/applications/log/58912.log")</f>
        <v>"http://demo.enginatics.com:80/ecc/user/applications/log/58912.log")</v>
      </c>
      <c r="U2157">
        <v>58914</v>
      </c>
      <c r="V2157" t="s">
        <v>38</v>
      </c>
      <c r="W2157" t="s">
        <v>50</v>
      </c>
      <c r="X2157">
        <v>0</v>
      </c>
      <c r="Y2157">
        <v>0</v>
      </c>
      <c r="Z2157" t="s">
        <v>46</v>
      </c>
      <c r="AA2157">
        <v>58915</v>
      </c>
      <c r="AB2157" t="s">
        <v>99</v>
      </c>
      <c r="AC2157" t="s">
        <v>68</v>
      </c>
      <c r="AD2157" t="s">
        <v>38</v>
      </c>
      <c r="AE2157" t="s">
        <v>49</v>
      </c>
      <c r="AF2157" t="s">
        <v>50</v>
      </c>
      <c r="AG2157">
        <v>0</v>
      </c>
      <c r="AH2157">
        <v>0</v>
      </c>
      <c r="AI2157" t="s">
        <v>51</v>
      </c>
      <c r="AJ2157" t="s">
        <v>51</v>
      </c>
      <c r="AK2157" t="s">
        <v>51</v>
      </c>
    </row>
    <row r="2158" spans="1:37" x14ac:dyDescent="0.2">
      <c r="A2158">
        <v>58906</v>
      </c>
      <c r="B2158" t="s">
        <v>37</v>
      </c>
      <c r="C2158" t="s">
        <v>38</v>
      </c>
      <c r="D2158" t="s">
        <v>93</v>
      </c>
      <c r="E2158" t="s">
        <v>100</v>
      </c>
      <c r="G2158" s="4">
        <v>43946.417199074074</v>
      </c>
      <c r="H2158" s="4">
        <v>43946.417210648148</v>
      </c>
      <c r="I2158" t="s">
        <v>50</v>
      </c>
      <c r="J2158" s="5">
        <v>.9999999999999999999999999999999999999996</v>
      </c>
      <c r="K2158" t="s">
        <v>38</v>
      </c>
      <c r="M2158">
        <v>58907</v>
      </c>
      <c r="N2158" t="s">
        <v>100</v>
      </c>
      <c r="O2158" t="s">
        <v>101</v>
      </c>
      <c r="P2158" t="s">
        <v>38</v>
      </c>
      <c r="Q2158" t="s">
        <v>50</v>
      </c>
      <c r="R2158">
        <v>.9999999999999999999999999999999999999996</v>
      </c>
      <c r="S2158" t="s">
        <v>45</v>
      </c>
      <c r="T2158" t="str" s="2">
        <f>=HYPERLINK("http://demo.enginatics.com:80/ecc/user/applications/log/58906.log","http://demo.enginatics.com:80/ecc/user/applications/log/58906.log")</f>
        <v>"http://demo.enginatics.com:80/ecc/user/applications/log/58906.log")</v>
      </c>
      <c r="U2158">
        <v>58908</v>
      </c>
      <c r="V2158" t="s">
        <v>38</v>
      </c>
      <c r="W2158" t="s">
        <v>50</v>
      </c>
      <c r="X2158">
        <v>.9999999999999999999999999999999999999996</v>
      </c>
      <c r="Y2158">
        <v>0</v>
      </c>
      <c r="Z2158" t="s">
        <v>46</v>
      </c>
      <c r="AA2158">
        <v>58911</v>
      </c>
      <c r="AB2158" t="s">
        <v>102</v>
      </c>
      <c r="AC2158" t="s">
        <v>103</v>
      </c>
      <c r="AD2158" t="s">
        <v>38</v>
      </c>
      <c r="AE2158" t="s">
        <v>49</v>
      </c>
      <c r="AF2158" t="s">
        <v>50</v>
      </c>
      <c r="AG2158">
        <v>0</v>
      </c>
      <c r="AH2158">
        <v>0</v>
      </c>
      <c r="AI2158" t="s">
        <v>51</v>
      </c>
      <c r="AJ2158" t="s">
        <v>51</v>
      </c>
      <c r="AK2158" t="s">
        <v>51</v>
      </c>
    </row>
    <row r="2159" spans="1:37" x14ac:dyDescent="0.2">
      <c r="A2159">
        <v>58906</v>
      </c>
      <c r="B2159" t="s">
        <v>37</v>
      </c>
      <c r="C2159" t="s">
        <v>38</v>
      </c>
      <c r="D2159" t="s">
        <v>93</v>
      </c>
      <c r="E2159" t="s">
        <v>100</v>
      </c>
      <c r="G2159" s="4">
        <v>43946.417199074074</v>
      </c>
      <c r="H2159" s="4">
        <v>43946.417210648148</v>
      </c>
      <c r="I2159" t="s">
        <v>50</v>
      </c>
      <c r="J2159" s="5">
        <v>.9999999999999999999999999999999999999996</v>
      </c>
      <c r="K2159" t="s">
        <v>38</v>
      </c>
      <c r="M2159">
        <v>58907</v>
      </c>
      <c r="N2159" t="s">
        <v>100</v>
      </c>
      <c r="O2159" t="s">
        <v>101</v>
      </c>
      <c r="P2159" t="s">
        <v>38</v>
      </c>
      <c r="Q2159" t="s">
        <v>50</v>
      </c>
      <c r="R2159">
        <v>.9999999999999999999999999999999999999996</v>
      </c>
      <c r="S2159" t="s">
        <v>45</v>
      </c>
      <c r="T2159" t="str" s="2">
        <f>=HYPERLINK("http://demo.enginatics.com:80/ecc/user/applications/log/58906.log","http://demo.enginatics.com:80/ecc/user/applications/log/58906.log")</f>
        <v>"http://demo.enginatics.com:80/ecc/user/applications/log/58906.log")</v>
      </c>
      <c r="U2159">
        <v>58908</v>
      </c>
      <c r="V2159" t="s">
        <v>38</v>
      </c>
      <c r="W2159" t="s">
        <v>50</v>
      </c>
      <c r="X2159">
        <v>.9999999999999999999999999999999999999996</v>
      </c>
      <c r="Y2159">
        <v>0</v>
      </c>
      <c r="Z2159" t="s">
        <v>46</v>
      </c>
      <c r="AA2159">
        <v>58910</v>
      </c>
      <c r="AB2159" t="s">
        <v>104</v>
      </c>
      <c r="AC2159" t="s">
        <v>56</v>
      </c>
      <c r="AD2159" t="s">
        <v>38</v>
      </c>
      <c r="AE2159" t="s">
        <v>49</v>
      </c>
      <c r="AF2159" t="s">
        <v>50</v>
      </c>
      <c r="AG2159">
        <v>0</v>
      </c>
      <c r="AH2159">
        <v>0</v>
      </c>
      <c r="AI2159" t="s">
        <v>51</v>
      </c>
      <c r="AJ2159" t="s">
        <v>51</v>
      </c>
      <c r="AK2159" t="s">
        <v>51</v>
      </c>
    </row>
    <row r="2160" spans="1:37" x14ac:dyDescent="0.2">
      <c r="A2160">
        <v>58906</v>
      </c>
      <c r="B2160" t="s">
        <v>37</v>
      </c>
      <c r="C2160" t="s">
        <v>38</v>
      </c>
      <c r="D2160" t="s">
        <v>93</v>
      </c>
      <c r="E2160" t="s">
        <v>100</v>
      </c>
      <c r="G2160" s="4">
        <v>43946.417199074074</v>
      </c>
      <c r="H2160" s="4">
        <v>43946.417210648148</v>
      </c>
      <c r="I2160" t="s">
        <v>50</v>
      </c>
      <c r="J2160" s="5">
        <v>.9999999999999999999999999999999999999996</v>
      </c>
      <c r="K2160" t="s">
        <v>38</v>
      </c>
      <c r="M2160">
        <v>58907</v>
      </c>
      <c r="N2160" t="s">
        <v>100</v>
      </c>
      <c r="O2160" t="s">
        <v>101</v>
      </c>
      <c r="P2160" t="s">
        <v>38</v>
      </c>
      <c r="Q2160" t="s">
        <v>50</v>
      </c>
      <c r="R2160">
        <v>.9999999999999999999999999999999999999996</v>
      </c>
      <c r="S2160" t="s">
        <v>45</v>
      </c>
      <c r="T2160" t="str" s="2">
        <f>=HYPERLINK("http://demo.enginatics.com:80/ecc/user/applications/log/58906.log","http://demo.enginatics.com:80/ecc/user/applications/log/58906.log")</f>
        <v>"http://demo.enginatics.com:80/ecc/user/applications/log/58906.log")</v>
      </c>
      <c r="U2160">
        <v>58908</v>
      </c>
      <c r="V2160" t="s">
        <v>38</v>
      </c>
      <c r="W2160" t="s">
        <v>50</v>
      </c>
      <c r="X2160">
        <v>.9999999999999999999999999999999999999996</v>
      </c>
      <c r="Y2160">
        <v>0</v>
      </c>
      <c r="Z2160" t="s">
        <v>46</v>
      </c>
      <c r="AA2160">
        <v>58909</v>
      </c>
      <c r="AB2160" t="s">
        <v>105</v>
      </c>
      <c r="AC2160" t="s">
        <v>68</v>
      </c>
      <c r="AD2160" t="s">
        <v>38</v>
      </c>
      <c r="AE2160" t="s">
        <v>49</v>
      </c>
      <c r="AF2160" t="s">
        <v>50</v>
      </c>
      <c r="AG2160">
        <v>0</v>
      </c>
      <c r="AH2160">
        <v>0</v>
      </c>
      <c r="AI2160" t="s">
        <v>51</v>
      </c>
      <c r="AJ2160" t="s">
        <v>51</v>
      </c>
      <c r="AK2160" t="s">
        <v>51</v>
      </c>
    </row>
    <row r="2161" spans="1:37" x14ac:dyDescent="0.2">
      <c r="A2161">
        <v>58891</v>
      </c>
      <c r="B2161" t="s">
        <v>37</v>
      </c>
      <c r="C2161" t="s">
        <v>38</v>
      </c>
      <c r="D2161" t="s">
        <v>39</v>
      </c>
      <c r="E2161" t="s">
        <v>40</v>
      </c>
      <c r="G2161" s="4">
        <v>43946.401099537037</v>
      </c>
      <c r="H2161" s="4">
        <v>43946.418703703704</v>
      </c>
      <c r="I2161" t="s">
        <v>1846</v>
      </c>
      <c r="J2161" s="5">
        <v>1521.000000000000000000000000000000000003</v>
      </c>
      <c r="K2161" t="s">
        <v>38</v>
      </c>
      <c r="M2161">
        <v>58918</v>
      </c>
      <c r="N2161" t="s">
        <v>42</v>
      </c>
      <c r="O2161" t="s">
        <v>43</v>
      </c>
      <c r="P2161" t="s">
        <v>38</v>
      </c>
      <c r="Q2161" t="s">
        <v>85</v>
      </c>
      <c r="R2161">
        <v>3</v>
      </c>
      <c r="S2161" t="s">
        <v>45</v>
      </c>
      <c r="T2161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1">
        <v>58919</v>
      </c>
      <c r="V2161" t="s">
        <v>38</v>
      </c>
      <c r="W2161" t="s">
        <v>85</v>
      </c>
      <c r="X2161">
        <v>3</v>
      </c>
      <c r="Y2161">
        <v>0</v>
      </c>
      <c r="Z2161" t="s">
        <v>46</v>
      </c>
      <c r="AA2161">
        <v>58927</v>
      </c>
      <c r="AB2161" t="s">
        <v>1847</v>
      </c>
      <c r="AC2161" t="s">
        <v>48</v>
      </c>
      <c r="AD2161" t="s">
        <v>38</v>
      </c>
      <c r="AE2161" t="s">
        <v>49</v>
      </c>
      <c r="AF2161" t="s">
        <v>50</v>
      </c>
      <c r="AG2161">
        <v>0</v>
      </c>
      <c r="AH2161">
        <v>0</v>
      </c>
      <c r="AI2161" t="s">
        <v>51</v>
      </c>
      <c r="AJ2161" t="s">
        <v>51</v>
      </c>
      <c r="AK2161" t="s">
        <v>51</v>
      </c>
    </row>
    <row r="2162" spans="1:37" x14ac:dyDescent="0.2">
      <c r="A2162">
        <v>58891</v>
      </c>
      <c r="B2162" t="s">
        <v>37</v>
      </c>
      <c r="C2162" t="s">
        <v>38</v>
      </c>
      <c r="D2162" t="s">
        <v>39</v>
      </c>
      <c r="E2162" t="s">
        <v>40</v>
      </c>
      <c r="G2162" s="4">
        <v>43946.401099537037</v>
      </c>
      <c r="H2162" s="4">
        <v>43946.418703703704</v>
      </c>
      <c r="I2162" t="s">
        <v>1846</v>
      </c>
      <c r="J2162" s="5">
        <v>1521.000000000000000000000000000000000003</v>
      </c>
      <c r="K2162" t="s">
        <v>38</v>
      </c>
      <c r="M2162">
        <v>58918</v>
      </c>
      <c r="N2162" t="s">
        <v>42</v>
      </c>
      <c r="O2162" t="s">
        <v>43</v>
      </c>
      <c r="P2162" t="s">
        <v>38</v>
      </c>
      <c r="Q2162" t="s">
        <v>85</v>
      </c>
      <c r="R2162">
        <v>3</v>
      </c>
      <c r="S2162" t="s">
        <v>45</v>
      </c>
      <c r="T2162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2">
        <v>58919</v>
      </c>
      <c r="V2162" t="s">
        <v>38</v>
      </c>
      <c r="W2162" t="s">
        <v>85</v>
      </c>
      <c r="X2162">
        <v>3</v>
      </c>
      <c r="Y2162">
        <v>0</v>
      </c>
      <c r="Z2162" t="s">
        <v>46</v>
      </c>
      <c r="AA2162">
        <v>58926</v>
      </c>
      <c r="AB2162" t="s">
        <v>1848</v>
      </c>
      <c r="AC2162" t="s">
        <v>48</v>
      </c>
      <c r="AD2162" t="s">
        <v>38</v>
      </c>
      <c r="AE2162" t="s">
        <v>49</v>
      </c>
      <c r="AF2162" t="s">
        <v>50</v>
      </c>
      <c r="AG2162">
        <v>.9999999999999999999999999999999999999996</v>
      </c>
      <c r="AH2162">
        <v>0</v>
      </c>
      <c r="AI2162" t="s">
        <v>51</v>
      </c>
      <c r="AJ2162" t="s">
        <v>51</v>
      </c>
      <c r="AK2162" t="s">
        <v>51</v>
      </c>
    </row>
    <row r="2163" spans="1:37" x14ac:dyDescent="0.2">
      <c r="A2163">
        <v>58891</v>
      </c>
      <c r="B2163" t="s">
        <v>37</v>
      </c>
      <c r="C2163" t="s">
        <v>38</v>
      </c>
      <c r="D2163" t="s">
        <v>39</v>
      </c>
      <c r="E2163" t="s">
        <v>40</v>
      </c>
      <c r="G2163" s="4">
        <v>43946.401099537037</v>
      </c>
      <c r="H2163" s="4">
        <v>43946.418703703704</v>
      </c>
      <c r="I2163" t="s">
        <v>1846</v>
      </c>
      <c r="J2163" s="5">
        <v>1521.000000000000000000000000000000000003</v>
      </c>
      <c r="K2163" t="s">
        <v>38</v>
      </c>
      <c r="M2163">
        <v>58918</v>
      </c>
      <c r="N2163" t="s">
        <v>42</v>
      </c>
      <c r="O2163" t="s">
        <v>43</v>
      </c>
      <c r="P2163" t="s">
        <v>38</v>
      </c>
      <c r="Q2163" t="s">
        <v>85</v>
      </c>
      <c r="R2163">
        <v>3</v>
      </c>
      <c r="S2163" t="s">
        <v>45</v>
      </c>
      <c r="T2163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3">
        <v>58919</v>
      </c>
      <c r="V2163" t="s">
        <v>38</v>
      </c>
      <c r="W2163" t="s">
        <v>85</v>
      </c>
      <c r="X2163">
        <v>3</v>
      </c>
      <c r="Y2163">
        <v>0</v>
      </c>
      <c r="Z2163" t="s">
        <v>46</v>
      </c>
      <c r="AA2163">
        <v>58925</v>
      </c>
      <c r="AB2163" t="s">
        <v>1849</v>
      </c>
      <c r="AC2163" t="s">
        <v>48</v>
      </c>
      <c r="AD2163" t="s">
        <v>38</v>
      </c>
      <c r="AE2163" t="s">
        <v>49</v>
      </c>
      <c r="AF2163" t="s">
        <v>50</v>
      </c>
      <c r="AG2163">
        <v>0</v>
      </c>
      <c r="AH2163">
        <v>0</v>
      </c>
      <c r="AI2163" t="s">
        <v>51</v>
      </c>
      <c r="AJ2163" t="s">
        <v>51</v>
      </c>
      <c r="AK2163" t="s">
        <v>51</v>
      </c>
    </row>
    <row r="2164" spans="1:37" x14ac:dyDescent="0.2">
      <c r="A2164">
        <v>58891</v>
      </c>
      <c r="B2164" t="s">
        <v>37</v>
      </c>
      <c r="C2164" t="s">
        <v>38</v>
      </c>
      <c r="D2164" t="s">
        <v>39</v>
      </c>
      <c r="E2164" t="s">
        <v>40</v>
      </c>
      <c r="G2164" s="4">
        <v>43946.401099537037</v>
      </c>
      <c r="H2164" s="4">
        <v>43946.418703703704</v>
      </c>
      <c r="I2164" t="s">
        <v>1846</v>
      </c>
      <c r="J2164" s="5">
        <v>1521.000000000000000000000000000000000003</v>
      </c>
      <c r="K2164" t="s">
        <v>38</v>
      </c>
      <c r="M2164">
        <v>58918</v>
      </c>
      <c r="N2164" t="s">
        <v>42</v>
      </c>
      <c r="O2164" t="s">
        <v>43</v>
      </c>
      <c r="P2164" t="s">
        <v>38</v>
      </c>
      <c r="Q2164" t="s">
        <v>85</v>
      </c>
      <c r="R2164">
        <v>3</v>
      </c>
      <c r="S2164" t="s">
        <v>45</v>
      </c>
      <c r="T2164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4">
        <v>58919</v>
      </c>
      <c r="V2164" t="s">
        <v>38</v>
      </c>
      <c r="W2164" t="s">
        <v>85</v>
      </c>
      <c r="X2164">
        <v>3</v>
      </c>
      <c r="Y2164">
        <v>0</v>
      </c>
      <c r="Z2164" t="s">
        <v>46</v>
      </c>
      <c r="AA2164">
        <v>58924</v>
      </c>
      <c r="AB2164" t="s">
        <v>1850</v>
      </c>
      <c r="AC2164" t="s">
        <v>48</v>
      </c>
      <c r="AD2164" t="s">
        <v>38</v>
      </c>
      <c r="AE2164" t="s">
        <v>49</v>
      </c>
      <c r="AF2164" t="s">
        <v>50</v>
      </c>
      <c r="AG2164">
        <v>0</v>
      </c>
      <c r="AH2164">
        <v>0</v>
      </c>
      <c r="AI2164" t="s">
        <v>51</v>
      </c>
      <c r="AJ2164" t="s">
        <v>51</v>
      </c>
      <c r="AK2164" t="s">
        <v>51</v>
      </c>
    </row>
    <row r="2165" spans="1:37" x14ac:dyDescent="0.2">
      <c r="A2165">
        <v>58891</v>
      </c>
      <c r="B2165" t="s">
        <v>37</v>
      </c>
      <c r="C2165" t="s">
        <v>38</v>
      </c>
      <c r="D2165" t="s">
        <v>39</v>
      </c>
      <c r="E2165" t="s">
        <v>40</v>
      </c>
      <c r="G2165" s="4">
        <v>43946.401099537037</v>
      </c>
      <c r="H2165" s="4">
        <v>43946.418703703704</v>
      </c>
      <c r="I2165" t="s">
        <v>1846</v>
      </c>
      <c r="J2165" s="5">
        <v>1521.000000000000000000000000000000000003</v>
      </c>
      <c r="K2165" t="s">
        <v>38</v>
      </c>
      <c r="M2165">
        <v>58918</v>
      </c>
      <c r="N2165" t="s">
        <v>42</v>
      </c>
      <c r="O2165" t="s">
        <v>43</v>
      </c>
      <c r="P2165" t="s">
        <v>38</v>
      </c>
      <c r="Q2165" t="s">
        <v>85</v>
      </c>
      <c r="R2165">
        <v>3</v>
      </c>
      <c r="S2165" t="s">
        <v>45</v>
      </c>
      <c r="T2165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5">
        <v>58919</v>
      </c>
      <c r="V2165" t="s">
        <v>38</v>
      </c>
      <c r="W2165" t="s">
        <v>85</v>
      </c>
      <c r="X2165">
        <v>3</v>
      </c>
      <c r="Y2165">
        <v>0</v>
      </c>
      <c r="Z2165" t="s">
        <v>46</v>
      </c>
      <c r="AA2165">
        <v>58923</v>
      </c>
      <c r="AB2165" t="s">
        <v>1851</v>
      </c>
      <c r="AC2165" t="s">
        <v>56</v>
      </c>
      <c r="AD2165" t="s">
        <v>38</v>
      </c>
      <c r="AE2165" t="s">
        <v>49</v>
      </c>
      <c r="AF2165" t="s">
        <v>50</v>
      </c>
      <c r="AG2165">
        <v>0</v>
      </c>
      <c r="AH2165">
        <v>0</v>
      </c>
      <c r="AI2165" t="s">
        <v>51</v>
      </c>
      <c r="AJ2165" t="s">
        <v>51</v>
      </c>
      <c r="AK2165" t="s">
        <v>51</v>
      </c>
    </row>
    <row r="2166" spans="1:37" x14ac:dyDescent="0.2">
      <c r="A2166">
        <v>58891</v>
      </c>
      <c r="B2166" t="s">
        <v>37</v>
      </c>
      <c r="C2166" t="s">
        <v>38</v>
      </c>
      <c r="D2166" t="s">
        <v>39</v>
      </c>
      <c r="E2166" t="s">
        <v>40</v>
      </c>
      <c r="G2166" s="4">
        <v>43946.401099537037</v>
      </c>
      <c r="H2166" s="4">
        <v>43946.418703703704</v>
      </c>
      <c r="I2166" t="s">
        <v>1846</v>
      </c>
      <c r="J2166" s="5">
        <v>1521.000000000000000000000000000000000003</v>
      </c>
      <c r="K2166" t="s">
        <v>38</v>
      </c>
      <c r="M2166">
        <v>58918</v>
      </c>
      <c r="N2166" t="s">
        <v>42</v>
      </c>
      <c r="O2166" t="s">
        <v>43</v>
      </c>
      <c r="P2166" t="s">
        <v>38</v>
      </c>
      <c r="Q2166" t="s">
        <v>85</v>
      </c>
      <c r="R2166">
        <v>3</v>
      </c>
      <c r="S2166" t="s">
        <v>45</v>
      </c>
      <c r="T2166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6">
        <v>58919</v>
      </c>
      <c r="V2166" t="s">
        <v>38</v>
      </c>
      <c r="W2166" t="s">
        <v>85</v>
      </c>
      <c r="X2166">
        <v>3</v>
      </c>
      <c r="Y2166">
        <v>0</v>
      </c>
      <c r="Z2166" t="s">
        <v>46</v>
      </c>
      <c r="AA2166">
        <v>58922</v>
      </c>
      <c r="AB2166" t="s">
        <v>1852</v>
      </c>
      <c r="AC2166" t="s">
        <v>56</v>
      </c>
      <c r="AD2166" t="s">
        <v>38</v>
      </c>
      <c r="AE2166" t="s">
        <v>49</v>
      </c>
      <c r="AF2166" t="s">
        <v>50</v>
      </c>
      <c r="AG2166">
        <v>.9999999999999999999999999999999999999996</v>
      </c>
      <c r="AH2166">
        <v>0</v>
      </c>
      <c r="AI2166" t="s">
        <v>51</v>
      </c>
      <c r="AJ2166" t="s">
        <v>51</v>
      </c>
      <c r="AK2166" t="s">
        <v>51</v>
      </c>
    </row>
    <row r="2167" spans="1:37" x14ac:dyDescent="0.2">
      <c r="A2167">
        <v>58891</v>
      </c>
      <c r="B2167" t="s">
        <v>37</v>
      </c>
      <c r="C2167" t="s">
        <v>38</v>
      </c>
      <c r="D2167" t="s">
        <v>39</v>
      </c>
      <c r="E2167" t="s">
        <v>40</v>
      </c>
      <c r="G2167" s="4">
        <v>43946.401099537037</v>
      </c>
      <c r="H2167" s="4">
        <v>43946.418703703704</v>
      </c>
      <c r="I2167" t="s">
        <v>1846</v>
      </c>
      <c r="J2167" s="5">
        <v>1521.000000000000000000000000000000000003</v>
      </c>
      <c r="K2167" t="s">
        <v>38</v>
      </c>
      <c r="M2167">
        <v>58918</v>
      </c>
      <c r="N2167" t="s">
        <v>42</v>
      </c>
      <c r="O2167" t="s">
        <v>43</v>
      </c>
      <c r="P2167" t="s">
        <v>38</v>
      </c>
      <c r="Q2167" t="s">
        <v>85</v>
      </c>
      <c r="R2167">
        <v>3</v>
      </c>
      <c r="S2167" t="s">
        <v>45</v>
      </c>
      <c r="T2167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7">
        <v>58919</v>
      </c>
      <c r="V2167" t="s">
        <v>38</v>
      </c>
      <c r="W2167" t="s">
        <v>85</v>
      </c>
      <c r="X2167">
        <v>3</v>
      </c>
      <c r="Y2167">
        <v>0</v>
      </c>
      <c r="Z2167" t="s">
        <v>46</v>
      </c>
      <c r="AA2167">
        <v>58921</v>
      </c>
      <c r="AB2167" t="s">
        <v>1853</v>
      </c>
      <c r="AC2167" t="s">
        <v>56</v>
      </c>
      <c r="AD2167" t="s">
        <v>38</v>
      </c>
      <c r="AE2167" t="s">
        <v>49</v>
      </c>
      <c r="AF2167" t="s">
        <v>50</v>
      </c>
      <c r="AG2167">
        <v>0</v>
      </c>
      <c r="AH2167">
        <v>0</v>
      </c>
      <c r="AI2167" t="s">
        <v>51</v>
      </c>
      <c r="AJ2167" t="s">
        <v>51</v>
      </c>
      <c r="AK2167" t="s">
        <v>51</v>
      </c>
    </row>
    <row r="2168" spans="1:37" x14ac:dyDescent="0.2">
      <c r="A2168">
        <v>58891</v>
      </c>
      <c r="B2168" t="s">
        <v>37</v>
      </c>
      <c r="C2168" t="s">
        <v>38</v>
      </c>
      <c r="D2168" t="s">
        <v>39</v>
      </c>
      <c r="E2168" t="s">
        <v>40</v>
      </c>
      <c r="G2168" s="4">
        <v>43946.401099537037</v>
      </c>
      <c r="H2168" s="4">
        <v>43946.418703703704</v>
      </c>
      <c r="I2168" t="s">
        <v>1846</v>
      </c>
      <c r="J2168" s="5">
        <v>1521.000000000000000000000000000000000003</v>
      </c>
      <c r="K2168" t="s">
        <v>38</v>
      </c>
      <c r="M2168">
        <v>58918</v>
      </c>
      <c r="N2168" t="s">
        <v>42</v>
      </c>
      <c r="O2168" t="s">
        <v>43</v>
      </c>
      <c r="P2168" t="s">
        <v>38</v>
      </c>
      <c r="Q2168" t="s">
        <v>85</v>
      </c>
      <c r="R2168">
        <v>3</v>
      </c>
      <c r="S2168" t="s">
        <v>45</v>
      </c>
      <c r="T2168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8">
        <v>58919</v>
      </c>
      <c r="V2168" t="s">
        <v>38</v>
      </c>
      <c r="W2168" t="s">
        <v>85</v>
      </c>
      <c r="X2168">
        <v>3</v>
      </c>
      <c r="Y2168">
        <v>0</v>
      </c>
      <c r="Z2168" t="s">
        <v>46</v>
      </c>
      <c r="AA2168">
        <v>58920</v>
      </c>
      <c r="AB2168" t="s">
        <v>1854</v>
      </c>
      <c r="AC2168" t="s">
        <v>60</v>
      </c>
      <c r="AD2168" t="s">
        <v>38</v>
      </c>
      <c r="AE2168" t="s">
        <v>49</v>
      </c>
      <c r="AF2168" t="s">
        <v>50</v>
      </c>
      <c r="AG2168">
        <v>.9999999999999999999999999999999999999996</v>
      </c>
      <c r="AH2168">
        <v>1</v>
      </c>
      <c r="AI2168" t="s">
        <v>51</v>
      </c>
      <c r="AJ2168" t="s">
        <v>51</v>
      </c>
      <c r="AK2168" t="s">
        <v>51</v>
      </c>
    </row>
    <row r="2169" spans="1:37" x14ac:dyDescent="0.2">
      <c r="A2169">
        <v>58891</v>
      </c>
      <c r="B2169" t="s">
        <v>37</v>
      </c>
      <c r="C2169" t="s">
        <v>38</v>
      </c>
      <c r="D2169" t="s">
        <v>39</v>
      </c>
      <c r="E2169" t="s">
        <v>40</v>
      </c>
      <c r="G2169" s="4">
        <v>43946.401099537037</v>
      </c>
      <c r="H2169" s="4">
        <v>43946.418703703704</v>
      </c>
      <c r="I2169" t="s">
        <v>1846</v>
      </c>
      <c r="J2169" s="5">
        <v>1521.000000000000000000000000000000000003</v>
      </c>
      <c r="K2169" t="s">
        <v>38</v>
      </c>
      <c r="M2169">
        <v>58902</v>
      </c>
      <c r="N2169" t="s">
        <v>61</v>
      </c>
      <c r="O2169" t="s">
        <v>62</v>
      </c>
      <c r="P2169" t="s">
        <v>38</v>
      </c>
      <c r="Q2169" t="s">
        <v>1855</v>
      </c>
      <c r="R2169">
        <v>1498.000000000000000000000000000000000003</v>
      </c>
      <c r="S2169" t="s">
        <v>45</v>
      </c>
      <c r="T2169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69">
        <v>58903</v>
      </c>
      <c r="V2169" t="s">
        <v>38</v>
      </c>
      <c r="W2169" t="s">
        <v>1855</v>
      </c>
      <c r="X2169">
        <v>1498.000000000000000000000000000000000003</v>
      </c>
      <c r="Y2169">
        <v>0</v>
      </c>
      <c r="Z2169" t="s">
        <v>46</v>
      </c>
      <c r="AA2169">
        <v>58905</v>
      </c>
      <c r="AB2169" t="s">
        <v>64</v>
      </c>
      <c r="AC2169" t="s">
        <v>56</v>
      </c>
      <c r="AD2169" t="s">
        <v>38</v>
      </c>
      <c r="AE2169" t="s">
        <v>65</v>
      </c>
      <c r="AF2169" t="s">
        <v>1855</v>
      </c>
      <c r="AG2169">
        <v>1498.000000000000000000000000000000000003</v>
      </c>
      <c r="AH2169">
        <v>4</v>
      </c>
      <c r="AI2169" t="s">
        <v>66</v>
      </c>
      <c r="AJ2169" t="s">
        <v>51</v>
      </c>
      <c r="AK2169" t="s">
        <v>66</v>
      </c>
    </row>
    <row r="2170" spans="1:37" x14ac:dyDescent="0.2">
      <c r="A2170">
        <v>58891</v>
      </c>
      <c r="B2170" t="s">
        <v>37</v>
      </c>
      <c r="C2170" t="s">
        <v>38</v>
      </c>
      <c r="D2170" t="s">
        <v>39</v>
      </c>
      <c r="E2170" t="s">
        <v>40</v>
      </c>
      <c r="G2170" s="4">
        <v>43946.401099537037</v>
      </c>
      <c r="H2170" s="4">
        <v>43946.418703703704</v>
      </c>
      <c r="I2170" t="s">
        <v>1846</v>
      </c>
      <c r="J2170" s="5">
        <v>1521.000000000000000000000000000000000003</v>
      </c>
      <c r="K2170" t="s">
        <v>38</v>
      </c>
      <c r="M2170">
        <v>58902</v>
      </c>
      <c r="N2170" t="s">
        <v>61</v>
      </c>
      <c r="O2170" t="s">
        <v>62</v>
      </c>
      <c r="P2170" t="s">
        <v>38</v>
      </c>
      <c r="Q2170" t="s">
        <v>1855</v>
      </c>
      <c r="R2170">
        <v>1498.000000000000000000000000000000000003</v>
      </c>
      <c r="S2170" t="s">
        <v>45</v>
      </c>
      <c r="T2170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0">
        <v>58903</v>
      </c>
      <c r="V2170" t="s">
        <v>38</v>
      </c>
      <c r="W2170" t="s">
        <v>1855</v>
      </c>
      <c r="X2170">
        <v>1498.000000000000000000000000000000000003</v>
      </c>
      <c r="Y2170">
        <v>0</v>
      </c>
      <c r="Z2170" t="s">
        <v>46</v>
      </c>
      <c r="AA2170">
        <v>58904</v>
      </c>
      <c r="AB2170" t="s">
        <v>1856</v>
      </c>
      <c r="AC2170" t="s">
        <v>68</v>
      </c>
      <c r="AD2170" t="s">
        <v>38</v>
      </c>
      <c r="AE2170" t="s">
        <v>49</v>
      </c>
      <c r="AF2170" t="s">
        <v>50</v>
      </c>
      <c r="AG2170">
        <v>0</v>
      </c>
      <c r="AH2170">
        <v>0</v>
      </c>
      <c r="AI2170" t="s">
        <v>51</v>
      </c>
      <c r="AJ2170" t="s">
        <v>51</v>
      </c>
      <c r="AK2170" t="s">
        <v>51</v>
      </c>
    </row>
    <row r="2171" spans="1:37" x14ac:dyDescent="0.2">
      <c r="A2171">
        <v>58891</v>
      </c>
      <c r="B2171" t="s">
        <v>37</v>
      </c>
      <c r="C2171" t="s">
        <v>38</v>
      </c>
      <c r="D2171" t="s">
        <v>39</v>
      </c>
      <c r="E2171" t="s">
        <v>40</v>
      </c>
      <c r="G2171" s="4">
        <v>43946.401099537037</v>
      </c>
      <c r="H2171" s="4">
        <v>43946.418703703704</v>
      </c>
      <c r="I2171" t="s">
        <v>1846</v>
      </c>
      <c r="J2171" s="5">
        <v>1521.000000000000000000000000000000000003</v>
      </c>
      <c r="K2171" t="s">
        <v>38</v>
      </c>
      <c r="M2171">
        <v>58898</v>
      </c>
      <c r="N2171" t="s">
        <v>69</v>
      </c>
      <c r="O2171" t="s">
        <v>70</v>
      </c>
      <c r="P2171" t="s">
        <v>38</v>
      </c>
      <c r="Q2171" t="s">
        <v>652</v>
      </c>
      <c r="R2171">
        <v>8</v>
      </c>
      <c r="S2171" t="s">
        <v>45</v>
      </c>
      <c r="T2171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1">
        <v>58899</v>
      </c>
      <c r="V2171" t="s">
        <v>38</v>
      </c>
      <c r="W2171" t="s">
        <v>652</v>
      </c>
      <c r="X2171">
        <v>8</v>
      </c>
      <c r="Y2171">
        <v>0</v>
      </c>
      <c r="Z2171" t="s">
        <v>46</v>
      </c>
      <c r="AA2171">
        <v>58901</v>
      </c>
      <c r="AB2171" t="s">
        <v>1857</v>
      </c>
      <c r="AC2171" t="s">
        <v>56</v>
      </c>
      <c r="AD2171" t="s">
        <v>38</v>
      </c>
      <c r="AE2171" t="s">
        <v>49</v>
      </c>
      <c r="AF2171" t="s">
        <v>50</v>
      </c>
      <c r="AG2171">
        <v>0</v>
      </c>
      <c r="AH2171">
        <v>0</v>
      </c>
      <c r="AI2171" t="s">
        <v>51</v>
      </c>
      <c r="AJ2171" t="s">
        <v>51</v>
      </c>
      <c r="AK2171" t="s">
        <v>51</v>
      </c>
    </row>
    <row r="2172" spans="1:37" x14ac:dyDescent="0.2">
      <c r="A2172">
        <v>58891</v>
      </c>
      <c r="B2172" t="s">
        <v>37</v>
      </c>
      <c r="C2172" t="s">
        <v>38</v>
      </c>
      <c r="D2172" t="s">
        <v>39</v>
      </c>
      <c r="E2172" t="s">
        <v>40</v>
      </c>
      <c r="G2172" s="4">
        <v>43946.401099537037</v>
      </c>
      <c r="H2172" s="4">
        <v>43946.418703703704</v>
      </c>
      <c r="I2172" t="s">
        <v>1846</v>
      </c>
      <c r="J2172" s="5">
        <v>1521.000000000000000000000000000000000003</v>
      </c>
      <c r="K2172" t="s">
        <v>38</v>
      </c>
      <c r="M2172">
        <v>58898</v>
      </c>
      <c r="N2172" t="s">
        <v>69</v>
      </c>
      <c r="O2172" t="s">
        <v>70</v>
      </c>
      <c r="P2172" t="s">
        <v>38</v>
      </c>
      <c r="Q2172" t="s">
        <v>652</v>
      </c>
      <c r="R2172">
        <v>8</v>
      </c>
      <c r="S2172" t="s">
        <v>45</v>
      </c>
      <c r="T2172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2">
        <v>58899</v>
      </c>
      <c r="V2172" t="s">
        <v>38</v>
      </c>
      <c r="W2172" t="s">
        <v>652</v>
      </c>
      <c r="X2172">
        <v>8</v>
      </c>
      <c r="Y2172">
        <v>0</v>
      </c>
      <c r="Z2172" t="s">
        <v>46</v>
      </c>
      <c r="AA2172">
        <v>58900</v>
      </c>
      <c r="AB2172" t="s">
        <v>72</v>
      </c>
      <c r="AC2172" t="s">
        <v>68</v>
      </c>
      <c r="AD2172" t="s">
        <v>38</v>
      </c>
      <c r="AE2172" t="s">
        <v>872</v>
      </c>
      <c r="AF2172" t="s">
        <v>78</v>
      </c>
      <c r="AG2172">
        <v>5</v>
      </c>
      <c r="AH2172">
        <v>0</v>
      </c>
      <c r="AI2172" t="s">
        <v>873</v>
      </c>
      <c r="AJ2172" t="s">
        <v>51</v>
      </c>
      <c r="AK2172" t="s">
        <v>873</v>
      </c>
    </row>
    <row r="2173" spans="1:37" x14ac:dyDescent="0.2">
      <c r="A2173">
        <v>58891</v>
      </c>
      <c r="B2173" t="s">
        <v>37</v>
      </c>
      <c r="C2173" t="s">
        <v>38</v>
      </c>
      <c r="D2173" t="s">
        <v>39</v>
      </c>
      <c r="E2173" t="s">
        <v>40</v>
      </c>
      <c r="G2173" s="4">
        <v>43946.401099537037</v>
      </c>
      <c r="H2173" s="4">
        <v>43946.418703703704</v>
      </c>
      <c r="I2173" t="s">
        <v>1846</v>
      </c>
      <c r="J2173" s="5">
        <v>1521.000000000000000000000000000000000003</v>
      </c>
      <c r="K2173" t="s">
        <v>38</v>
      </c>
      <c r="M2173">
        <v>58892</v>
      </c>
      <c r="N2173" t="s">
        <v>73</v>
      </c>
      <c r="O2173" t="s">
        <v>74</v>
      </c>
      <c r="P2173" t="s">
        <v>38</v>
      </c>
      <c r="Q2173" t="s">
        <v>236</v>
      </c>
      <c r="R2173">
        <v>12.00000000000000000000000000000000000001</v>
      </c>
      <c r="S2173" t="s">
        <v>45</v>
      </c>
      <c r="T2173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3">
        <v>58893</v>
      </c>
      <c r="V2173" t="s">
        <v>38</v>
      </c>
      <c r="W2173" t="s">
        <v>300</v>
      </c>
      <c r="X2173">
        <v>10.00000000000000000000000000000000000002</v>
      </c>
      <c r="Y2173">
        <v>0</v>
      </c>
      <c r="Z2173" t="s">
        <v>46</v>
      </c>
      <c r="AA2173">
        <v>58897</v>
      </c>
      <c r="AB2173" t="s">
        <v>76</v>
      </c>
      <c r="AC2173" t="s">
        <v>56</v>
      </c>
      <c r="AD2173" t="s">
        <v>38</v>
      </c>
      <c r="AE2173" t="s">
        <v>77</v>
      </c>
      <c r="AF2173" t="s">
        <v>78</v>
      </c>
      <c r="AG2173">
        <v>5</v>
      </c>
      <c r="AH2173">
        <v>0</v>
      </c>
      <c r="AI2173" t="s">
        <v>79</v>
      </c>
      <c r="AJ2173" t="s">
        <v>51</v>
      </c>
      <c r="AK2173" t="s">
        <v>79</v>
      </c>
    </row>
    <row r="2174" spans="1:37" x14ac:dyDescent="0.2">
      <c r="A2174">
        <v>58891</v>
      </c>
      <c r="B2174" t="s">
        <v>37</v>
      </c>
      <c r="C2174" t="s">
        <v>38</v>
      </c>
      <c r="D2174" t="s">
        <v>39</v>
      </c>
      <c r="E2174" t="s">
        <v>40</v>
      </c>
      <c r="G2174" s="4">
        <v>43946.401099537037</v>
      </c>
      <c r="H2174" s="4">
        <v>43946.418703703704</v>
      </c>
      <c r="I2174" t="s">
        <v>1846</v>
      </c>
      <c r="J2174" s="5">
        <v>1521.000000000000000000000000000000000003</v>
      </c>
      <c r="K2174" t="s">
        <v>38</v>
      </c>
      <c r="M2174">
        <v>58892</v>
      </c>
      <c r="N2174" t="s">
        <v>73</v>
      </c>
      <c r="O2174" t="s">
        <v>74</v>
      </c>
      <c r="P2174" t="s">
        <v>38</v>
      </c>
      <c r="Q2174" t="s">
        <v>236</v>
      </c>
      <c r="R2174">
        <v>12.00000000000000000000000000000000000001</v>
      </c>
      <c r="S2174" t="s">
        <v>45</v>
      </c>
      <c r="T2174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4">
        <v>58893</v>
      </c>
      <c r="V2174" t="s">
        <v>38</v>
      </c>
      <c r="W2174" t="s">
        <v>300</v>
      </c>
      <c r="X2174">
        <v>10.00000000000000000000000000000000000002</v>
      </c>
      <c r="Y2174">
        <v>0</v>
      </c>
      <c r="Z2174" t="s">
        <v>46</v>
      </c>
      <c r="AA2174">
        <v>58896</v>
      </c>
      <c r="AB2174" t="s">
        <v>80</v>
      </c>
      <c r="AC2174" t="s">
        <v>56</v>
      </c>
      <c r="AD2174" t="s">
        <v>38</v>
      </c>
      <c r="AE2174" t="s">
        <v>49</v>
      </c>
      <c r="AF2174" t="s">
        <v>50</v>
      </c>
      <c r="AG2174">
        <v>0</v>
      </c>
      <c r="AH2174">
        <v>0</v>
      </c>
      <c r="AI2174" t="s">
        <v>51</v>
      </c>
      <c r="AJ2174" t="s">
        <v>51</v>
      </c>
      <c r="AK2174" t="s">
        <v>51</v>
      </c>
    </row>
    <row r="2175" spans="1:37" x14ac:dyDescent="0.2">
      <c r="A2175">
        <v>58891</v>
      </c>
      <c r="B2175" t="s">
        <v>37</v>
      </c>
      <c r="C2175" t="s">
        <v>38</v>
      </c>
      <c r="D2175" t="s">
        <v>39</v>
      </c>
      <c r="E2175" t="s">
        <v>40</v>
      </c>
      <c r="G2175" s="4">
        <v>43946.401099537037</v>
      </c>
      <c r="H2175" s="4">
        <v>43946.418703703704</v>
      </c>
      <c r="I2175" t="s">
        <v>1846</v>
      </c>
      <c r="J2175" s="5">
        <v>1521.000000000000000000000000000000000003</v>
      </c>
      <c r="K2175" t="s">
        <v>38</v>
      </c>
      <c r="M2175">
        <v>58892</v>
      </c>
      <c r="N2175" t="s">
        <v>73</v>
      </c>
      <c r="O2175" t="s">
        <v>74</v>
      </c>
      <c r="P2175" t="s">
        <v>38</v>
      </c>
      <c r="Q2175" t="s">
        <v>236</v>
      </c>
      <c r="R2175">
        <v>12.00000000000000000000000000000000000001</v>
      </c>
      <c r="S2175" t="s">
        <v>45</v>
      </c>
      <c r="T2175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5">
        <v>58893</v>
      </c>
      <c r="V2175" t="s">
        <v>38</v>
      </c>
      <c r="W2175" t="s">
        <v>300</v>
      </c>
      <c r="X2175">
        <v>10.00000000000000000000000000000000000002</v>
      </c>
      <c r="Y2175">
        <v>0</v>
      </c>
      <c r="Z2175" t="s">
        <v>46</v>
      </c>
      <c r="AA2175">
        <v>58895</v>
      </c>
      <c r="AB2175" t="s">
        <v>1858</v>
      </c>
      <c r="AC2175" t="s">
        <v>68</v>
      </c>
      <c r="AD2175" t="s">
        <v>38</v>
      </c>
      <c r="AE2175" t="s">
        <v>49</v>
      </c>
      <c r="AF2175" t="s">
        <v>50</v>
      </c>
      <c r="AG2175">
        <v>0</v>
      </c>
      <c r="AH2175">
        <v>0</v>
      </c>
      <c r="AI2175" t="s">
        <v>51</v>
      </c>
      <c r="AJ2175" t="s">
        <v>51</v>
      </c>
      <c r="AK2175" t="s">
        <v>51</v>
      </c>
    </row>
    <row r="2176" spans="1:37" x14ac:dyDescent="0.2">
      <c r="A2176">
        <v>58891</v>
      </c>
      <c r="B2176" t="s">
        <v>37</v>
      </c>
      <c r="C2176" t="s">
        <v>38</v>
      </c>
      <c r="D2176" t="s">
        <v>39</v>
      </c>
      <c r="E2176" t="s">
        <v>40</v>
      </c>
      <c r="G2176" s="4">
        <v>43946.401099537037</v>
      </c>
      <c r="H2176" s="4">
        <v>43946.418703703704</v>
      </c>
      <c r="I2176" t="s">
        <v>1846</v>
      </c>
      <c r="J2176" s="5">
        <v>1521.000000000000000000000000000000000003</v>
      </c>
      <c r="K2176" t="s">
        <v>38</v>
      </c>
      <c r="M2176">
        <v>58892</v>
      </c>
      <c r="N2176" t="s">
        <v>73</v>
      </c>
      <c r="O2176" t="s">
        <v>74</v>
      </c>
      <c r="P2176" t="s">
        <v>38</v>
      </c>
      <c r="Q2176" t="s">
        <v>236</v>
      </c>
      <c r="R2176">
        <v>12.00000000000000000000000000000000000001</v>
      </c>
      <c r="S2176" t="s">
        <v>45</v>
      </c>
      <c r="T2176" t="str" s="2">
        <f>=HYPERLINK("http://demo.enginatics.com:80/ecc/user/applications/log/58891.log","http://demo.enginatics.com:80/ecc/user/applications/log/58891.log")</f>
        <v>"http://demo.enginatics.com:80/ecc/user/applications/log/58891.log")</v>
      </c>
      <c r="U2176">
        <v>58893</v>
      </c>
      <c r="V2176" t="s">
        <v>38</v>
      </c>
      <c r="W2176" t="s">
        <v>300</v>
      </c>
      <c r="X2176">
        <v>10.00000000000000000000000000000000000002</v>
      </c>
      <c r="Y2176">
        <v>0</v>
      </c>
      <c r="Z2176" t="s">
        <v>46</v>
      </c>
      <c r="AA2176">
        <v>58894</v>
      </c>
      <c r="AB2176" t="s">
        <v>82</v>
      </c>
      <c r="AC2176" t="s">
        <v>68</v>
      </c>
      <c r="AD2176" t="s">
        <v>38</v>
      </c>
      <c r="AE2176" t="s">
        <v>875</v>
      </c>
      <c r="AF2176" t="s">
        <v>44</v>
      </c>
      <c r="AG2176">
        <v>4</v>
      </c>
      <c r="AH2176">
        <v>0</v>
      </c>
      <c r="AI2176" t="s">
        <v>876</v>
      </c>
      <c r="AJ2176" t="s">
        <v>51</v>
      </c>
      <c r="AK2176" t="s">
        <v>876</v>
      </c>
    </row>
    <row r="2177" spans="1:37" x14ac:dyDescent="0.2">
      <c r="A2177">
        <v>58883</v>
      </c>
      <c r="B2177" t="s">
        <v>37</v>
      </c>
      <c r="C2177" t="s">
        <v>38</v>
      </c>
      <c r="D2177" t="s">
        <v>106</v>
      </c>
      <c r="E2177" t="s">
        <v>40</v>
      </c>
      <c r="G2177" s="4">
        <v>43946.331898148148</v>
      </c>
      <c r="H2177" s="4">
        <v>43946.331898148148</v>
      </c>
      <c r="I2177" t="s">
        <v>50</v>
      </c>
      <c r="J2177" s="5">
        <v>0</v>
      </c>
      <c r="K2177" t="s">
        <v>38</v>
      </c>
      <c r="M2177">
        <v>58890</v>
      </c>
      <c r="N2177" t="s">
        <v>107</v>
      </c>
      <c r="O2177" t="s">
        <v>108</v>
      </c>
      <c r="P2177" t="s">
        <v>38</v>
      </c>
      <c r="Q2177" t="s">
        <v>50</v>
      </c>
      <c r="R2177">
        <v>0</v>
      </c>
      <c r="S2177" t="s">
        <v>109</v>
      </c>
      <c r="T2177" t="str" s="2">
        <f>=HYPERLINK("http://demo.enginatics.com:80/ecc/user/applications/log/58883.log","http://demo.enginatics.com:80/ecc/user/applications/log/58883.log")</f>
        <v>"http://demo.enginatics.com:80/ecc/user/applications/log/58883.log")</v>
      </c>
    </row>
    <row r="2178" spans="1:37" x14ac:dyDescent="0.2">
      <c r="A2178">
        <v>58883</v>
      </c>
      <c r="B2178" t="s">
        <v>37</v>
      </c>
      <c r="C2178" t="s">
        <v>38</v>
      </c>
      <c r="D2178" t="s">
        <v>106</v>
      </c>
      <c r="E2178" t="s">
        <v>40</v>
      </c>
      <c r="G2178" s="4">
        <v>43946.331898148148</v>
      </c>
      <c r="H2178" s="4">
        <v>43946.331898148148</v>
      </c>
      <c r="I2178" t="s">
        <v>50</v>
      </c>
      <c r="J2178" s="5">
        <v>0</v>
      </c>
      <c r="K2178" t="s">
        <v>38</v>
      </c>
      <c r="M2178">
        <v>58889</v>
      </c>
      <c r="N2178" t="s">
        <v>110</v>
      </c>
      <c r="O2178" t="s">
        <v>111</v>
      </c>
      <c r="P2178" t="s">
        <v>38</v>
      </c>
      <c r="Q2178" t="s">
        <v>50</v>
      </c>
      <c r="R2178">
        <v>0</v>
      </c>
      <c r="S2178" t="s">
        <v>112</v>
      </c>
      <c r="T2178" t="str" s="2">
        <f>=HYPERLINK("http://demo.enginatics.com:80/ecc/user/applications/log/58883.log","http://demo.enginatics.com:80/ecc/user/applications/log/58883.log")</f>
        <v>"http://demo.enginatics.com:80/ecc/user/applications/log/58883.log")</v>
      </c>
    </row>
    <row r="2179" spans="1:37" x14ac:dyDescent="0.2">
      <c r="A2179">
        <v>58883</v>
      </c>
      <c r="B2179" t="s">
        <v>37</v>
      </c>
      <c r="C2179" t="s">
        <v>38</v>
      </c>
      <c r="D2179" t="s">
        <v>106</v>
      </c>
      <c r="E2179" t="s">
        <v>40</v>
      </c>
      <c r="G2179" s="4">
        <v>43946.331898148148</v>
      </c>
      <c r="H2179" s="4">
        <v>43946.331898148148</v>
      </c>
      <c r="I2179" t="s">
        <v>50</v>
      </c>
      <c r="J2179" s="5">
        <v>0</v>
      </c>
      <c r="K2179" t="s">
        <v>38</v>
      </c>
      <c r="M2179">
        <v>58888</v>
      </c>
      <c r="N2179" t="s">
        <v>113</v>
      </c>
      <c r="O2179" t="s">
        <v>106</v>
      </c>
      <c r="P2179" t="s">
        <v>38</v>
      </c>
      <c r="Q2179" t="s">
        <v>50</v>
      </c>
      <c r="R2179">
        <v>0</v>
      </c>
      <c r="S2179" t="s">
        <v>114</v>
      </c>
      <c r="T2179" t="str" s="2">
        <f>=HYPERLINK("http://demo.enginatics.com:80/ecc/user/applications/log/58883.log","http://demo.enginatics.com:80/ecc/user/applications/log/58883.log")</f>
        <v>"http://demo.enginatics.com:80/ecc/user/applications/log/58883.log")</v>
      </c>
    </row>
    <row r="2180" spans="1:37" x14ac:dyDescent="0.2">
      <c r="A2180">
        <v>58883</v>
      </c>
      <c r="B2180" t="s">
        <v>37</v>
      </c>
      <c r="C2180" t="s">
        <v>38</v>
      </c>
      <c r="D2180" t="s">
        <v>106</v>
      </c>
      <c r="E2180" t="s">
        <v>40</v>
      </c>
      <c r="G2180" s="4">
        <v>43946.331898148148</v>
      </c>
      <c r="H2180" s="4">
        <v>43946.331898148148</v>
      </c>
      <c r="I2180" t="s">
        <v>50</v>
      </c>
      <c r="J2180" s="5">
        <v>0</v>
      </c>
      <c r="K2180" t="s">
        <v>38</v>
      </c>
      <c r="M2180">
        <v>58884</v>
      </c>
      <c r="N2180" t="s">
        <v>115</v>
      </c>
      <c r="O2180" t="s">
        <v>116</v>
      </c>
      <c r="P2180" t="s">
        <v>38</v>
      </c>
      <c r="Q2180" t="s">
        <v>50</v>
      </c>
      <c r="R2180">
        <v>0</v>
      </c>
      <c r="S2180" t="s">
        <v>45</v>
      </c>
      <c r="T2180" t="str" s="2">
        <f>=HYPERLINK("http://demo.enginatics.com:80/ecc/user/applications/log/58883.log","http://demo.enginatics.com:80/ecc/user/applications/log/58883.log")</f>
        <v>"http://demo.enginatics.com:80/ecc/user/applications/log/58883.log")</v>
      </c>
      <c r="U2180">
        <v>58885</v>
      </c>
      <c r="V2180" t="s">
        <v>38</v>
      </c>
      <c r="W2180" t="s">
        <v>50</v>
      </c>
      <c r="X2180">
        <v>0</v>
      </c>
      <c r="Y2180">
        <v>0</v>
      </c>
      <c r="Z2180" t="s">
        <v>46</v>
      </c>
      <c r="AA2180">
        <v>58887</v>
      </c>
      <c r="AB2180" t="s">
        <v>1859</v>
      </c>
      <c r="AC2180" t="s">
        <v>68</v>
      </c>
      <c r="AD2180" t="s">
        <v>38</v>
      </c>
      <c r="AE2180" t="s">
        <v>49</v>
      </c>
      <c r="AF2180" t="s">
        <v>50</v>
      </c>
      <c r="AG2180">
        <v>0</v>
      </c>
      <c r="AH2180">
        <v>0</v>
      </c>
      <c r="AI2180" t="s">
        <v>51</v>
      </c>
      <c r="AJ2180" t="s">
        <v>51</v>
      </c>
      <c r="AK2180" t="s">
        <v>51</v>
      </c>
    </row>
    <row r="2181" spans="1:37" x14ac:dyDescent="0.2">
      <c r="A2181">
        <v>58883</v>
      </c>
      <c r="B2181" t="s">
        <v>37</v>
      </c>
      <c r="C2181" t="s">
        <v>38</v>
      </c>
      <c r="D2181" t="s">
        <v>106</v>
      </c>
      <c r="E2181" t="s">
        <v>40</v>
      </c>
      <c r="G2181" s="4">
        <v>43946.331898148148</v>
      </c>
      <c r="H2181" s="4">
        <v>43946.331898148148</v>
      </c>
      <c r="I2181" t="s">
        <v>50</v>
      </c>
      <c r="J2181" s="5">
        <v>0</v>
      </c>
      <c r="K2181" t="s">
        <v>38</v>
      </c>
      <c r="M2181">
        <v>58884</v>
      </c>
      <c r="N2181" t="s">
        <v>115</v>
      </c>
      <c r="O2181" t="s">
        <v>116</v>
      </c>
      <c r="P2181" t="s">
        <v>38</v>
      </c>
      <c r="Q2181" t="s">
        <v>50</v>
      </c>
      <c r="R2181">
        <v>0</v>
      </c>
      <c r="S2181" t="s">
        <v>45</v>
      </c>
      <c r="T2181" t="str" s="2">
        <f>=HYPERLINK("http://demo.enginatics.com:80/ecc/user/applications/log/58883.log","http://demo.enginatics.com:80/ecc/user/applications/log/58883.log")</f>
        <v>"http://demo.enginatics.com:80/ecc/user/applications/log/58883.log")</v>
      </c>
      <c r="U2181">
        <v>58885</v>
      </c>
      <c r="V2181" t="s">
        <v>38</v>
      </c>
      <c r="W2181" t="s">
        <v>50</v>
      </c>
      <c r="X2181">
        <v>0</v>
      </c>
      <c r="Y2181">
        <v>0</v>
      </c>
      <c r="Z2181" t="s">
        <v>46</v>
      </c>
      <c r="AA2181">
        <v>58886</v>
      </c>
      <c r="AB2181" t="s">
        <v>1860</v>
      </c>
      <c r="AC2181" t="s">
        <v>56</v>
      </c>
      <c r="AD2181" t="s">
        <v>38</v>
      </c>
      <c r="AE2181" t="s">
        <v>49</v>
      </c>
      <c r="AF2181" t="s">
        <v>50</v>
      </c>
      <c r="AG2181">
        <v>0</v>
      </c>
      <c r="AH2181">
        <v>0</v>
      </c>
      <c r="AI2181" t="s">
        <v>51</v>
      </c>
      <c r="AJ2181" t="s">
        <v>51</v>
      </c>
      <c r="AK2181" t="s">
        <v>51</v>
      </c>
    </row>
    <row r="2182" spans="1:37" x14ac:dyDescent="0.2">
      <c r="A2182">
        <v>58879</v>
      </c>
      <c r="B2182" t="s">
        <v>37</v>
      </c>
      <c r="C2182" t="s">
        <v>38</v>
      </c>
      <c r="D2182" t="s">
        <v>119</v>
      </c>
      <c r="E2182" t="s">
        <v>40</v>
      </c>
      <c r="G2182" s="4">
        <v>43946.286574074074</v>
      </c>
      <c r="H2182" s="4">
        <v>43946.286574074074</v>
      </c>
      <c r="I2182" t="s">
        <v>50</v>
      </c>
      <c r="J2182" s="5">
        <v>0</v>
      </c>
      <c r="K2182" t="s">
        <v>38</v>
      </c>
      <c r="M2182">
        <v>58880</v>
      </c>
      <c r="N2182" t="s">
        <v>120</v>
      </c>
      <c r="O2182" t="s">
        <v>121</v>
      </c>
      <c r="P2182" t="s">
        <v>38</v>
      </c>
      <c r="Q2182" t="s">
        <v>50</v>
      </c>
      <c r="R2182">
        <v>0</v>
      </c>
      <c r="S2182" t="s">
        <v>45</v>
      </c>
      <c r="T2182" t="str" s="2">
        <f>=HYPERLINK("http://demo.enginatics.com:80/ecc/user/applications/log/58879.log","http://demo.enginatics.com:80/ecc/user/applications/log/58879.log")</f>
        <v>"http://demo.enginatics.com:80/ecc/user/applications/log/58879.log")</v>
      </c>
      <c r="U2182">
        <v>58881</v>
      </c>
      <c r="V2182" t="s">
        <v>38</v>
      </c>
      <c r="W2182" t="s">
        <v>50</v>
      </c>
      <c r="X2182">
        <v>0</v>
      </c>
      <c r="Y2182">
        <v>0</v>
      </c>
      <c r="Z2182" t="s">
        <v>46</v>
      </c>
      <c r="AA2182">
        <v>58882</v>
      </c>
      <c r="AB2182" t="s">
        <v>122</v>
      </c>
      <c r="AC2182" t="s">
        <v>68</v>
      </c>
      <c r="AD2182" t="s">
        <v>38</v>
      </c>
      <c r="AE2182" t="s">
        <v>49</v>
      </c>
      <c r="AF2182" t="s">
        <v>50</v>
      </c>
      <c r="AG2182">
        <v>0</v>
      </c>
      <c r="AH2182">
        <v>0</v>
      </c>
      <c r="AI2182" t="s">
        <v>51</v>
      </c>
      <c r="AJ2182" t="s">
        <v>51</v>
      </c>
      <c r="AK2182" t="s">
        <v>51</v>
      </c>
    </row>
    <row r="2183" spans="1:37" x14ac:dyDescent="0.2">
      <c r="A2183">
        <v>58872</v>
      </c>
      <c r="B2183" t="s">
        <v>37</v>
      </c>
      <c r="C2183" t="s">
        <v>38</v>
      </c>
      <c r="D2183" t="s">
        <v>123</v>
      </c>
      <c r="E2183" t="s">
        <v>40</v>
      </c>
      <c r="G2183" s="4">
        <v>43946.283090277778</v>
      </c>
      <c r="H2183" s="4">
        <v>43946.283101851852</v>
      </c>
      <c r="I2183" t="s">
        <v>50</v>
      </c>
      <c r="J2183" s="5">
        <v>.9999999999999999999999999999999999999996</v>
      </c>
      <c r="K2183" t="s">
        <v>38</v>
      </c>
      <c r="M2183">
        <v>58876</v>
      </c>
      <c r="N2183" t="s">
        <v>124</v>
      </c>
      <c r="O2183" t="s">
        <v>125</v>
      </c>
      <c r="P2183" t="s">
        <v>38</v>
      </c>
      <c r="Q2183" t="s">
        <v>50</v>
      </c>
      <c r="R2183">
        <v>0</v>
      </c>
      <c r="S2183" t="s">
        <v>45</v>
      </c>
      <c r="T2183" t="str" s="2">
        <f>=HYPERLINK("http://demo.enginatics.com:80/ecc/user/applications/log/58872.log","http://demo.enginatics.com:80/ecc/user/applications/log/58872.log")</f>
        <v>"http://demo.enginatics.com:80/ecc/user/applications/log/58872.log")</v>
      </c>
      <c r="U2183">
        <v>58877</v>
      </c>
      <c r="V2183" t="s">
        <v>38</v>
      </c>
      <c r="W2183" t="s">
        <v>50</v>
      </c>
      <c r="X2183">
        <v>0</v>
      </c>
      <c r="Y2183">
        <v>0</v>
      </c>
      <c r="Z2183" t="s">
        <v>46</v>
      </c>
      <c r="AA2183">
        <v>58878</v>
      </c>
      <c r="AB2183" t="s">
        <v>1861</v>
      </c>
      <c r="AC2183" t="s">
        <v>68</v>
      </c>
      <c r="AD2183" t="s">
        <v>38</v>
      </c>
      <c r="AE2183" t="s">
        <v>49</v>
      </c>
      <c r="AF2183" t="s">
        <v>50</v>
      </c>
      <c r="AG2183">
        <v>0</v>
      </c>
      <c r="AH2183">
        <v>0</v>
      </c>
      <c r="AI2183" t="s">
        <v>51</v>
      </c>
      <c r="AJ2183" t="s">
        <v>51</v>
      </c>
      <c r="AK2183" t="s">
        <v>51</v>
      </c>
    </row>
    <row r="2184" spans="1:37" x14ac:dyDescent="0.2">
      <c r="A2184">
        <v>58872</v>
      </c>
      <c r="B2184" t="s">
        <v>37</v>
      </c>
      <c r="C2184" t="s">
        <v>38</v>
      </c>
      <c r="D2184" t="s">
        <v>123</v>
      </c>
      <c r="E2184" t="s">
        <v>40</v>
      </c>
      <c r="G2184" s="4">
        <v>43946.283090277778</v>
      </c>
      <c r="H2184" s="4">
        <v>43946.283101851852</v>
      </c>
      <c r="I2184" t="s">
        <v>50</v>
      </c>
      <c r="J2184" s="5">
        <v>.9999999999999999999999999999999999999996</v>
      </c>
      <c r="K2184" t="s">
        <v>38</v>
      </c>
      <c r="M2184">
        <v>58873</v>
      </c>
      <c r="N2184" t="s">
        <v>127</v>
      </c>
      <c r="O2184" t="s">
        <v>128</v>
      </c>
      <c r="P2184" t="s">
        <v>38</v>
      </c>
      <c r="Q2184" t="s">
        <v>50</v>
      </c>
      <c r="R2184">
        <v>.9999999999999999999999999999999999999996</v>
      </c>
      <c r="S2184" t="s">
        <v>45</v>
      </c>
      <c r="T2184" t="str" s="2">
        <f>=HYPERLINK("http://demo.enginatics.com:80/ecc/user/applications/log/58872.log","http://demo.enginatics.com:80/ecc/user/applications/log/58872.log")</f>
        <v>"http://demo.enginatics.com:80/ecc/user/applications/log/58872.log")</v>
      </c>
      <c r="U2184">
        <v>58874</v>
      </c>
      <c r="V2184" t="s">
        <v>38</v>
      </c>
      <c r="W2184" t="s">
        <v>50</v>
      </c>
      <c r="X2184">
        <v>.9999999999999999999999999999999999999996</v>
      </c>
      <c r="Y2184">
        <v>0</v>
      </c>
      <c r="Z2184" t="s">
        <v>46</v>
      </c>
      <c r="AA2184">
        <v>58875</v>
      </c>
      <c r="AB2184" t="s">
        <v>1862</v>
      </c>
      <c r="AC2184" t="s">
        <v>68</v>
      </c>
      <c r="AD2184" t="s">
        <v>38</v>
      </c>
      <c r="AE2184" t="s">
        <v>49</v>
      </c>
      <c r="AF2184" t="s">
        <v>50</v>
      </c>
      <c r="AG2184">
        <v>.9999999999999999999999999999999999999996</v>
      </c>
      <c r="AH2184">
        <v>0</v>
      </c>
      <c r="AI2184" t="s">
        <v>51</v>
      </c>
      <c r="AJ2184" t="s">
        <v>51</v>
      </c>
      <c r="AK2184" t="s">
        <v>51</v>
      </c>
    </row>
    <row r="2185" spans="1:37" x14ac:dyDescent="0.2">
      <c r="A2185">
        <v>58833</v>
      </c>
      <c r="B2185" t="s">
        <v>37</v>
      </c>
      <c r="C2185" t="s">
        <v>38</v>
      </c>
      <c r="D2185" t="s">
        <v>130</v>
      </c>
      <c r="E2185" t="s">
        <v>40</v>
      </c>
      <c r="G2185" s="4">
        <v>43946.198530092593</v>
      </c>
      <c r="H2185" s="4">
        <v>43946.198703703704</v>
      </c>
      <c r="I2185" t="s">
        <v>315</v>
      </c>
      <c r="J2185" s="5">
        <v>14.99999999999999999999999999999999999999</v>
      </c>
      <c r="K2185" t="s">
        <v>38</v>
      </c>
      <c r="M2185">
        <v>58860</v>
      </c>
      <c r="N2185" t="s">
        <v>131</v>
      </c>
      <c r="O2185" t="s">
        <v>132</v>
      </c>
      <c r="P2185" t="s">
        <v>38</v>
      </c>
      <c r="Q2185" t="s">
        <v>652</v>
      </c>
      <c r="R2185">
        <v>8</v>
      </c>
      <c r="S2185" t="s">
        <v>45</v>
      </c>
      <c r="T2185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85">
        <v>58861</v>
      </c>
      <c r="V2185" t="s">
        <v>38</v>
      </c>
      <c r="W2185" t="s">
        <v>247</v>
      </c>
      <c r="X2185">
        <v>7</v>
      </c>
      <c r="Y2185">
        <v>0</v>
      </c>
      <c r="Z2185" t="s">
        <v>46</v>
      </c>
      <c r="AA2185">
        <v>58871</v>
      </c>
      <c r="AB2185" t="s">
        <v>1863</v>
      </c>
      <c r="AC2185" t="s">
        <v>48</v>
      </c>
      <c r="AD2185" t="s">
        <v>38</v>
      </c>
      <c r="AE2185" t="s">
        <v>49</v>
      </c>
      <c r="AF2185" t="s">
        <v>50</v>
      </c>
      <c r="AG2185">
        <v>0</v>
      </c>
      <c r="AH2185">
        <v>0</v>
      </c>
      <c r="AI2185" t="s">
        <v>51</v>
      </c>
      <c r="AJ2185" t="s">
        <v>51</v>
      </c>
      <c r="AK2185" t="s">
        <v>51</v>
      </c>
    </row>
    <row r="2186" spans="1:37" x14ac:dyDescent="0.2">
      <c r="A2186">
        <v>58833</v>
      </c>
      <c r="B2186" t="s">
        <v>37</v>
      </c>
      <c r="C2186" t="s">
        <v>38</v>
      </c>
      <c r="D2186" t="s">
        <v>130</v>
      </c>
      <c r="E2186" t="s">
        <v>40</v>
      </c>
      <c r="G2186" s="4">
        <v>43946.198530092593</v>
      </c>
      <c r="H2186" s="4">
        <v>43946.198703703704</v>
      </c>
      <c r="I2186" t="s">
        <v>315</v>
      </c>
      <c r="J2186" s="5">
        <v>14.99999999999999999999999999999999999999</v>
      </c>
      <c r="K2186" t="s">
        <v>38</v>
      </c>
      <c r="M2186">
        <v>58860</v>
      </c>
      <c r="N2186" t="s">
        <v>131</v>
      </c>
      <c r="O2186" t="s">
        <v>132</v>
      </c>
      <c r="P2186" t="s">
        <v>38</v>
      </c>
      <c r="Q2186" t="s">
        <v>652</v>
      </c>
      <c r="R2186">
        <v>8</v>
      </c>
      <c r="S2186" t="s">
        <v>45</v>
      </c>
      <c r="T2186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86">
        <v>58861</v>
      </c>
      <c r="V2186" t="s">
        <v>38</v>
      </c>
      <c r="W2186" t="s">
        <v>247</v>
      </c>
      <c r="X2186">
        <v>7</v>
      </c>
      <c r="Y2186">
        <v>0</v>
      </c>
      <c r="Z2186" t="s">
        <v>46</v>
      </c>
      <c r="AA2186">
        <v>58870</v>
      </c>
      <c r="AB2186" t="s">
        <v>1864</v>
      </c>
      <c r="AC2186" t="s">
        <v>48</v>
      </c>
      <c r="AD2186" t="s">
        <v>38</v>
      </c>
      <c r="AE2186" t="s">
        <v>49</v>
      </c>
      <c r="AF2186" t="s">
        <v>50</v>
      </c>
      <c r="AG2186">
        <v>0</v>
      </c>
      <c r="AH2186">
        <v>0</v>
      </c>
      <c r="AI2186" t="s">
        <v>51</v>
      </c>
      <c r="AJ2186" t="s">
        <v>51</v>
      </c>
      <c r="AK2186" t="s">
        <v>51</v>
      </c>
    </row>
    <row r="2187" spans="1:37" x14ac:dyDescent="0.2">
      <c r="A2187">
        <v>58833</v>
      </c>
      <c r="B2187" t="s">
        <v>37</v>
      </c>
      <c r="C2187" t="s">
        <v>38</v>
      </c>
      <c r="D2187" t="s">
        <v>130</v>
      </c>
      <c r="E2187" t="s">
        <v>40</v>
      </c>
      <c r="G2187" s="4">
        <v>43946.198530092593</v>
      </c>
      <c r="H2187" s="4">
        <v>43946.198703703704</v>
      </c>
      <c r="I2187" t="s">
        <v>315</v>
      </c>
      <c r="J2187" s="5">
        <v>14.99999999999999999999999999999999999999</v>
      </c>
      <c r="K2187" t="s">
        <v>38</v>
      </c>
      <c r="M2187">
        <v>58860</v>
      </c>
      <c r="N2187" t="s">
        <v>131</v>
      </c>
      <c r="O2187" t="s">
        <v>132</v>
      </c>
      <c r="P2187" t="s">
        <v>38</v>
      </c>
      <c r="Q2187" t="s">
        <v>652</v>
      </c>
      <c r="R2187">
        <v>8</v>
      </c>
      <c r="S2187" t="s">
        <v>45</v>
      </c>
      <c r="T2187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87">
        <v>58861</v>
      </c>
      <c r="V2187" t="s">
        <v>38</v>
      </c>
      <c r="W2187" t="s">
        <v>247</v>
      </c>
      <c r="X2187">
        <v>7</v>
      </c>
      <c r="Y2187">
        <v>0</v>
      </c>
      <c r="Z2187" t="s">
        <v>46</v>
      </c>
      <c r="AA2187">
        <v>58869</v>
      </c>
      <c r="AB2187" t="s">
        <v>1865</v>
      </c>
      <c r="AC2187" t="s">
        <v>48</v>
      </c>
      <c r="AD2187" t="s">
        <v>38</v>
      </c>
      <c r="AE2187" t="s">
        <v>49</v>
      </c>
      <c r="AF2187" t="s">
        <v>50</v>
      </c>
      <c r="AG2187">
        <v>0</v>
      </c>
      <c r="AH2187">
        <v>0</v>
      </c>
      <c r="AI2187" t="s">
        <v>51</v>
      </c>
      <c r="AJ2187" t="s">
        <v>51</v>
      </c>
      <c r="AK2187" t="s">
        <v>51</v>
      </c>
    </row>
    <row r="2188" spans="1:37" x14ac:dyDescent="0.2">
      <c r="A2188">
        <v>58833</v>
      </c>
      <c r="B2188" t="s">
        <v>37</v>
      </c>
      <c r="C2188" t="s">
        <v>38</v>
      </c>
      <c r="D2188" t="s">
        <v>130</v>
      </c>
      <c r="E2188" t="s">
        <v>40</v>
      </c>
      <c r="G2188" s="4">
        <v>43946.198530092593</v>
      </c>
      <c r="H2188" s="4">
        <v>43946.198703703704</v>
      </c>
      <c r="I2188" t="s">
        <v>315</v>
      </c>
      <c r="J2188" s="5">
        <v>14.99999999999999999999999999999999999999</v>
      </c>
      <c r="K2188" t="s">
        <v>38</v>
      </c>
      <c r="M2188">
        <v>58860</v>
      </c>
      <c r="N2188" t="s">
        <v>131</v>
      </c>
      <c r="O2188" t="s">
        <v>132</v>
      </c>
      <c r="P2188" t="s">
        <v>38</v>
      </c>
      <c r="Q2188" t="s">
        <v>652</v>
      </c>
      <c r="R2188">
        <v>8</v>
      </c>
      <c r="S2188" t="s">
        <v>45</v>
      </c>
      <c r="T2188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88">
        <v>58861</v>
      </c>
      <c r="V2188" t="s">
        <v>38</v>
      </c>
      <c r="W2188" t="s">
        <v>247</v>
      </c>
      <c r="X2188">
        <v>7</v>
      </c>
      <c r="Y2188">
        <v>0</v>
      </c>
      <c r="Z2188" t="s">
        <v>46</v>
      </c>
      <c r="AA2188">
        <v>58868</v>
      </c>
      <c r="AB2188" t="s">
        <v>1866</v>
      </c>
      <c r="AC2188" t="s">
        <v>48</v>
      </c>
      <c r="AD2188" t="s">
        <v>38</v>
      </c>
      <c r="AE2188" t="s">
        <v>49</v>
      </c>
      <c r="AF2188" t="s">
        <v>50</v>
      </c>
      <c r="AG2188">
        <v>0</v>
      </c>
      <c r="AH2188">
        <v>0</v>
      </c>
      <c r="AI2188" t="s">
        <v>51</v>
      </c>
      <c r="AJ2188" t="s">
        <v>51</v>
      </c>
      <c r="AK2188" t="s">
        <v>51</v>
      </c>
    </row>
    <row r="2189" spans="1:37" x14ac:dyDescent="0.2">
      <c r="A2189">
        <v>58833</v>
      </c>
      <c r="B2189" t="s">
        <v>37</v>
      </c>
      <c r="C2189" t="s">
        <v>38</v>
      </c>
      <c r="D2189" t="s">
        <v>130</v>
      </c>
      <c r="E2189" t="s">
        <v>40</v>
      </c>
      <c r="G2189" s="4">
        <v>43946.198530092593</v>
      </c>
      <c r="H2189" s="4">
        <v>43946.198703703704</v>
      </c>
      <c r="I2189" t="s">
        <v>315</v>
      </c>
      <c r="J2189" s="5">
        <v>14.99999999999999999999999999999999999999</v>
      </c>
      <c r="K2189" t="s">
        <v>38</v>
      </c>
      <c r="M2189">
        <v>58860</v>
      </c>
      <c r="N2189" t="s">
        <v>131</v>
      </c>
      <c r="O2189" t="s">
        <v>132</v>
      </c>
      <c r="P2189" t="s">
        <v>38</v>
      </c>
      <c r="Q2189" t="s">
        <v>652</v>
      </c>
      <c r="R2189">
        <v>8</v>
      </c>
      <c r="S2189" t="s">
        <v>45</v>
      </c>
      <c r="T2189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89">
        <v>58861</v>
      </c>
      <c r="V2189" t="s">
        <v>38</v>
      </c>
      <c r="W2189" t="s">
        <v>247</v>
      </c>
      <c r="X2189">
        <v>7</v>
      </c>
      <c r="Y2189">
        <v>0</v>
      </c>
      <c r="Z2189" t="s">
        <v>46</v>
      </c>
      <c r="AA2189">
        <v>58867</v>
      </c>
      <c r="AB2189" t="s">
        <v>1867</v>
      </c>
      <c r="AC2189" t="s">
        <v>48</v>
      </c>
      <c r="AD2189" t="s">
        <v>38</v>
      </c>
      <c r="AE2189" t="s">
        <v>49</v>
      </c>
      <c r="AF2189" t="s">
        <v>75</v>
      </c>
      <c r="AG2189">
        <v>6</v>
      </c>
      <c r="AH2189">
        <v>0</v>
      </c>
      <c r="AI2189" t="s">
        <v>51</v>
      </c>
      <c r="AJ2189" t="s">
        <v>51</v>
      </c>
      <c r="AK2189" t="s">
        <v>51</v>
      </c>
    </row>
    <row r="2190" spans="1:37" x14ac:dyDescent="0.2">
      <c r="A2190">
        <v>58833</v>
      </c>
      <c r="B2190" t="s">
        <v>37</v>
      </c>
      <c r="C2190" t="s">
        <v>38</v>
      </c>
      <c r="D2190" t="s">
        <v>130</v>
      </c>
      <c r="E2190" t="s">
        <v>40</v>
      </c>
      <c r="G2190" s="4">
        <v>43946.198530092593</v>
      </c>
      <c r="H2190" s="4">
        <v>43946.198703703704</v>
      </c>
      <c r="I2190" t="s">
        <v>315</v>
      </c>
      <c r="J2190" s="5">
        <v>14.99999999999999999999999999999999999999</v>
      </c>
      <c r="K2190" t="s">
        <v>38</v>
      </c>
      <c r="M2190">
        <v>58860</v>
      </c>
      <c r="N2190" t="s">
        <v>131</v>
      </c>
      <c r="O2190" t="s">
        <v>132</v>
      </c>
      <c r="P2190" t="s">
        <v>38</v>
      </c>
      <c r="Q2190" t="s">
        <v>652</v>
      </c>
      <c r="R2190">
        <v>8</v>
      </c>
      <c r="S2190" t="s">
        <v>45</v>
      </c>
      <c r="T2190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0">
        <v>58861</v>
      </c>
      <c r="V2190" t="s">
        <v>38</v>
      </c>
      <c r="W2190" t="s">
        <v>247</v>
      </c>
      <c r="X2190">
        <v>7</v>
      </c>
      <c r="Y2190">
        <v>0</v>
      </c>
      <c r="Z2190" t="s">
        <v>46</v>
      </c>
      <c r="AA2190">
        <v>58866</v>
      </c>
      <c r="AB2190" t="s">
        <v>1868</v>
      </c>
      <c r="AC2190" t="s">
        <v>60</v>
      </c>
      <c r="AD2190" t="s">
        <v>38</v>
      </c>
      <c r="AE2190" t="s">
        <v>49</v>
      </c>
      <c r="AF2190" t="s">
        <v>50</v>
      </c>
      <c r="AG2190">
        <v>0</v>
      </c>
      <c r="AH2190">
        <v>0</v>
      </c>
      <c r="AI2190" t="s">
        <v>51</v>
      </c>
      <c r="AJ2190" t="s">
        <v>51</v>
      </c>
      <c r="AK2190" t="s">
        <v>51</v>
      </c>
    </row>
    <row r="2191" spans="1:37" x14ac:dyDescent="0.2">
      <c r="A2191">
        <v>58833</v>
      </c>
      <c r="B2191" t="s">
        <v>37</v>
      </c>
      <c r="C2191" t="s">
        <v>38</v>
      </c>
      <c r="D2191" t="s">
        <v>130</v>
      </c>
      <c r="E2191" t="s">
        <v>40</v>
      </c>
      <c r="G2191" s="4">
        <v>43946.198530092593</v>
      </c>
      <c r="H2191" s="4">
        <v>43946.198703703704</v>
      </c>
      <c r="I2191" t="s">
        <v>315</v>
      </c>
      <c r="J2191" s="5">
        <v>14.99999999999999999999999999999999999999</v>
      </c>
      <c r="K2191" t="s">
        <v>38</v>
      </c>
      <c r="M2191">
        <v>58860</v>
      </c>
      <c r="N2191" t="s">
        <v>131</v>
      </c>
      <c r="O2191" t="s">
        <v>132</v>
      </c>
      <c r="P2191" t="s">
        <v>38</v>
      </c>
      <c r="Q2191" t="s">
        <v>652</v>
      </c>
      <c r="R2191">
        <v>8</v>
      </c>
      <c r="S2191" t="s">
        <v>45</v>
      </c>
      <c r="T2191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1">
        <v>58861</v>
      </c>
      <c r="V2191" t="s">
        <v>38</v>
      </c>
      <c r="W2191" t="s">
        <v>247</v>
      </c>
      <c r="X2191">
        <v>7</v>
      </c>
      <c r="Y2191">
        <v>0</v>
      </c>
      <c r="Z2191" t="s">
        <v>46</v>
      </c>
      <c r="AA2191">
        <v>58865</v>
      </c>
      <c r="AB2191" t="s">
        <v>1869</v>
      </c>
      <c r="AC2191" t="s">
        <v>60</v>
      </c>
      <c r="AD2191" t="s">
        <v>38</v>
      </c>
      <c r="AE2191" t="s">
        <v>49</v>
      </c>
      <c r="AF2191" t="s">
        <v>50</v>
      </c>
      <c r="AG2191">
        <v>0</v>
      </c>
      <c r="AH2191">
        <v>0</v>
      </c>
      <c r="AI2191" t="s">
        <v>51</v>
      </c>
      <c r="AJ2191" t="s">
        <v>51</v>
      </c>
      <c r="AK2191" t="s">
        <v>51</v>
      </c>
    </row>
    <row r="2192" spans="1:37" x14ac:dyDescent="0.2">
      <c r="A2192">
        <v>58833</v>
      </c>
      <c r="B2192" t="s">
        <v>37</v>
      </c>
      <c r="C2192" t="s">
        <v>38</v>
      </c>
      <c r="D2192" t="s">
        <v>130</v>
      </c>
      <c r="E2192" t="s">
        <v>40</v>
      </c>
      <c r="G2192" s="4">
        <v>43946.198530092593</v>
      </c>
      <c r="H2192" s="4">
        <v>43946.198703703704</v>
      </c>
      <c r="I2192" t="s">
        <v>315</v>
      </c>
      <c r="J2192" s="5">
        <v>14.99999999999999999999999999999999999999</v>
      </c>
      <c r="K2192" t="s">
        <v>38</v>
      </c>
      <c r="M2192">
        <v>58860</v>
      </c>
      <c r="N2192" t="s">
        <v>131</v>
      </c>
      <c r="O2192" t="s">
        <v>132</v>
      </c>
      <c r="P2192" t="s">
        <v>38</v>
      </c>
      <c r="Q2192" t="s">
        <v>652</v>
      </c>
      <c r="R2192">
        <v>8</v>
      </c>
      <c r="S2192" t="s">
        <v>45</v>
      </c>
      <c r="T2192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2">
        <v>58861</v>
      </c>
      <c r="V2192" t="s">
        <v>38</v>
      </c>
      <c r="W2192" t="s">
        <v>247</v>
      </c>
      <c r="X2192">
        <v>7</v>
      </c>
      <c r="Y2192">
        <v>0</v>
      </c>
      <c r="Z2192" t="s">
        <v>46</v>
      </c>
      <c r="AA2192">
        <v>58864</v>
      </c>
      <c r="AB2192" t="s">
        <v>1870</v>
      </c>
      <c r="AC2192" t="s">
        <v>56</v>
      </c>
      <c r="AD2192" t="s">
        <v>38</v>
      </c>
      <c r="AE2192" t="s">
        <v>49</v>
      </c>
      <c r="AF2192" t="s">
        <v>50</v>
      </c>
      <c r="AG2192">
        <v>0</v>
      </c>
      <c r="AH2192">
        <v>0</v>
      </c>
      <c r="AI2192" t="s">
        <v>51</v>
      </c>
      <c r="AJ2192" t="s">
        <v>51</v>
      </c>
      <c r="AK2192" t="s">
        <v>51</v>
      </c>
    </row>
    <row r="2193" spans="1:37" x14ac:dyDescent="0.2">
      <c r="A2193">
        <v>58833</v>
      </c>
      <c r="B2193" t="s">
        <v>37</v>
      </c>
      <c r="C2193" t="s">
        <v>38</v>
      </c>
      <c r="D2193" t="s">
        <v>130</v>
      </c>
      <c r="E2193" t="s">
        <v>40</v>
      </c>
      <c r="G2193" s="4">
        <v>43946.198530092593</v>
      </c>
      <c r="H2193" s="4">
        <v>43946.198703703704</v>
      </c>
      <c r="I2193" t="s">
        <v>315</v>
      </c>
      <c r="J2193" s="5">
        <v>14.99999999999999999999999999999999999999</v>
      </c>
      <c r="K2193" t="s">
        <v>38</v>
      </c>
      <c r="M2193">
        <v>58860</v>
      </c>
      <c r="N2193" t="s">
        <v>131</v>
      </c>
      <c r="O2193" t="s">
        <v>132</v>
      </c>
      <c r="P2193" t="s">
        <v>38</v>
      </c>
      <c r="Q2193" t="s">
        <v>652</v>
      </c>
      <c r="R2193">
        <v>8</v>
      </c>
      <c r="S2193" t="s">
        <v>45</v>
      </c>
      <c r="T2193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3">
        <v>58861</v>
      </c>
      <c r="V2193" t="s">
        <v>38</v>
      </c>
      <c r="W2193" t="s">
        <v>247</v>
      </c>
      <c r="X2193">
        <v>7</v>
      </c>
      <c r="Y2193">
        <v>0</v>
      </c>
      <c r="Z2193" t="s">
        <v>46</v>
      </c>
      <c r="AA2193">
        <v>58863</v>
      </c>
      <c r="AB2193" t="s">
        <v>1871</v>
      </c>
      <c r="AC2193" t="s">
        <v>60</v>
      </c>
      <c r="AD2193" t="s">
        <v>38</v>
      </c>
      <c r="AE2193" t="s">
        <v>49</v>
      </c>
      <c r="AF2193" t="s">
        <v>50</v>
      </c>
      <c r="AG2193">
        <v>.9999999999999999999999999999999999999996</v>
      </c>
      <c r="AH2193">
        <v>0</v>
      </c>
      <c r="AI2193" t="s">
        <v>51</v>
      </c>
      <c r="AJ2193" t="s">
        <v>51</v>
      </c>
      <c r="AK2193" t="s">
        <v>51</v>
      </c>
    </row>
    <row r="2194" spans="1:37" x14ac:dyDescent="0.2">
      <c r="A2194">
        <v>58833</v>
      </c>
      <c r="B2194" t="s">
        <v>37</v>
      </c>
      <c r="C2194" t="s">
        <v>38</v>
      </c>
      <c r="D2194" t="s">
        <v>130</v>
      </c>
      <c r="E2194" t="s">
        <v>40</v>
      </c>
      <c r="G2194" s="4">
        <v>43946.198530092593</v>
      </c>
      <c r="H2194" s="4">
        <v>43946.198703703704</v>
      </c>
      <c r="I2194" t="s">
        <v>315</v>
      </c>
      <c r="J2194" s="5">
        <v>14.99999999999999999999999999999999999999</v>
      </c>
      <c r="K2194" t="s">
        <v>38</v>
      </c>
      <c r="M2194">
        <v>58860</v>
      </c>
      <c r="N2194" t="s">
        <v>131</v>
      </c>
      <c r="O2194" t="s">
        <v>132</v>
      </c>
      <c r="P2194" t="s">
        <v>38</v>
      </c>
      <c r="Q2194" t="s">
        <v>652</v>
      </c>
      <c r="R2194">
        <v>8</v>
      </c>
      <c r="S2194" t="s">
        <v>45</v>
      </c>
      <c r="T2194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4">
        <v>58861</v>
      </c>
      <c r="V2194" t="s">
        <v>38</v>
      </c>
      <c r="W2194" t="s">
        <v>247</v>
      </c>
      <c r="X2194">
        <v>7</v>
      </c>
      <c r="Y2194">
        <v>0</v>
      </c>
      <c r="Z2194" t="s">
        <v>46</v>
      </c>
      <c r="AA2194">
        <v>58862</v>
      </c>
      <c r="AB2194" t="s">
        <v>1872</v>
      </c>
      <c r="AC2194" t="s">
        <v>56</v>
      </c>
      <c r="AD2194" t="s">
        <v>38</v>
      </c>
      <c r="AE2194" t="s">
        <v>49</v>
      </c>
      <c r="AF2194" t="s">
        <v>50</v>
      </c>
      <c r="AG2194">
        <v>0</v>
      </c>
      <c r="AH2194">
        <v>0</v>
      </c>
      <c r="AI2194" t="s">
        <v>51</v>
      </c>
      <c r="AJ2194" t="s">
        <v>51</v>
      </c>
      <c r="AK2194" t="s">
        <v>51</v>
      </c>
    </row>
    <row r="2195" spans="1:37" x14ac:dyDescent="0.2">
      <c r="A2195">
        <v>58833</v>
      </c>
      <c r="B2195" t="s">
        <v>37</v>
      </c>
      <c r="C2195" t="s">
        <v>38</v>
      </c>
      <c r="D2195" t="s">
        <v>130</v>
      </c>
      <c r="E2195" t="s">
        <v>40</v>
      </c>
      <c r="G2195" s="4">
        <v>43946.198530092593</v>
      </c>
      <c r="H2195" s="4">
        <v>43946.198703703704</v>
      </c>
      <c r="I2195" t="s">
        <v>315</v>
      </c>
      <c r="J2195" s="5">
        <v>14.99999999999999999999999999999999999999</v>
      </c>
      <c r="K2195" t="s">
        <v>38</v>
      </c>
      <c r="M2195">
        <v>58853</v>
      </c>
      <c r="N2195" t="s">
        <v>143</v>
      </c>
      <c r="O2195" t="s">
        <v>144</v>
      </c>
      <c r="P2195" t="s">
        <v>38</v>
      </c>
      <c r="Q2195" t="s">
        <v>50</v>
      </c>
      <c r="R2195">
        <v>0</v>
      </c>
      <c r="S2195" t="s">
        <v>45</v>
      </c>
      <c r="T2195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5">
        <v>58854</v>
      </c>
      <c r="V2195" t="s">
        <v>38</v>
      </c>
      <c r="W2195" t="s">
        <v>50</v>
      </c>
      <c r="X2195">
        <v>0</v>
      </c>
      <c r="Y2195">
        <v>0</v>
      </c>
      <c r="Z2195" t="s">
        <v>46</v>
      </c>
      <c r="AA2195">
        <v>58859</v>
      </c>
      <c r="AB2195" t="s">
        <v>145</v>
      </c>
      <c r="AC2195" t="s">
        <v>56</v>
      </c>
      <c r="AD2195" t="s">
        <v>38</v>
      </c>
      <c r="AE2195" t="s">
        <v>49</v>
      </c>
      <c r="AF2195" t="s">
        <v>50</v>
      </c>
      <c r="AG2195">
        <v>0</v>
      </c>
      <c r="AH2195">
        <v>0</v>
      </c>
      <c r="AI2195" t="s">
        <v>51</v>
      </c>
      <c r="AJ2195" t="s">
        <v>51</v>
      </c>
      <c r="AK2195" t="s">
        <v>51</v>
      </c>
    </row>
    <row r="2196" spans="1:37" x14ac:dyDescent="0.2">
      <c r="A2196">
        <v>58833</v>
      </c>
      <c r="B2196" t="s">
        <v>37</v>
      </c>
      <c r="C2196" t="s">
        <v>38</v>
      </c>
      <c r="D2196" t="s">
        <v>130</v>
      </c>
      <c r="E2196" t="s">
        <v>40</v>
      </c>
      <c r="G2196" s="4">
        <v>43946.198530092593</v>
      </c>
      <c r="H2196" s="4">
        <v>43946.198703703704</v>
      </c>
      <c r="I2196" t="s">
        <v>315</v>
      </c>
      <c r="J2196" s="5">
        <v>14.99999999999999999999999999999999999999</v>
      </c>
      <c r="K2196" t="s">
        <v>38</v>
      </c>
      <c r="M2196">
        <v>58853</v>
      </c>
      <c r="N2196" t="s">
        <v>143</v>
      </c>
      <c r="O2196" t="s">
        <v>144</v>
      </c>
      <c r="P2196" t="s">
        <v>38</v>
      </c>
      <c r="Q2196" t="s">
        <v>50</v>
      </c>
      <c r="R2196">
        <v>0</v>
      </c>
      <c r="S2196" t="s">
        <v>45</v>
      </c>
      <c r="T2196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6">
        <v>58854</v>
      </c>
      <c r="V2196" t="s">
        <v>38</v>
      </c>
      <c r="W2196" t="s">
        <v>50</v>
      </c>
      <c r="X2196">
        <v>0</v>
      </c>
      <c r="Y2196">
        <v>0</v>
      </c>
      <c r="Z2196" t="s">
        <v>46</v>
      </c>
      <c r="AA2196">
        <v>58858</v>
      </c>
      <c r="AB2196" t="s">
        <v>146</v>
      </c>
      <c r="AC2196" t="s">
        <v>68</v>
      </c>
      <c r="AD2196" t="s">
        <v>38</v>
      </c>
      <c r="AE2196" t="s">
        <v>49</v>
      </c>
      <c r="AF2196" t="s">
        <v>50</v>
      </c>
      <c r="AG2196">
        <v>0</v>
      </c>
      <c r="AH2196">
        <v>0</v>
      </c>
      <c r="AI2196" t="s">
        <v>51</v>
      </c>
      <c r="AJ2196" t="s">
        <v>51</v>
      </c>
      <c r="AK2196" t="s">
        <v>51</v>
      </c>
    </row>
    <row r="2197" spans="1:37" x14ac:dyDescent="0.2">
      <c r="A2197">
        <v>58833</v>
      </c>
      <c r="B2197" t="s">
        <v>37</v>
      </c>
      <c r="C2197" t="s">
        <v>38</v>
      </c>
      <c r="D2197" t="s">
        <v>130</v>
      </c>
      <c r="E2197" t="s">
        <v>40</v>
      </c>
      <c r="G2197" s="4">
        <v>43946.198530092593</v>
      </c>
      <c r="H2197" s="4">
        <v>43946.198703703704</v>
      </c>
      <c r="I2197" t="s">
        <v>315</v>
      </c>
      <c r="J2197" s="5">
        <v>14.99999999999999999999999999999999999999</v>
      </c>
      <c r="K2197" t="s">
        <v>38</v>
      </c>
      <c r="M2197">
        <v>58853</v>
      </c>
      <c r="N2197" t="s">
        <v>143</v>
      </c>
      <c r="O2197" t="s">
        <v>144</v>
      </c>
      <c r="P2197" t="s">
        <v>38</v>
      </c>
      <c r="Q2197" t="s">
        <v>50</v>
      </c>
      <c r="R2197">
        <v>0</v>
      </c>
      <c r="S2197" t="s">
        <v>45</v>
      </c>
      <c r="T2197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7">
        <v>58854</v>
      </c>
      <c r="V2197" t="s">
        <v>38</v>
      </c>
      <c r="W2197" t="s">
        <v>50</v>
      </c>
      <c r="X2197">
        <v>0</v>
      </c>
      <c r="Y2197">
        <v>0</v>
      </c>
      <c r="Z2197" t="s">
        <v>46</v>
      </c>
      <c r="AA2197">
        <v>58857</v>
      </c>
      <c r="AB2197" t="s">
        <v>147</v>
      </c>
      <c r="AC2197" t="s">
        <v>68</v>
      </c>
      <c r="AD2197" t="s">
        <v>38</v>
      </c>
      <c r="AE2197" t="s">
        <v>49</v>
      </c>
      <c r="AF2197" t="s">
        <v>50</v>
      </c>
      <c r="AG2197">
        <v>0</v>
      </c>
      <c r="AH2197">
        <v>0</v>
      </c>
      <c r="AI2197" t="s">
        <v>51</v>
      </c>
      <c r="AJ2197" t="s">
        <v>51</v>
      </c>
      <c r="AK2197" t="s">
        <v>51</v>
      </c>
    </row>
    <row r="2198" spans="1:37" x14ac:dyDescent="0.2">
      <c r="A2198">
        <v>58833</v>
      </c>
      <c r="B2198" t="s">
        <v>37</v>
      </c>
      <c r="C2198" t="s">
        <v>38</v>
      </c>
      <c r="D2198" t="s">
        <v>130</v>
      </c>
      <c r="E2198" t="s">
        <v>40</v>
      </c>
      <c r="G2198" s="4">
        <v>43946.198530092593</v>
      </c>
      <c r="H2198" s="4">
        <v>43946.198703703704</v>
      </c>
      <c r="I2198" t="s">
        <v>315</v>
      </c>
      <c r="J2198" s="5">
        <v>14.99999999999999999999999999999999999999</v>
      </c>
      <c r="K2198" t="s">
        <v>38</v>
      </c>
      <c r="M2198">
        <v>58853</v>
      </c>
      <c r="N2198" t="s">
        <v>143</v>
      </c>
      <c r="O2198" t="s">
        <v>144</v>
      </c>
      <c r="P2198" t="s">
        <v>38</v>
      </c>
      <c r="Q2198" t="s">
        <v>50</v>
      </c>
      <c r="R2198">
        <v>0</v>
      </c>
      <c r="S2198" t="s">
        <v>45</v>
      </c>
      <c r="T2198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8">
        <v>58854</v>
      </c>
      <c r="V2198" t="s">
        <v>38</v>
      </c>
      <c r="W2198" t="s">
        <v>50</v>
      </c>
      <c r="X2198">
        <v>0</v>
      </c>
      <c r="Y2198">
        <v>0</v>
      </c>
      <c r="Z2198" t="s">
        <v>46</v>
      </c>
      <c r="AA2198">
        <v>58856</v>
      </c>
      <c r="AB2198" t="s">
        <v>148</v>
      </c>
      <c r="AC2198" t="s">
        <v>68</v>
      </c>
      <c r="AD2198" t="s">
        <v>38</v>
      </c>
      <c r="AE2198" t="s">
        <v>49</v>
      </c>
      <c r="AF2198" t="s">
        <v>50</v>
      </c>
      <c r="AG2198">
        <v>0</v>
      </c>
      <c r="AH2198">
        <v>0</v>
      </c>
      <c r="AI2198" t="s">
        <v>51</v>
      </c>
      <c r="AJ2198" t="s">
        <v>51</v>
      </c>
      <c r="AK2198" t="s">
        <v>51</v>
      </c>
    </row>
    <row r="2199" spans="1:37" x14ac:dyDescent="0.2">
      <c r="A2199">
        <v>58833</v>
      </c>
      <c r="B2199" t="s">
        <v>37</v>
      </c>
      <c r="C2199" t="s">
        <v>38</v>
      </c>
      <c r="D2199" t="s">
        <v>130</v>
      </c>
      <c r="E2199" t="s">
        <v>40</v>
      </c>
      <c r="G2199" s="4">
        <v>43946.198530092593</v>
      </c>
      <c r="H2199" s="4">
        <v>43946.198703703704</v>
      </c>
      <c r="I2199" t="s">
        <v>315</v>
      </c>
      <c r="J2199" s="5">
        <v>14.99999999999999999999999999999999999999</v>
      </c>
      <c r="K2199" t="s">
        <v>38</v>
      </c>
      <c r="M2199">
        <v>58853</v>
      </c>
      <c r="N2199" t="s">
        <v>143</v>
      </c>
      <c r="O2199" t="s">
        <v>144</v>
      </c>
      <c r="P2199" t="s">
        <v>38</v>
      </c>
      <c r="Q2199" t="s">
        <v>50</v>
      </c>
      <c r="R2199">
        <v>0</v>
      </c>
      <c r="S2199" t="s">
        <v>45</v>
      </c>
      <c r="T2199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199">
        <v>58854</v>
      </c>
      <c r="V2199" t="s">
        <v>38</v>
      </c>
      <c r="W2199" t="s">
        <v>50</v>
      </c>
      <c r="X2199">
        <v>0</v>
      </c>
      <c r="Y2199">
        <v>0</v>
      </c>
      <c r="Z2199" t="s">
        <v>46</v>
      </c>
      <c r="AA2199">
        <v>58855</v>
      </c>
      <c r="AB2199" t="s">
        <v>149</v>
      </c>
      <c r="AC2199" t="s">
        <v>68</v>
      </c>
      <c r="AD2199" t="s">
        <v>38</v>
      </c>
      <c r="AE2199" t="s">
        <v>49</v>
      </c>
      <c r="AF2199" t="s">
        <v>50</v>
      </c>
      <c r="AG2199">
        <v>0</v>
      </c>
      <c r="AH2199">
        <v>0</v>
      </c>
      <c r="AI2199" t="s">
        <v>51</v>
      </c>
      <c r="AJ2199" t="s">
        <v>51</v>
      </c>
      <c r="AK2199" t="s">
        <v>51</v>
      </c>
    </row>
    <row r="2200" spans="1:37" x14ac:dyDescent="0.2">
      <c r="A2200">
        <v>58833</v>
      </c>
      <c r="B2200" t="s">
        <v>37</v>
      </c>
      <c r="C2200" t="s">
        <v>38</v>
      </c>
      <c r="D2200" t="s">
        <v>130</v>
      </c>
      <c r="E2200" t="s">
        <v>40</v>
      </c>
      <c r="G2200" s="4">
        <v>43946.198530092593</v>
      </c>
      <c r="H2200" s="4">
        <v>43946.198703703704</v>
      </c>
      <c r="I2200" t="s">
        <v>315</v>
      </c>
      <c r="J2200" s="5">
        <v>14.99999999999999999999999999999999999999</v>
      </c>
      <c r="K2200" t="s">
        <v>38</v>
      </c>
      <c r="M2200">
        <v>58848</v>
      </c>
      <c r="N2200" t="s">
        <v>150</v>
      </c>
      <c r="O2200" t="s">
        <v>151</v>
      </c>
      <c r="P2200" t="s">
        <v>38</v>
      </c>
      <c r="Q2200" t="s">
        <v>75</v>
      </c>
      <c r="R2200">
        <v>6</v>
      </c>
      <c r="S2200" t="s">
        <v>45</v>
      </c>
      <c r="T2200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0">
        <v>58849</v>
      </c>
      <c r="V2200" t="s">
        <v>38</v>
      </c>
      <c r="W2200" t="s">
        <v>44</v>
      </c>
      <c r="X2200">
        <v>4</v>
      </c>
      <c r="Y2200">
        <v>0</v>
      </c>
      <c r="Z2200" t="s">
        <v>46</v>
      </c>
      <c r="AA2200">
        <v>58852</v>
      </c>
      <c r="AB2200" t="s">
        <v>152</v>
      </c>
      <c r="AC2200" t="s">
        <v>56</v>
      </c>
      <c r="AD2200" t="s">
        <v>38</v>
      </c>
      <c r="AE2200" t="s">
        <v>49</v>
      </c>
      <c r="AF2200" t="s">
        <v>50</v>
      </c>
      <c r="AG2200">
        <v>0</v>
      </c>
      <c r="AH2200">
        <v>0</v>
      </c>
      <c r="AI2200" t="s">
        <v>51</v>
      </c>
      <c r="AJ2200" t="s">
        <v>51</v>
      </c>
      <c r="AK2200" t="s">
        <v>51</v>
      </c>
    </row>
    <row r="2201" spans="1:37" x14ac:dyDescent="0.2">
      <c r="A2201">
        <v>58833</v>
      </c>
      <c r="B2201" t="s">
        <v>37</v>
      </c>
      <c r="C2201" t="s">
        <v>38</v>
      </c>
      <c r="D2201" t="s">
        <v>130</v>
      </c>
      <c r="E2201" t="s">
        <v>40</v>
      </c>
      <c r="G2201" s="4">
        <v>43946.198530092593</v>
      </c>
      <c r="H2201" s="4">
        <v>43946.198703703704</v>
      </c>
      <c r="I2201" t="s">
        <v>315</v>
      </c>
      <c r="J2201" s="5">
        <v>14.99999999999999999999999999999999999999</v>
      </c>
      <c r="K2201" t="s">
        <v>38</v>
      </c>
      <c r="M2201">
        <v>58848</v>
      </c>
      <c r="N2201" t="s">
        <v>150</v>
      </c>
      <c r="O2201" t="s">
        <v>151</v>
      </c>
      <c r="P2201" t="s">
        <v>38</v>
      </c>
      <c r="Q2201" t="s">
        <v>75</v>
      </c>
      <c r="R2201">
        <v>6</v>
      </c>
      <c r="S2201" t="s">
        <v>45</v>
      </c>
      <c r="T2201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1">
        <v>58849</v>
      </c>
      <c r="V2201" t="s">
        <v>38</v>
      </c>
      <c r="W2201" t="s">
        <v>44</v>
      </c>
      <c r="X2201">
        <v>4</v>
      </c>
      <c r="Y2201">
        <v>0</v>
      </c>
      <c r="Z2201" t="s">
        <v>46</v>
      </c>
      <c r="AA2201">
        <v>58851</v>
      </c>
      <c r="AB2201" t="s">
        <v>153</v>
      </c>
      <c r="AC2201" t="s">
        <v>56</v>
      </c>
      <c r="AD2201" t="s">
        <v>38</v>
      </c>
      <c r="AE2201" t="s">
        <v>49</v>
      </c>
      <c r="AF2201" t="s">
        <v>50</v>
      </c>
      <c r="AG2201">
        <v>0</v>
      </c>
      <c r="AH2201">
        <v>0</v>
      </c>
      <c r="AI2201" t="s">
        <v>51</v>
      </c>
      <c r="AJ2201" t="s">
        <v>51</v>
      </c>
      <c r="AK2201" t="s">
        <v>51</v>
      </c>
    </row>
    <row r="2202" spans="1:37" x14ac:dyDescent="0.2">
      <c r="A2202">
        <v>58833</v>
      </c>
      <c r="B2202" t="s">
        <v>37</v>
      </c>
      <c r="C2202" t="s">
        <v>38</v>
      </c>
      <c r="D2202" t="s">
        <v>130</v>
      </c>
      <c r="E2202" t="s">
        <v>40</v>
      </c>
      <c r="G2202" s="4">
        <v>43946.198530092593</v>
      </c>
      <c r="H2202" s="4">
        <v>43946.198703703704</v>
      </c>
      <c r="I2202" t="s">
        <v>315</v>
      </c>
      <c r="J2202" s="5">
        <v>14.99999999999999999999999999999999999999</v>
      </c>
      <c r="K2202" t="s">
        <v>38</v>
      </c>
      <c r="M2202">
        <v>58848</v>
      </c>
      <c r="N2202" t="s">
        <v>150</v>
      </c>
      <c r="O2202" t="s">
        <v>151</v>
      </c>
      <c r="P2202" t="s">
        <v>38</v>
      </c>
      <c r="Q2202" t="s">
        <v>75</v>
      </c>
      <c r="R2202">
        <v>6</v>
      </c>
      <c r="S2202" t="s">
        <v>45</v>
      </c>
      <c r="T2202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2">
        <v>58849</v>
      </c>
      <c r="V2202" t="s">
        <v>38</v>
      </c>
      <c r="W2202" t="s">
        <v>44</v>
      </c>
      <c r="X2202">
        <v>4</v>
      </c>
      <c r="Y2202">
        <v>0</v>
      </c>
      <c r="Z2202" t="s">
        <v>46</v>
      </c>
      <c r="AA2202">
        <v>58850</v>
      </c>
      <c r="AB2202" t="s">
        <v>154</v>
      </c>
      <c r="AC2202" t="s">
        <v>68</v>
      </c>
      <c r="AD2202" t="s">
        <v>38</v>
      </c>
      <c r="AE2202" t="s">
        <v>878</v>
      </c>
      <c r="AF2202" t="s">
        <v>44</v>
      </c>
      <c r="AG2202">
        <v>4</v>
      </c>
      <c r="AH2202">
        <v>0</v>
      </c>
      <c r="AI2202" t="s">
        <v>879</v>
      </c>
      <c r="AJ2202" t="s">
        <v>51</v>
      </c>
      <c r="AK2202" t="s">
        <v>879</v>
      </c>
    </row>
    <row r="2203" spans="1:37" x14ac:dyDescent="0.2">
      <c r="A2203">
        <v>58833</v>
      </c>
      <c r="B2203" t="s">
        <v>37</v>
      </c>
      <c r="C2203" t="s">
        <v>38</v>
      </c>
      <c r="D2203" t="s">
        <v>130</v>
      </c>
      <c r="E2203" t="s">
        <v>40</v>
      </c>
      <c r="G2203" s="4">
        <v>43946.198530092593</v>
      </c>
      <c r="H2203" s="4">
        <v>43946.198703703704</v>
      </c>
      <c r="I2203" t="s">
        <v>315</v>
      </c>
      <c r="J2203" s="5">
        <v>14.99999999999999999999999999999999999999</v>
      </c>
      <c r="K2203" t="s">
        <v>38</v>
      </c>
      <c r="M2203">
        <v>58845</v>
      </c>
      <c r="N2203" t="s">
        <v>155</v>
      </c>
      <c r="O2203" t="s">
        <v>156</v>
      </c>
      <c r="P2203" t="s">
        <v>38</v>
      </c>
      <c r="Q2203" t="s">
        <v>50</v>
      </c>
      <c r="R2203">
        <v>0</v>
      </c>
      <c r="S2203" t="s">
        <v>45</v>
      </c>
      <c r="T2203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3">
        <v>58846</v>
      </c>
      <c r="V2203" t="s">
        <v>38</v>
      </c>
      <c r="W2203" t="s">
        <v>50</v>
      </c>
      <c r="X2203">
        <v>0</v>
      </c>
      <c r="Y2203">
        <v>0</v>
      </c>
      <c r="Z2203" t="s">
        <v>46</v>
      </c>
      <c r="AA2203">
        <v>58847</v>
      </c>
      <c r="AB2203" t="s">
        <v>1873</v>
      </c>
      <c r="AC2203" t="s">
        <v>68</v>
      </c>
      <c r="AD2203" t="s">
        <v>38</v>
      </c>
      <c r="AE2203" t="s">
        <v>49</v>
      </c>
      <c r="AF2203" t="s">
        <v>50</v>
      </c>
      <c r="AG2203">
        <v>0</v>
      </c>
      <c r="AH2203">
        <v>0</v>
      </c>
      <c r="AI2203" t="s">
        <v>51</v>
      </c>
      <c r="AJ2203" t="s">
        <v>51</v>
      </c>
      <c r="AK2203" t="s">
        <v>51</v>
      </c>
    </row>
    <row r="2204" spans="1:37" x14ac:dyDescent="0.2">
      <c r="A2204">
        <v>58833</v>
      </c>
      <c r="B2204" t="s">
        <v>37</v>
      </c>
      <c r="C2204" t="s">
        <v>38</v>
      </c>
      <c r="D2204" t="s">
        <v>130</v>
      </c>
      <c r="E2204" t="s">
        <v>40</v>
      </c>
      <c r="G2204" s="4">
        <v>43946.198530092593</v>
      </c>
      <c r="H2204" s="4">
        <v>43946.198703703704</v>
      </c>
      <c r="I2204" t="s">
        <v>315</v>
      </c>
      <c r="J2204" s="5">
        <v>14.99999999999999999999999999999999999999</v>
      </c>
      <c r="K2204" t="s">
        <v>38</v>
      </c>
      <c r="M2204">
        <v>58840</v>
      </c>
      <c r="N2204" t="s">
        <v>158</v>
      </c>
      <c r="O2204" t="s">
        <v>159</v>
      </c>
      <c r="P2204" t="s">
        <v>38</v>
      </c>
      <c r="Q2204" t="s">
        <v>50</v>
      </c>
      <c r="R2204">
        <v>0</v>
      </c>
      <c r="S2204" t="s">
        <v>45</v>
      </c>
      <c r="T2204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4">
        <v>58841</v>
      </c>
      <c r="V2204" t="s">
        <v>38</v>
      </c>
      <c r="W2204" t="s">
        <v>50</v>
      </c>
      <c r="X2204">
        <v>0</v>
      </c>
      <c r="Y2204">
        <v>0</v>
      </c>
      <c r="Z2204" t="s">
        <v>46</v>
      </c>
      <c r="AA2204">
        <v>58844</v>
      </c>
      <c r="AB2204" t="s">
        <v>160</v>
      </c>
      <c r="AC2204" t="s">
        <v>56</v>
      </c>
      <c r="AD2204" t="s">
        <v>38</v>
      </c>
      <c r="AE2204" t="s">
        <v>49</v>
      </c>
      <c r="AF2204" t="s">
        <v>50</v>
      </c>
      <c r="AG2204">
        <v>0</v>
      </c>
      <c r="AH2204">
        <v>0</v>
      </c>
      <c r="AI2204" t="s">
        <v>51</v>
      </c>
      <c r="AJ2204" t="s">
        <v>51</v>
      </c>
      <c r="AK2204" t="s">
        <v>51</v>
      </c>
    </row>
    <row r="2205" spans="1:37" x14ac:dyDescent="0.2">
      <c r="A2205">
        <v>58833</v>
      </c>
      <c r="B2205" t="s">
        <v>37</v>
      </c>
      <c r="C2205" t="s">
        <v>38</v>
      </c>
      <c r="D2205" t="s">
        <v>130</v>
      </c>
      <c r="E2205" t="s">
        <v>40</v>
      </c>
      <c r="G2205" s="4">
        <v>43946.198530092593</v>
      </c>
      <c r="H2205" s="4">
        <v>43946.198703703704</v>
      </c>
      <c r="I2205" t="s">
        <v>315</v>
      </c>
      <c r="J2205" s="5">
        <v>14.99999999999999999999999999999999999999</v>
      </c>
      <c r="K2205" t="s">
        <v>38</v>
      </c>
      <c r="M2205">
        <v>58840</v>
      </c>
      <c r="N2205" t="s">
        <v>158</v>
      </c>
      <c r="O2205" t="s">
        <v>159</v>
      </c>
      <c r="P2205" t="s">
        <v>38</v>
      </c>
      <c r="Q2205" t="s">
        <v>50</v>
      </c>
      <c r="R2205">
        <v>0</v>
      </c>
      <c r="S2205" t="s">
        <v>45</v>
      </c>
      <c r="T2205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5">
        <v>58841</v>
      </c>
      <c r="V2205" t="s">
        <v>38</v>
      </c>
      <c r="W2205" t="s">
        <v>50</v>
      </c>
      <c r="X2205">
        <v>0</v>
      </c>
      <c r="Y2205">
        <v>0</v>
      </c>
      <c r="Z2205" t="s">
        <v>46</v>
      </c>
      <c r="AA2205">
        <v>58843</v>
      </c>
      <c r="AB2205" t="s">
        <v>161</v>
      </c>
      <c r="AC2205" t="s">
        <v>68</v>
      </c>
      <c r="AD2205" t="s">
        <v>38</v>
      </c>
      <c r="AE2205" t="s">
        <v>49</v>
      </c>
      <c r="AF2205" t="s">
        <v>50</v>
      </c>
      <c r="AG2205">
        <v>0</v>
      </c>
      <c r="AH2205">
        <v>0</v>
      </c>
      <c r="AI2205" t="s">
        <v>51</v>
      </c>
      <c r="AJ2205" t="s">
        <v>51</v>
      </c>
      <c r="AK2205" t="s">
        <v>51</v>
      </c>
    </row>
    <row r="2206" spans="1:37" x14ac:dyDescent="0.2">
      <c r="A2206">
        <v>58833</v>
      </c>
      <c r="B2206" t="s">
        <v>37</v>
      </c>
      <c r="C2206" t="s">
        <v>38</v>
      </c>
      <c r="D2206" t="s">
        <v>130</v>
      </c>
      <c r="E2206" t="s">
        <v>40</v>
      </c>
      <c r="G2206" s="4">
        <v>43946.198530092593</v>
      </c>
      <c r="H2206" s="4">
        <v>43946.198703703704</v>
      </c>
      <c r="I2206" t="s">
        <v>315</v>
      </c>
      <c r="J2206" s="5">
        <v>14.99999999999999999999999999999999999999</v>
      </c>
      <c r="K2206" t="s">
        <v>38</v>
      </c>
      <c r="M2206">
        <v>58840</v>
      </c>
      <c r="N2206" t="s">
        <v>158</v>
      </c>
      <c r="O2206" t="s">
        <v>159</v>
      </c>
      <c r="P2206" t="s">
        <v>38</v>
      </c>
      <c r="Q2206" t="s">
        <v>50</v>
      </c>
      <c r="R2206">
        <v>0</v>
      </c>
      <c r="S2206" t="s">
        <v>45</v>
      </c>
      <c r="T2206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6">
        <v>58841</v>
      </c>
      <c r="V2206" t="s">
        <v>38</v>
      </c>
      <c r="W2206" t="s">
        <v>50</v>
      </c>
      <c r="X2206">
        <v>0</v>
      </c>
      <c r="Y2206">
        <v>0</v>
      </c>
      <c r="Z2206" t="s">
        <v>46</v>
      </c>
      <c r="AA2206">
        <v>58842</v>
      </c>
      <c r="AB2206" t="s">
        <v>162</v>
      </c>
      <c r="AC2206" t="s">
        <v>68</v>
      </c>
      <c r="AD2206" t="s">
        <v>38</v>
      </c>
      <c r="AE2206" t="s">
        <v>49</v>
      </c>
      <c r="AF2206" t="s">
        <v>50</v>
      </c>
      <c r="AG2206">
        <v>0</v>
      </c>
      <c r="AH2206">
        <v>0</v>
      </c>
      <c r="AI2206" t="s">
        <v>51</v>
      </c>
      <c r="AJ2206" t="s">
        <v>51</v>
      </c>
      <c r="AK2206" t="s">
        <v>51</v>
      </c>
    </row>
    <row r="2207" spans="1:37" x14ac:dyDescent="0.2">
      <c r="A2207">
        <v>58833</v>
      </c>
      <c r="B2207" t="s">
        <v>37</v>
      </c>
      <c r="C2207" t="s">
        <v>38</v>
      </c>
      <c r="D2207" t="s">
        <v>130</v>
      </c>
      <c r="E2207" t="s">
        <v>40</v>
      </c>
      <c r="G2207" s="4">
        <v>43946.198530092593</v>
      </c>
      <c r="H2207" s="4">
        <v>43946.198703703704</v>
      </c>
      <c r="I2207" t="s">
        <v>315</v>
      </c>
      <c r="J2207" s="5">
        <v>14.99999999999999999999999999999999999999</v>
      </c>
      <c r="K2207" t="s">
        <v>38</v>
      </c>
      <c r="M2207">
        <v>58834</v>
      </c>
      <c r="N2207" t="s">
        <v>163</v>
      </c>
      <c r="O2207" t="s">
        <v>164</v>
      </c>
      <c r="P2207" t="s">
        <v>38</v>
      </c>
      <c r="Q2207" t="s">
        <v>50</v>
      </c>
      <c r="R2207">
        <v>.9999999999999999999999999999999999999996</v>
      </c>
      <c r="S2207" t="s">
        <v>45</v>
      </c>
      <c r="T2207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7">
        <v>58835</v>
      </c>
      <c r="V2207" t="s">
        <v>38</v>
      </c>
      <c r="W2207" t="s">
        <v>50</v>
      </c>
      <c r="X2207">
        <v>.9999999999999999999999999999999999999996</v>
      </c>
      <c r="Y2207">
        <v>0</v>
      </c>
      <c r="Z2207" t="s">
        <v>46</v>
      </c>
      <c r="AA2207">
        <v>58839</v>
      </c>
      <c r="AB2207" t="s">
        <v>165</v>
      </c>
      <c r="AC2207" t="s">
        <v>56</v>
      </c>
      <c r="AD2207" t="s">
        <v>38</v>
      </c>
      <c r="AE2207" t="s">
        <v>49</v>
      </c>
      <c r="AF2207" t="s">
        <v>50</v>
      </c>
      <c r="AG2207">
        <v>0</v>
      </c>
      <c r="AH2207">
        <v>0</v>
      </c>
      <c r="AI2207" t="s">
        <v>51</v>
      </c>
      <c r="AJ2207" t="s">
        <v>51</v>
      </c>
      <c r="AK2207" t="s">
        <v>51</v>
      </c>
    </row>
    <row r="2208" spans="1:37" x14ac:dyDescent="0.2">
      <c r="A2208">
        <v>58833</v>
      </c>
      <c r="B2208" t="s">
        <v>37</v>
      </c>
      <c r="C2208" t="s">
        <v>38</v>
      </c>
      <c r="D2208" t="s">
        <v>130</v>
      </c>
      <c r="E2208" t="s">
        <v>40</v>
      </c>
      <c r="G2208" s="4">
        <v>43946.198530092593</v>
      </c>
      <c r="H2208" s="4">
        <v>43946.198703703704</v>
      </c>
      <c r="I2208" t="s">
        <v>315</v>
      </c>
      <c r="J2208" s="5">
        <v>14.99999999999999999999999999999999999999</v>
      </c>
      <c r="K2208" t="s">
        <v>38</v>
      </c>
      <c r="M2208">
        <v>58834</v>
      </c>
      <c r="N2208" t="s">
        <v>163</v>
      </c>
      <c r="O2208" t="s">
        <v>164</v>
      </c>
      <c r="P2208" t="s">
        <v>38</v>
      </c>
      <c r="Q2208" t="s">
        <v>50</v>
      </c>
      <c r="R2208">
        <v>.9999999999999999999999999999999999999996</v>
      </c>
      <c r="S2208" t="s">
        <v>45</v>
      </c>
      <c r="T2208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8">
        <v>58835</v>
      </c>
      <c r="V2208" t="s">
        <v>38</v>
      </c>
      <c r="W2208" t="s">
        <v>50</v>
      </c>
      <c r="X2208">
        <v>.9999999999999999999999999999999999999996</v>
      </c>
      <c r="Y2208">
        <v>0</v>
      </c>
      <c r="Z2208" t="s">
        <v>46</v>
      </c>
      <c r="AA2208">
        <v>58838</v>
      </c>
      <c r="AB2208" t="s">
        <v>1874</v>
      </c>
      <c r="AC2208" t="s">
        <v>48</v>
      </c>
      <c r="AD2208" t="s">
        <v>38</v>
      </c>
      <c r="AE2208" t="s">
        <v>49</v>
      </c>
      <c r="AF2208" t="s">
        <v>50</v>
      </c>
      <c r="AG2208">
        <v>0</v>
      </c>
      <c r="AH2208">
        <v>0</v>
      </c>
      <c r="AI2208" t="s">
        <v>51</v>
      </c>
      <c r="AJ2208" t="s">
        <v>51</v>
      </c>
      <c r="AK2208" t="s">
        <v>51</v>
      </c>
    </row>
    <row r="2209" spans="1:37" x14ac:dyDescent="0.2">
      <c r="A2209">
        <v>58833</v>
      </c>
      <c r="B2209" t="s">
        <v>37</v>
      </c>
      <c r="C2209" t="s">
        <v>38</v>
      </c>
      <c r="D2209" t="s">
        <v>130</v>
      </c>
      <c r="E2209" t="s">
        <v>40</v>
      </c>
      <c r="G2209" s="4">
        <v>43946.198530092593</v>
      </c>
      <c r="H2209" s="4">
        <v>43946.198703703704</v>
      </c>
      <c r="I2209" t="s">
        <v>315</v>
      </c>
      <c r="J2209" s="5">
        <v>14.99999999999999999999999999999999999999</v>
      </c>
      <c r="K2209" t="s">
        <v>38</v>
      </c>
      <c r="M2209">
        <v>58834</v>
      </c>
      <c r="N2209" t="s">
        <v>163</v>
      </c>
      <c r="O2209" t="s">
        <v>164</v>
      </c>
      <c r="P2209" t="s">
        <v>38</v>
      </c>
      <c r="Q2209" t="s">
        <v>50</v>
      </c>
      <c r="R2209">
        <v>.9999999999999999999999999999999999999996</v>
      </c>
      <c r="S2209" t="s">
        <v>45</v>
      </c>
      <c r="T2209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09">
        <v>58835</v>
      </c>
      <c r="V2209" t="s">
        <v>38</v>
      </c>
      <c r="W2209" t="s">
        <v>50</v>
      </c>
      <c r="X2209">
        <v>.9999999999999999999999999999999999999996</v>
      </c>
      <c r="Y2209">
        <v>0</v>
      </c>
      <c r="Z2209" t="s">
        <v>46</v>
      </c>
      <c r="AA2209">
        <v>58837</v>
      </c>
      <c r="AB2209" t="s">
        <v>167</v>
      </c>
      <c r="AC2209" t="s">
        <v>68</v>
      </c>
      <c r="AD2209" t="s">
        <v>38</v>
      </c>
      <c r="AE2209" t="s">
        <v>49</v>
      </c>
      <c r="AF2209" t="s">
        <v>50</v>
      </c>
      <c r="AG2209">
        <v>.9999999999999999999999999999999999999996</v>
      </c>
      <c r="AH2209">
        <v>0</v>
      </c>
      <c r="AI2209" t="s">
        <v>51</v>
      </c>
      <c r="AJ2209" t="s">
        <v>51</v>
      </c>
      <c r="AK2209" t="s">
        <v>51</v>
      </c>
    </row>
    <row r="2210" spans="1:37" x14ac:dyDescent="0.2">
      <c r="A2210">
        <v>58833</v>
      </c>
      <c r="B2210" t="s">
        <v>37</v>
      </c>
      <c r="C2210" t="s">
        <v>38</v>
      </c>
      <c r="D2210" t="s">
        <v>130</v>
      </c>
      <c r="E2210" t="s">
        <v>40</v>
      </c>
      <c r="G2210" s="4">
        <v>43946.198530092593</v>
      </c>
      <c r="H2210" s="4">
        <v>43946.198703703704</v>
      </c>
      <c r="I2210" t="s">
        <v>315</v>
      </c>
      <c r="J2210" s="5">
        <v>14.99999999999999999999999999999999999999</v>
      </c>
      <c r="K2210" t="s">
        <v>38</v>
      </c>
      <c r="M2210">
        <v>58834</v>
      </c>
      <c r="N2210" t="s">
        <v>163</v>
      </c>
      <c r="O2210" t="s">
        <v>164</v>
      </c>
      <c r="P2210" t="s">
        <v>38</v>
      </c>
      <c r="Q2210" t="s">
        <v>50</v>
      </c>
      <c r="R2210">
        <v>.9999999999999999999999999999999999999996</v>
      </c>
      <c r="S2210" t="s">
        <v>45</v>
      </c>
      <c r="T2210" t="str" s="2">
        <f>=HYPERLINK("http://demo.enginatics.com:80/ecc/user/applications/log/58833.log","http://demo.enginatics.com:80/ecc/user/applications/log/58833.log")</f>
        <v>"http://demo.enginatics.com:80/ecc/user/applications/log/58833.log")</v>
      </c>
      <c r="U2210">
        <v>58835</v>
      </c>
      <c r="V2210" t="s">
        <v>38</v>
      </c>
      <c r="W2210" t="s">
        <v>50</v>
      </c>
      <c r="X2210">
        <v>.9999999999999999999999999999999999999996</v>
      </c>
      <c r="Y2210">
        <v>0</v>
      </c>
      <c r="Z2210" t="s">
        <v>46</v>
      </c>
      <c r="AA2210">
        <v>58836</v>
      </c>
      <c r="AB2210" t="s">
        <v>168</v>
      </c>
      <c r="AC2210" t="s">
        <v>68</v>
      </c>
      <c r="AD2210" t="s">
        <v>38</v>
      </c>
      <c r="AE2210" t="s">
        <v>49</v>
      </c>
      <c r="AF2210" t="s">
        <v>50</v>
      </c>
      <c r="AG2210">
        <v>0</v>
      </c>
      <c r="AH2210">
        <v>0</v>
      </c>
      <c r="AI2210" t="s">
        <v>51</v>
      </c>
      <c r="AJ2210" t="s">
        <v>51</v>
      </c>
      <c r="AK2210" t="s">
        <v>51</v>
      </c>
    </row>
    <row r="2211" spans="1:37" x14ac:dyDescent="0.2">
      <c r="A2211">
        <v>58829</v>
      </c>
      <c r="B2211" t="s">
        <v>37</v>
      </c>
      <c r="C2211" t="s">
        <v>38</v>
      </c>
      <c r="D2211" t="s">
        <v>169</v>
      </c>
      <c r="E2211" t="s">
        <v>170</v>
      </c>
      <c r="G2211" s="4">
        <v>43946.175763888889</v>
      </c>
      <c r="H2211" s="4">
        <v>43946.175787037037</v>
      </c>
      <c r="I2211" t="s">
        <v>88</v>
      </c>
      <c r="J2211" s="5">
        <v>2</v>
      </c>
      <c r="K2211" t="s">
        <v>38</v>
      </c>
      <c r="M2211">
        <v>58830</v>
      </c>
      <c r="N2211" t="s">
        <v>170</v>
      </c>
      <c r="O2211" t="s">
        <v>171</v>
      </c>
      <c r="P2211" t="s">
        <v>38</v>
      </c>
      <c r="Q2211" t="s">
        <v>88</v>
      </c>
      <c r="R2211">
        <v>2</v>
      </c>
      <c r="S2211" t="s">
        <v>45</v>
      </c>
      <c r="T2211" t="str" s="2">
        <f>=HYPERLINK("http://demo.enginatics.com:80/ecc/user/applications/log/58829.log","http://demo.enginatics.com:80/ecc/user/applications/log/58829.log")</f>
        <v>"http://demo.enginatics.com:80/ecc/user/applications/log/58829.log")</v>
      </c>
      <c r="U2211">
        <v>58831</v>
      </c>
      <c r="V2211" t="s">
        <v>38</v>
      </c>
      <c r="W2211" t="s">
        <v>88</v>
      </c>
      <c r="X2211">
        <v>2</v>
      </c>
      <c r="Y2211">
        <v>0</v>
      </c>
      <c r="Z2211" t="s">
        <v>46</v>
      </c>
      <c r="AA2211">
        <v>58832</v>
      </c>
      <c r="AB2211" t="s">
        <v>172</v>
      </c>
      <c r="AC2211" t="s">
        <v>68</v>
      </c>
      <c r="AD2211" t="s">
        <v>38</v>
      </c>
      <c r="AE2211" t="s">
        <v>49</v>
      </c>
      <c r="AF2211" t="s">
        <v>88</v>
      </c>
      <c r="AG2211">
        <v>2</v>
      </c>
      <c r="AH2211">
        <v>0</v>
      </c>
      <c r="AI2211" t="s">
        <v>51</v>
      </c>
      <c r="AJ2211" t="s">
        <v>51</v>
      </c>
      <c r="AK2211" t="s">
        <v>51</v>
      </c>
    </row>
    <row r="2212" spans="1:37" x14ac:dyDescent="0.2">
      <c r="A2212">
        <v>58825</v>
      </c>
      <c r="B2212" t="s">
        <v>37</v>
      </c>
      <c r="C2212" t="s">
        <v>38</v>
      </c>
      <c r="D2212" t="s">
        <v>169</v>
      </c>
      <c r="E2212" t="s">
        <v>173</v>
      </c>
      <c r="G2212" s="4">
        <v>43946.175636574074</v>
      </c>
      <c r="H2212" s="4">
        <v>43946.175636574074</v>
      </c>
      <c r="I2212" t="s">
        <v>50</v>
      </c>
      <c r="J2212" s="5">
        <v>0</v>
      </c>
      <c r="K2212" t="s">
        <v>38</v>
      </c>
      <c r="M2212">
        <v>58826</v>
      </c>
      <c r="N2212" t="s">
        <v>173</v>
      </c>
      <c r="O2212" t="s">
        <v>174</v>
      </c>
      <c r="P2212" t="s">
        <v>38</v>
      </c>
      <c r="Q2212" t="s">
        <v>50</v>
      </c>
      <c r="R2212">
        <v>0</v>
      </c>
      <c r="S2212" t="s">
        <v>45</v>
      </c>
      <c r="T2212" t="str" s="2">
        <f>=HYPERLINK("http://demo.enginatics.com:80/ecc/user/applications/log/58825.log","http://demo.enginatics.com:80/ecc/user/applications/log/58825.log")</f>
        <v>"http://demo.enginatics.com:80/ecc/user/applications/log/58825.log")</v>
      </c>
      <c r="U2212">
        <v>58827</v>
      </c>
      <c r="V2212" t="s">
        <v>38</v>
      </c>
      <c r="W2212" t="s">
        <v>50</v>
      </c>
      <c r="X2212">
        <v>0</v>
      </c>
      <c r="Y2212">
        <v>0</v>
      </c>
      <c r="Z2212" t="s">
        <v>46</v>
      </c>
      <c r="AA2212">
        <v>58828</v>
      </c>
      <c r="AB2212" t="s">
        <v>175</v>
      </c>
      <c r="AC2212" t="s">
        <v>68</v>
      </c>
      <c r="AD2212" t="s">
        <v>38</v>
      </c>
      <c r="AE2212" t="s">
        <v>49</v>
      </c>
      <c r="AF2212" t="s">
        <v>50</v>
      </c>
      <c r="AG2212">
        <v>0</v>
      </c>
      <c r="AH2212">
        <v>0</v>
      </c>
      <c r="AI2212" t="s">
        <v>51</v>
      </c>
      <c r="AJ2212" t="s">
        <v>51</v>
      </c>
      <c r="AK2212" t="s">
        <v>51</v>
      </c>
    </row>
    <row r="2213" spans="1:37" x14ac:dyDescent="0.2">
      <c r="A2213">
        <v>58821</v>
      </c>
      <c r="B2213" t="s">
        <v>37</v>
      </c>
      <c r="C2213" t="s">
        <v>38</v>
      </c>
      <c r="D2213" t="s">
        <v>169</v>
      </c>
      <c r="E2213" t="s">
        <v>176</v>
      </c>
      <c r="G2213" s="4">
        <v>43946.175520833333</v>
      </c>
      <c r="H2213" s="4">
        <v>43946.175532407407</v>
      </c>
      <c r="I2213" t="s">
        <v>50</v>
      </c>
      <c r="J2213" s="5">
        <v>.9999999999999999999999999999999999999996</v>
      </c>
      <c r="K2213" t="s">
        <v>38</v>
      </c>
      <c r="M2213">
        <v>58822</v>
      </c>
      <c r="N2213" t="s">
        <v>176</v>
      </c>
      <c r="O2213" t="s">
        <v>177</v>
      </c>
      <c r="P2213" t="s">
        <v>38</v>
      </c>
      <c r="Q2213" t="s">
        <v>50</v>
      </c>
      <c r="R2213">
        <v>.9999999999999999999999999999999999999996</v>
      </c>
      <c r="S2213" t="s">
        <v>45</v>
      </c>
      <c r="T2213" t="str" s="2">
        <f>=HYPERLINK("http://demo.enginatics.com:80/ecc/user/applications/log/58821.log","http://demo.enginatics.com:80/ecc/user/applications/log/58821.log")</f>
        <v>"http://demo.enginatics.com:80/ecc/user/applications/log/58821.log")</v>
      </c>
      <c r="U2213">
        <v>58823</v>
      </c>
      <c r="V2213" t="s">
        <v>38</v>
      </c>
      <c r="W2213" t="s">
        <v>50</v>
      </c>
      <c r="X2213">
        <v>.9999999999999999999999999999999999999996</v>
      </c>
      <c r="Y2213">
        <v>0</v>
      </c>
      <c r="Z2213" t="s">
        <v>46</v>
      </c>
      <c r="AA2213">
        <v>58824</v>
      </c>
      <c r="AB2213" t="s">
        <v>178</v>
      </c>
      <c r="AC2213" t="s">
        <v>68</v>
      </c>
      <c r="AD2213" t="s">
        <v>38</v>
      </c>
      <c r="AE2213" t="s">
        <v>49</v>
      </c>
      <c r="AF2213" t="s">
        <v>50</v>
      </c>
      <c r="AG2213">
        <v>.9999999999999999999999999999999999999996</v>
      </c>
      <c r="AH2213">
        <v>0</v>
      </c>
      <c r="AI2213" t="s">
        <v>51</v>
      </c>
      <c r="AJ2213" t="s">
        <v>51</v>
      </c>
      <c r="AK2213" t="s">
        <v>51</v>
      </c>
    </row>
    <row r="2214" spans="1:37" x14ac:dyDescent="0.2">
      <c r="A2214">
        <v>58817</v>
      </c>
      <c r="B2214" t="s">
        <v>37</v>
      </c>
      <c r="C2214" t="s">
        <v>38</v>
      </c>
      <c r="D2214" t="s">
        <v>169</v>
      </c>
      <c r="E2214" t="s">
        <v>179</v>
      </c>
      <c r="G2214" s="4">
        <v>43946.175104166667</v>
      </c>
      <c r="H2214" s="4">
        <v>43946.17537037037</v>
      </c>
      <c r="I2214" t="s">
        <v>183</v>
      </c>
      <c r="J2214" s="5">
        <v>23.00000000000000000000000000000000000003</v>
      </c>
      <c r="K2214" t="s">
        <v>38</v>
      </c>
      <c r="M2214">
        <v>58818</v>
      </c>
      <c r="N2214" t="s">
        <v>179</v>
      </c>
      <c r="O2214" t="s">
        <v>181</v>
      </c>
      <c r="P2214" t="s">
        <v>38</v>
      </c>
      <c r="Q2214" t="s">
        <v>183</v>
      </c>
      <c r="R2214">
        <v>23.00000000000000000000000000000000000003</v>
      </c>
      <c r="S2214" t="s">
        <v>45</v>
      </c>
      <c r="T2214" t="str" s="2">
        <f>=HYPERLINK("http://demo.enginatics.com:80/ecc/user/applications/log/58817.log","http://demo.enginatics.com:80/ecc/user/applications/log/58817.log")</f>
        <v>"http://demo.enginatics.com:80/ecc/user/applications/log/58817.log")</v>
      </c>
      <c r="U2214">
        <v>58819</v>
      </c>
      <c r="V2214" t="s">
        <v>38</v>
      </c>
      <c r="W2214" t="s">
        <v>183</v>
      </c>
      <c r="X2214">
        <v>23.00000000000000000000000000000000000003</v>
      </c>
      <c r="Y2214">
        <v>0</v>
      </c>
      <c r="Z2214" t="s">
        <v>46</v>
      </c>
      <c r="AA2214">
        <v>58820</v>
      </c>
      <c r="AB2214" t="s">
        <v>182</v>
      </c>
      <c r="AC2214" t="s">
        <v>68</v>
      </c>
      <c r="AD2214" t="s">
        <v>38</v>
      </c>
      <c r="AE2214" t="s">
        <v>49</v>
      </c>
      <c r="AF2214" t="s">
        <v>183</v>
      </c>
      <c r="AG2214">
        <v>23.00000000000000000000000000000000000003</v>
      </c>
      <c r="AH2214">
        <v>22</v>
      </c>
      <c r="AI2214" t="s">
        <v>51</v>
      </c>
      <c r="AJ2214" t="s">
        <v>51</v>
      </c>
      <c r="AK2214" t="s">
        <v>51</v>
      </c>
    </row>
    <row r="2215" spans="1:37" x14ac:dyDescent="0.2">
      <c r="A2215">
        <v>58813</v>
      </c>
      <c r="B2215" t="s">
        <v>37</v>
      </c>
      <c r="C2215" t="s">
        <v>38</v>
      </c>
      <c r="D2215" t="s">
        <v>169</v>
      </c>
      <c r="E2215" t="s">
        <v>184</v>
      </c>
      <c r="G2215" s="4">
        <v>43946.17494212963</v>
      </c>
      <c r="H2215" s="4">
        <v>43946.174988425926</v>
      </c>
      <c r="I2215" t="s">
        <v>44</v>
      </c>
      <c r="J2215" s="5">
        <v>4</v>
      </c>
      <c r="K2215" t="s">
        <v>38</v>
      </c>
      <c r="M2215">
        <v>58814</v>
      </c>
      <c r="N2215" t="s">
        <v>184</v>
      </c>
      <c r="O2215" t="s">
        <v>185</v>
      </c>
      <c r="P2215" t="s">
        <v>38</v>
      </c>
      <c r="Q2215" t="s">
        <v>50</v>
      </c>
      <c r="R2215">
        <v>.9999999999999999999999999999999999999996</v>
      </c>
      <c r="S2215" t="s">
        <v>45</v>
      </c>
      <c r="T2215" t="str" s="2">
        <f>=HYPERLINK("http://demo.enginatics.com:80/ecc/user/applications/log/58813.log","http://demo.enginatics.com:80/ecc/user/applications/log/58813.log")</f>
        <v>"http://demo.enginatics.com:80/ecc/user/applications/log/58813.log")</v>
      </c>
      <c r="U2215">
        <v>58815</v>
      </c>
      <c r="V2215" t="s">
        <v>38</v>
      </c>
      <c r="W2215" t="s">
        <v>50</v>
      </c>
      <c r="X2215">
        <v>.9999999999999999999999999999999999999996</v>
      </c>
      <c r="Y2215">
        <v>0</v>
      </c>
      <c r="Z2215" t="s">
        <v>46</v>
      </c>
      <c r="AA2215">
        <v>58816</v>
      </c>
      <c r="AB2215" t="s">
        <v>186</v>
      </c>
      <c r="AC2215" t="s">
        <v>68</v>
      </c>
      <c r="AD2215" t="s">
        <v>38</v>
      </c>
      <c r="AE2215" t="s">
        <v>49</v>
      </c>
      <c r="AF2215" t="s">
        <v>50</v>
      </c>
      <c r="AG2215">
        <v>.9999999999999999999999999999999999999996</v>
      </c>
      <c r="AH2215">
        <v>0</v>
      </c>
      <c r="AI2215" t="s">
        <v>51</v>
      </c>
      <c r="AJ2215" t="s">
        <v>51</v>
      </c>
      <c r="AK2215" t="s">
        <v>51</v>
      </c>
    </row>
    <row r="2216" spans="1:37" x14ac:dyDescent="0.2">
      <c r="A2216">
        <v>58809</v>
      </c>
      <c r="B2216" t="s">
        <v>37</v>
      </c>
      <c r="C2216" t="s">
        <v>38</v>
      </c>
      <c r="D2216" t="s">
        <v>169</v>
      </c>
      <c r="E2216" t="s">
        <v>187</v>
      </c>
      <c r="G2216" s="4">
        <v>43946.174837962963</v>
      </c>
      <c r="H2216" s="4">
        <v>43946.174872685185</v>
      </c>
      <c r="I2216" t="s">
        <v>85</v>
      </c>
      <c r="J2216" s="5">
        <v>3</v>
      </c>
      <c r="K2216" t="s">
        <v>38</v>
      </c>
      <c r="M2216">
        <v>58810</v>
      </c>
      <c r="N2216" t="s">
        <v>187</v>
      </c>
      <c r="O2216" t="s">
        <v>188</v>
      </c>
      <c r="P2216" t="s">
        <v>38</v>
      </c>
      <c r="Q2216" t="s">
        <v>85</v>
      </c>
      <c r="R2216">
        <v>3</v>
      </c>
      <c r="S2216" t="s">
        <v>45</v>
      </c>
      <c r="T2216" t="str" s="2">
        <f>=HYPERLINK("http://demo.enginatics.com:80/ecc/user/applications/log/58809.log","http://demo.enginatics.com:80/ecc/user/applications/log/58809.log")</f>
        <v>"http://demo.enginatics.com:80/ecc/user/applications/log/58809.log")</v>
      </c>
      <c r="U2216">
        <v>58811</v>
      </c>
      <c r="V2216" t="s">
        <v>38</v>
      </c>
      <c r="W2216" t="s">
        <v>85</v>
      </c>
      <c r="X2216">
        <v>3</v>
      </c>
      <c r="Y2216">
        <v>0</v>
      </c>
      <c r="Z2216" t="s">
        <v>46</v>
      </c>
      <c r="AA2216">
        <v>58812</v>
      </c>
      <c r="AB2216" t="s">
        <v>189</v>
      </c>
      <c r="AC2216" t="s">
        <v>68</v>
      </c>
      <c r="AD2216" t="s">
        <v>38</v>
      </c>
      <c r="AE2216" t="s">
        <v>49</v>
      </c>
      <c r="AF2216" t="s">
        <v>85</v>
      </c>
      <c r="AG2216">
        <v>3</v>
      </c>
      <c r="AH2216">
        <v>3</v>
      </c>
      <c r="AI2216" t="s">
        <v>51</v>
      </c>
      <c r="AJ2216" t="s">
        <v>51</v>
      </c>
      <c r="AK2216" t="s">
        <v>51</v>
      </c>
    </row>
    <row r="2217" spans="1:37" x14ac:dyDescent="0.2">
      <c r="A2217">
        <v>58805</v>
      </c>
      <c r="B2217" t="s">
        <v>37</v>
      </c>
      <c r="C2217" t="s">
        <v>38</v>
      </c>
      <c r="D2217" t="s">
        <v>169</v>
      </c>
      <c r="E2217" t="s">
        <v>190</v>
      </c>
      <c r="G2217" s="4">
        <v>43946.174710648148</v>
      </c>
      <c r="H2217" s="4">
        <v>43946.174710648148</v>
      </c>
      <c r="I2217" t="s">
        <v>50</v>
      </c>
      <c r="J2217" s="5">
        <v>0</v>
      </c>
      <c r="K2217" t="s">
        <v>38</v>
      </c>
      <c r="M2217">
        <v>58806</v>
      </c>
      <c r="N2217" t="s">
        <v>190</v>
      </c>
      <c r="O2217" t="s">
        <v>191</v>
      </c>
      <c r="P2217" t="s">
        <v>38</v>
      </c>
      <c r="Q2217" t="s">
        <v>50</v>
      </c>
      <c r="R2217">
        <v>0</v>
      </c>
      <c r="S2217" t="s">
        <v>45</v>
      </c>
      <c r="T2217" t="str" s="2">
        <f>=HYPERLINK("http://demo.enginatics.com:80/ecc/user/applications/log/58805.log","http://demo.enginatics.com:80/ecc/user/applications/log/58805.log")</f>
        <v>"http://demo.enginatics.com:80/ecc/user/applications/log/58805.log")</v>
      </c>
      <c r="U2217">
        <v>58807</v>
      </c>
      <c r="V2217" t="s">
        <v>38</v>
      </c>
      <c r="W2217" t="s">
        <v>50</v>
      </c>
      <c r="X2217">
        <v>0</v>
      </c>
      <c r="Y2217">
        <v>0</v>
      </c>
      <c r="Z2217" t="s">
        <v>46</v>
      </c>
      <c r="AA2217">
        <v>58808</v>
      </c>
      <c r="AB2217" t="s">
        <v>192</v>
      </c>
      <c r="AC2217" t="s">
        <v>68</v>
      </c>
      <c r="AD2217" t="s">
        <v>38</v>
      </c>
      <c r="AE2217" t="s">
        <v>49</v>
      </c>
      <c r="AF2217" t="s">
        <v>50</v>
      </c>
      <c r="AG2217">
        <v>0</v>
      </c>
      <c r="AH2217">
        <v>0</v>
      </c>
      <c r="AI2217" t="s">
        <v>51</v>
      </c>
      <c r="AJ2217" t="s">
        <v>51</v>
      </c>
      <c r="AK2217" t="s">
        <v>51</v>
      </c>
    </row>
    <row r="2218" spans="1:37" x14ac:dyDescent="0.2">
      <c r="A2218">
        <v>58801</v>
      </c>
      <c r="B2218" t="s">
        <v>37</v>
      </c>
      <c r="C2218" t="s">
        <v>38</v>
      </c>
      <c r="D2218" t="s">
        <v>169</v>
      </c>
      <c r="E2218" t="s">
        <v>193</v>
      </c>
      <c r="G2218" s="4">
        <v>43946.174571759259</v>
      </c>
      <c r="H2218" s="4">
        <v>43946.174571759259</v>
      </c>
      <c r="I2218" t="s">
        <v>50</v>
      </c>
      <c r="J2218" s="5">
        <v>0</v>
      </c>
      <c r="K2218" t="s">
        <v>38</v>
      </c>
      <c r="M2218">
        <v>58802</v>
      </c>
      <c r="N2218" t="s">
        <v>193</v>
      </c>
      <c r="O2218" t="s">
        <v>194</v>
      </c>
      <c r="P2218" t="s">
        <v>38</v>
      </c>
      <c r="Q2218" t="s">
        <v>50</v>
      </c>
      <c r="R2218">
        <v>0</v>
      </c>
      <c r="S2218" t="s">
        <v>45</v>
      </c>
      <c r="T2218" t="str" s="2">
        <f>=HYPERLINK("http://demo.enginatics.com:80/ecc/user/applications/log/58801.log","http://demo.enginatics.com:80/ecc/user/applications/log/58801.log")</f>
        <v>"http://demo.enginatics.com:80/ecc/user/applications/log/58801.log")</v>
      </c>
      <c r="U2218">
        <v>58803</v>
      </c>
      <c r="V2218" t="s">
        <v>38</v>
      </c>
      <c r="W2218" t="s">
        <v>50</v>
      </c>
      <c r="X2218">
        <v>0</v>
      </c>
      <c r="Y2218">
        <v>0</v>
      </c>
      <c r="Z2218" t="s">
        <v>46</v>
      </c>
      <c r="AA2218">
        <v>58804</v>
      </c>
      <c r="AB2218" t="s">
        <v>195</v>
      </c>
      <c r="AC2218" t="s">
        <v>68</v>
      </c>
      <c r="AD2218" t="s">
        <v>38</v>
      </c>
      <c r="AE2218" t="s">
        <v>49</v>
      </c>
      <c r="AF2218" t="s">
        <v>50</v>
      </c>
      <c r="AG2218">
        <v>0</v>
      </c>
      <c r="AH2218">
        <v>0</v>
      </c>
      <c r="AI2218" t="s">
        <v>51</v>
      </c>
      <c r="AJ2218" t="s">
        <v>51</v>
      </c>
      <c r="AK2218" t="s">
        <v>51</v>
      </c>
    </row>
    <row r="2219" spans="1:37" x14ac:dyDescent="0.2">
      <c r="A2219">
        <v>58798</v>
      </c>
      <c r="B2219" t="s">
        <v>37</v>
      </c>
      <c r="C2219" t="s">
        <v>196</v>
      </c>
      <c r="D2219" t="s">
        <v>169</v>
      </c>
      <c r="E2219" t="s">
        <v>197</v>
      </c>
      <c r="G2219" s="4">
        <v>43946.17431712963</v>
      </c>
      <c r="H2219" s="4">
        <v>43946.174363425926</v>
      </c>
      <c r="I2219" t="s">
        <v>44</v>
      </c>
      <c r="J2219" s="5">
        <v>4</v>
      </c>
      <c r="K2219" t="s">
        <v>196</v>
      </c>
      <c r="M2219">
        <v>58799</v>
      </c>
      <c r="N2219" t="s">
        <v>197</v>
      </c>
      <c r="O2219" t="s">
        <v>198</v>
      </c>
      <c r="P2219" t="s">
        <v>196</v>
      </c>
      <c r="Q2219" t="s">
        <v>44</v>
      </c>
      <c r="R2219">
        <v>4</v>
      </c>
      <c r="S2219" t="s">
        <v>199</v>
      </c>
      <c r="T2219" t="str" s="2">
        <f>=HYPERLINK("http://demo.enginatics.com:80/ecc/user/applications/log/58798.log","http://demo.enginatics.com:80/ecc/user/applications/log/58798.log")</f>
        <v>"http://demo.enginatics.com:80/ecc/user/applications/log/58798.log")</v>
      </c>
      <c r="U2219">
        <v>58800</v>
      </c>
      <c r="V2219" t="s">
        <v>196</v>
      </c>
      <c r="W2219" t="s">
        <v>88</v>
      </c>
      <c r="X2219">
        <v>2</v>
      </c>
      <c r="Y2219">
        <v>0</v>
      </c>
      <c r="Z2219" t="s">
        <v>1875</v>
      </c>
    </row>
    <row r="2220" spans="1:37" x14ac:dyDescent="0.2">
      <c r="A2220">
        <v>58794</v>
      </c>
      <c r="B2220" t="s">
        <v>37</v>
      </c>
      <c r="C2220" t="s">
        <v>38</v>
      </c>
      <c r="D2220" t="s">
        <v>169</v>
      </c>
      <c r="E2220" t="s">
        <v>201</v>
      </c>
      <c r="G2220" s="4">
        <v>43946.171435185185</v>
      </c>
      <c r="H2220" s="4">
        <v>43946.171458333333</v>
      </c>
      <c r="I2220" t="s">
        <v>88</v>
      </c>
      <c r="J2220" s="5">
        <v>2</v>
      </c>
      <c r="K2220" t="s">
        <v>38</v>
      </c>
      <c r="M2220">
        <v>58795</v>
      </c>
      <c r="N2220" t="s">
        <v>201</v>
      </c>
      <c r="O2220" t="s">
        <v>202</v>
      </c>
      <c r="P2220" t="s">
        <v>38</v>
      </c>
      <c r="Q2220" t="s">
        <v>88</v>
      </c>
      <c r="R2220">
        <v>2</v>
      </c>
      <c r="S2220" t="s">
        <v>45</v>
      </c>
      <c r="T2220" t="str" s="2">
        <f>=HYPERLINK("http://demo.enginatics.com:80/ecc/user/applications/log/58794.log","http://demo.enginatics.com:80/ecc/user/applications/log/58794.log")</f>
        <v>"http://demo.enginatics.com:80/ecc/user/applications/log/58794.log")</v>
      </c>
      <c r="U2220">
        <v>58796</v>
      </c>
      <c r="V2220" t="s">
        <v>38</v>
      </c>
      <c r="W2220" t="s">
        <v>88</v>
      </c>
      <c r="X2220">
        <v>2</v>
      </c>
      <c r="Y2220">
        <v>0</v>
      </c>
      <c r="Z2220" t="s">
        <v>46</v>
      </c>
      <c r="AA2220">
        <v>58797</v>
      </c>
      <c r="AB2220" t="s">
        <v>1876</v>
      </c>
      <c r="AC2220" t="s">
        <v>68</v>
      </c>
      <c r="AD2220" t="s">
        <v>38</v>
      </c>
      <c r="AE2220" t="s">
        <v>49</v>
      </c>
      <c r="AF2220" t="s">
        <v>88</v>
      </c>
      <c r="AG2220">
        <v>2</v>
      </c>
      <c r="AH2220">
        <v>0</v>
      </c>
      <c r="AI2220" t="s">
        <v>51</v>
      </c>
      <c r="AJ2220" t="s">
        <v>51</v>
      </c>
      <c r="AK2220" t="s">
        <v>51</v>
      </c>
    </row>
    <row r="2221" spans="1:37" x14ac:dyDescent="0.2">
      <c r="A2221">
        <v>58789</v>
      </c>
      <c r="B2221" t="s">
        <v>37</v>
      </c>
      <c r="C2221" t="s">
        <v>38</v>
      </c>
      <c r="D2221" t="s">
        <v>169</v>
      </c>
      <c r="E2221" t="s">
        <v>204</v>
      </c>
      <c r="G2221" s="4">
        <v>43946.171319444444</v>
      </c>
      <c r="H2221" s="4">
        <v>43946.171354166667</v>
      </c>
      <c r="I2221" t="s">
        <v>85</v>
      </c>
      <c r="J2221" s="5">
        <v>3</v>
      </c>
      <c r="K2221" t="s">
        <v>38</v>
      </c>
      <c r="M2221">
        <v>58790</v>
      </c>
      <c r="N2221" t="s">
        <v>204</v>
      </c>
      <c r="O2221" t="s">
        <v>205</v>
      </c>
      <c r="P2221" t="s">
        <v>38</v>
      </c>
      <c r="Q2221" t="s">
        <v>85</v>
      </c>
      <c r="R2221">
        <v>3</v>
      </c>
      <c r="S2221" t="s">
        <v>45</v>
      </c>
      <c r="T2221" t="str" s="2">
        <f>=HYPERLINK("http://demo.enginatics.com:80/ecc/user/applications/log/58789.log","http://demo.enginatics.com:80/ecc/user/applications/log/58789.log")</f>
        <v>"http://demo.enginatics.com:80/ecc/user/applications/log/58789.log")</v>
      </c>
      <c r="U2221">
        <v>58791</v>
      </c>
      <c r="V2221" t="s">
        <v>38</v>
      </c>
      <c r="W2221" t="s">
        <v>85</v>
      </c>
      <c r="X2221">
        <v>3</v>
      </c>
      <c r="Y2221">
        <v>1</v>
      </c>
      <c r="Z2221" t="s">
        <v>46</v>
      </c>
      <c r="AA2221">
        <v>58793</v>
      </c>
      <c r="AB2221" t="s">
        <v>206</v>
      </c>
      <c r="AC2221" t="s">
        <v>68</v>
      </c>
      <c r="AD2221" t="s">
        <v>38</v>
      </c>
      <c r="AE2221" t="s">
        <v>49</v>
      </c>
      <c r="AF2221" t="s">
        <v>50</v>
      </c>
      <c r="AG2221">
        <v>.9999999999999999999999999999999999999996</v>
      </c>
      <c r="AH2221">
        <v>0</v>
      </c>
      <c r="AI2221" t="s">
        <v>51</v>
      </c>
      <c r="AJ2221" t="s">
        <v>51</v>
      </c>
      <c r="AK2221" t="s">
        <v>51</v>
      </c>
    </row>
    <row r="2222" spans="1:37" x14ac:dyDescent="0.2">
      <c r="A2222">
        <v>58789</v>
      </c>
      <c r="B2222" t="s">
        <v>37</v>
      </c>
      <c r="C2222" t="s">
        <v>38</v>
      </c>
      <c r="D2222" t="s">
        <v>169</v>
      </c>
      <c r="E2222" t="s">
        <v>204</v>
      </c>
      <c r="G2222" s="4">
        <v>43946.171319444444</v>
      </c>
      <c r="H2222" s="4">
        <v>43946.171354166667</v>
      </c>
      <c r="I2222" t="s">
        <v>85</v>
      </c>
      <c r="J2222" s="5">
        <v>3</v>
      </c>
      <c r="K2222" t="s">
        <v>38</v>
      </c>
      <c r="M2222">
        <v>58790</v>
      </c>
      <c r="N2222" t="s">
        <v>204</v>
      </c>
      <c r="O2222" t="s">
        <v>205</v>
      </c>
      <c r="P2222" t="s">
        <v>38</v>
      </c>
      <c r="Q2222" t="s">
        <v>85</v>
      </c>
      <c r="R2222">
        <v>3</v>
      </c>
      <c r="S2222" t="s">
        <v>45</v>
      </c>
      <c r="T2222" t="str" s="2">
        <f>=HYPERLINK("http://demo.enginatics.com:80/ecc/user/applications/log/58789.log","http://demo.enginatics.com:80/ecc/user/applications/log/58789.log")</f>
        <v>"http://demo.enginatics.com:80/ecc/user/applications/log/58789.log")</v>
      </c>
      <c r="U2222">
        <v>58791</v>
      </c>
      <c r="V2222" t="s">
        <v>38</v>
      </c>
      <c r="W2222" t="s">
        <v>85</v>
      </c>
      <c r="X2222">
        <v>3</v>
      </c>
      <c r="Y2222">
        <v>1</v>
      </c>
      <c r="Z2222" t="s">
        <v>46</v>
      </c>
      <c r="AA2222">
        <v>58792</v>
      </c>
      <c r="AB2222" t="s">
        <v>207</v>
      </c>
      <c r="AC2222" t="s">
        <v>56</v>
      </c>
      <c r="AD2222" t="s">
        <v>38</v>
      </c>
      <c r="AE2222" t="s">
        <v>49</v>
      </c>
      <c r="AF2222" t="s">
        <v>50</v>
      </c>
      <c r="AG2222">
        <v>.9999999999999999999999999999999999999996</v>
      </c>
      <c r="AH2222">
        <v>1</v>
      </c>
      <c r="AI2222" t="s">
        <v>51</v>
      </c>
      <c r="AJ2222" t="s">
        <v>51</v>
      </c>
      <c r="AK2222" t="s">
        <v>51</v>
      </c>
    </row>
    <row r="2223" spans="1:37" x14ac:dyDescent="0.2">
      <c r="A2223">
        <v>58784</v>
      </c>
      <c r="B2223" t="s">
        <v>37</v>
      </c>
      <c r="C2223" t="s">
        <v>38</v>
      </c>
      <c r="D2223" t="s">
        <v>169</v>
      </c>
      <c r="E2223" t="s">
        <v>208</v>
      </c>
      <c r="G2223" s="4">
        <v>43946.171203703704</v>
      </c>
      <c r="H2223" s="4">
        <v>43946.171215277778</v>
      </c>
      <c r="I2223" t="s">
        <v>50</v>
      </c>
      <c r="J2223" s="5">
        <v>.9999999999999999999999999999999999999996</v>
      </c>
      <c r="K2223" t="s">
        <v>38</v>
      </c>
      <c r="M2223">
        <v>58785</v>
      </c>
      <c r="N2223" t="s">
        <v>208</v>
      </c>
      <c r="O2223" t="s">
        <v>209</v>
      </c>
      <c r="P2223" t="s">
        <v>38</v>
      </c>
      <c r="Q2223" t="s">
        <v>50</v>
      </c>
      <c r="R2223">
        <v>.9999999999999999999999999999999999999996</v>
      </c>
      <c r="S2223" t="s">
        <v>45</v>
      </c>
      <c r="T2223" t="str" s="2">
        <f>=HYPERLINK("http://demo.enginatics.com:80/ecc/user/applications/log/58784.log","http://demo.enginatics.com:80/ecc/user/applications/log/58784.log")</f>
        <v>"http://demo.enginatics.com:80/ecc/user/applications/log/58784.log")</v>
      </c>
      <c r="U2223">
        <v>58786</v>
      </c>
      <c r="V2223" t="s">
        <v>38</v>
      </c>
      <c r="W2223" t="s">
        <v>50</v>
      </c>
      <c r="X2223">
        <v>.9999999999999999999999999999999999999996</v>
      </c>
      <c r="Y2223">
        <v>0</v>
      </c>
      <c r="Z2223" t="s">
        <v>46</v>
      </c>
      <c r="AA2223">
        <v>58788</v>
      </c>
      <c r="AB2223" t="s">
        <v>210</v>
      </c>
      <c r="AC2223" t="s">
        <v>48</v>
      </c>
      <c r="AD2223" t="s">
        <v>38</v>
      </c>
      <c r="AE2223" t="s">
        <v>49</v>
      </c>
      <c r="AF2223" t="s">
        <v>50</v>
      </c>
      <c r="AG2223">
        <v>.9999999999999999999999999999999999999996</v>
      </c>
      <c r="AH2223">
        <v>0</v>
      </c>
      <c r="AI2223" t="s">
        <v>51</v>
      </c>
      <c r="AJ2223" t="s">
        <v>51</v>
      </c>
      <c r="AK2223" t="s">
        <v>51</v>
      </c>
    </row>
    <row r="2224" spans="1:37" x14ac:dyDescent="0.2">
      <c r="A2224">
        <v>58784</v>
      </c>
      <c r="B2224" t="s">
        <v>37</v>
      </c>
      <c r="C2224" t="s">
        <v>38</v>
      </c>
      <c r="D2224" t="s">
        <v>169</v>
      </c>
      <c r="E2224" t="s">
        <v>208</v>
      </c>
      <c r="G2224" s="4">
        <v>43946.171203703704</v>
      </c>
      <c r="H2224" s="4">
        <v>43946.171215277778</v>
      </c>
      <c r="I2224" t="s">
        <v>50</v>
      </c>
      <c r="J2224" s="5">
        <v>.9999999999999999999999999999999999999996</v>
      </c>
      <c r="K2224" t="s">
        <v>38</v>
      </c>
      <c r="M2224">
        <v>58785</v>
      </c>
      <c r="N2224" t="s">
        <v>208</v>
      </c>
      <c r="O2224" t="s">
        <v>209</v>
      </c>
      <c r="P2224" t="s">
        <v>38</v>
      </c>
      <c r="Q2224" t="s">
        <v>50</v>
      </c>
      <c r="R2224">
        <v>.9999999999999999999999999999999999999996</v>
      </c>
      <c r="S2224" t="s">
        <v>45</v>
      </c>
      <c r="T2224" t="str" s="2">
        <f>=HYPERLINK("http://demo.enginatics.com:80/ecc/user/applications/log/58784.log","http://demo.enginatics.com:80/ecc/user/applications/log/58784.log")</f>
        <v>"http://demo.enginatics.com:80/ecc/user/applications/log/58784.log")</v>
      </c>
      <c r="U2224">
        <v>58786</v>
      </c>
      <c r="V2224" t="s">
        <v>38</v>
      </c>
      <c r="W2224" t="s">
        <v>50</v>
      </c>
      <c r="X2224">
        <v>.9999999999999999999999999999999999999996</v>
      </c>
      <c r="Y2224">
        <v>0</v>
      </c>
      <c r="Z2224" t="s">
        <v>46</v>
      </c>
      <c r="AA2224">
        <v>58787</v>
      </c>
      <c r="AB2224" t="s">
        <v>211</v>
      </c>
      <c r="AC2224" t="s">
        <v>56</v>
      </c>
      <c r="AD2224" t="s">
        <v>38</v>
      </c>
      <c r="AE2224" t="s">
        <v>49</v>
      </c>
      <c r="AF2224" t="s">
        <v>50</v>
      </c>
      <c r="AG2224">
        <v>0</v>
      </c>
      <c r="AH2224">
        <v>0</v>
      </c>
      <c r="AI2224" t="s">
        <v>51</v>
      </c>
      <c r="AJ2224" t="s">
        <v>51</v>
      </c>
      <c r="AK2224" t="s">
        <v>51</v>
      </c>
    </row>
    <row r="2225" spans="1:37" x14ac:dyDescent="0.2">
      <c r="A2225">
        <v>58780</v>
      </c>
      <c r="B2225" t="s">
        <v>37</v>
      </c>
      <c r="C2225" t="s">
        <v>38</v>
      </c>
      <c r="D2225" t="s">
        <v>169</v>
      </c>
      <c r="E2225" t="s">
        <v>212</v>
      </c>
      <c r="G2225" s="4">
        <v>43946.171099537037</v>
      </c>
      <c r="H2225" s="4">
        <v>43946.171111111111</v>
      </c>
      <c r="I2225" t="s">
        <v>50</v>
      </c>
      <c r="J2225" s="5">
        <v>.9999999999999999999999999999999999999996</v>
      </c>
      <c r="K2225" t="s">
        <v>38</v>
      </c>
      <c r="M2225">
        <v>58781</v>
      </c>
      <c r="N2225" t="s">
        <v>212</v>
      </c>
      <c r="O2225" t="s">
        <v>213</v>
      </c>
      <c r="P2225" t="s">
        <v>38</v>
      </c>
      <c r="Q2225" t="s">
        <v>50</v>
      </c>
      <c r="R2225">
        <v>0</v>
      </c>
      <c r="S2225" t="s">
        <v>45</v>
      </c>
      <c r="T2225" t="str" s="2">
        <f>=HYPERLINK("http://demo.enginatics.com:80/ecc/user/applications/log/58780.log","http://demo.enginatics.com:80/ecc/user/applications/log/58780.log")</f>
        <v>"http://demo.enginatics.com:80/ecc/user/applications/log/58780.log")</v>
      </c>
      <c r="U2225">
        <v>58782</v>
      </c>
      <c r="V2225" t="s">
        <v>38</v>
      </c>
      <c r="W2225" t="s">
        <v>50</v>
      </c>
      <c r="X2225">
        <v>0</v>
      </c>
      <c r="Y2225">
        <v>0</v>
      </c>
      <c r="Z2225" t="s">
        <v>46</v>
      </c>
      <c r="AA2225">
        <v>58783</v>
      </c>
      <c r="AB2225" t="s">
        <v>1877</v>
      </c>
      <c r="AC2225" t="s">
        <v>68</v>
      </c>
      <c r="AD2225" t="s">
        <v>38</v>
      </c>
      <c r="AE2225" t="s">
        <v>49</v>
      </c>
      <c r="AF2225" t="s">
        <v>50</v>
      </c>
      <c r="AG2225">
        <v>0</v>
      </c>
      <c r="AH2225">
        <v>0</v>
      </c>
      <c r="AI2225" t="s">
        <v>51</v>
      </c>
      <c r="AJ2225" t="s">
        <v>51</v>
      </c>
      <c r="AK2225" t="s">
        <v>51</v>
      </c>
    </row>
    <row r="2226" spans="1:37" x14ac:dyDescent="0.2">
      <c r="A2226">
        <v>58775</v>
      </c>
      <c r="B2226" t="s">
        <v>37</v>
      </c>
      <c r="C2226" t="s">
        <v>38</v>
      </c>
      <c r="D2226" t="s">
        <v>169</v>
      </c>
      <c r="E2226" t="s">
        <v>215</v>
      </c>
      <c r="G2226" s="4">
        <v>43946.1709375</v>
      </c>
      <c r="H2226" s="4">
        <v>43946.170949074074</v>
      </c>
      <c r="I2226" t="s">
        <v>50</v>
      </c>
      <c r="J2226" s="5">
        <v>.9999999999999999999999999999999999999996</v>
      </c>
      <c r="K2226" t="s">
        <v>38</v>
      </c>
      <c r="M2226">
        <v>58776</v>
      </c>
      <c r="N2226" t="s">
        <v>215</v>
      </c>
      <c r="O2226" t="s">
        <v>216</v>
      </c>
      <c r="P2226" t="s">
        <v>38</v>
      </c>
      <c r="Q2226" t="s">
        <v>50</v>
      </c>
      <c r="R2226">
        <v>.9999999999999999999999999999999999999996</v>
      </c>
      <c r="S2226" t="s">
        <v>45</v>
      </c>
      <c r="T2226" t="str" s="2">
        <f>=HYPERLINK("http://demo.enginatics.com:80/ecc/user/applications/log/58775.log","http://demo.enginatics.com:80/ecc/user/applications/log/58775.log")</f>
        <v>"http://demo.enginatics.com:80/ecc/user/applications/log/58775.log")</v>
      </c>
      <c r="U2226">
        <v>58777</v>
      </c>
      <c r="V2226" t="s">
        <v>38</v>
      </c>
      <c r="W2226" t="s">
        <v>50</v>
      </c>
      <c r="X2226">
        <v>.9999999999999999999999999999999999999996</v>
      </c>
      <c r="Y2226">
        <v>0</v>
      </c>
      <c r="Z2226" t="s">
        <v>46</v>
      </c>
      <c r="AA2226">
        <v>58779</v>
      </c>
      <c r="AB2226" t="s">
        <v>217</v>
      </c>
      <c r="AC2226" t="s">
        <v>48</v>
      </c>
      <c r="AD2226" t="s">
        <v>38</v>
      </c>
      <c r="AE2226" t="s">
        <v>49</v>
      </c>
      <c r="AF2226" t="s">
        <v>50</v>
      </c>
      <c r="AG2226">
        <v>0</v>
      </c>
      <c r="AH2226">
        <v>0</v>
      </c>
      <c r="AI2226" t="s">
        <v>51</v>
      </c>
      <c r="AJ2226" t="s">
        <v>51</v>
      </c>
      <c r="AK2226" t="s">
        <v>51</v>
      </c>
    </row>
    <row r="2227" spans="1:37" x14ac:dyDescent="0.2">
      <c r="A2227">
        <v>58775</v>
      </c>
      <c r="B2227" t="s">
        <v>37</v>
      </c>
      <c r="C2227" t="s">
        <v>38</v>
      </c>
      <c r="D2227" t="s">
        <v>169</v>
      </c>
      <c r="E2227" t="s">
        <v>215</v>
      </c>
      <c r="G2227" s="4">
        <v>43946.1709375</v>
      </c>
      <c r="H2227" s="4">
        <v>43946.170949074074</v>
      </c>
      <c r="I2227" t="s">
        <v>50</v>
      </c>
      <c r="J2227" s="5">
        <v>.9999999999999999999999999999999999999996</v>
      </c>
      <c r="K2227" t="s">
        <v>38</v>
      </c>
      <c r="M2227">
        <v>58776</v>
      </c>
      <c r="N2227" t="s">
        <v>215</v>
      </c>
      <c r="O2227" t="s">
        <v>216</v>
      </c>
      <c r="P2227" t="s">
        <v>38</v>
      </c>
      <c r="Q2227" t="s">
        <v>50</v>
      </c>
      <c r="R2227">
        <v>.9999999999999999999999999999999999999996</v>
      </c>
      <c r="S2227" t="s">
        <v>45</v>
      </c>
      <c r="T2227" t="str" s="2">
        <f>=HYPERLINK("http://demo.enginatics.com:80/ecc/user/applications/log/58775.log","http://demo.enginatics.com:80/ecc/user/applications/log/58775.log")</f>
        <v>"http://demo.enginatics.com:80/ecc/user/applications/log/58775.log")</v>
      </c>
      <c r="U2227">
        <v>58777</v>
      </c>
      <c r="V2227" t="s">
        <v>38</v>
      </c>
      <c r="W2227" t="s">
        <v>50</v>
      </c>
      <c r="X2227">
        <v>.9999999999999999999999999999999999999996</v>
      </c>
      <c r="Y2227">
        <v>0</v>
      </c>
      <c r="Z2227" t="s">
        <v>46</v>
      </c>
      <c r="AA2227">
        <v>58778</v>
      </c>
      <c r="AB2227" t="s">
        <v>218</v>
      </c>
      <c r="AC2227" t="s">
        <v>56</v>
      </c>
      <c r="AD2227" t="s">
        <v>38</v>
      </c>
      <c r="AE2227" t="s">
        <v>49</v>
      </c>
      <c r="AF2227" t="s">
        <v>50</v>
      </c>
      <c r="AG2227">
        <v>0</v>
      </c>
      <c r="AH2227">
        <v>0</v>
      </c>
      <c r="AI2227" t="s">
        <v>51</v>
      </c>
      <c r="AJ2227" t="s">
        <v>51</v>
      </c>
      <c r="AK2227" t="s">
        <v>51</v>
      </c>
    </row>
    <row r="2228" spans="1:37" x14ac:dyDescent="0.2">
      <c r="A2228">
        <v>58770</v>
      </c>
      <c r="B2228" t="s">
        <v>37</v>
      </c>
      <c r="C2228" t="s">
        <v>38</v>
      </c>
      <c r="D2228" t="s">
        <v>169</v>
      </c>
      <c r="E2228" t="s">
        <v>219</v>
      </c>
      <c r="G2228" s="4">
        <v>43946.170532407407</v>
      </c>
      <c r="H2228" s="4">
        <v>43946.170810185185</v>
      </c>
      <c r="I2228" t="s">
        <v>1153</v>
      </c>
      <c r="J2228" s="5">
        <v>24.00000000000000000000000000000000000002</v>
      </c>
      <c r="K2228" t="s">
        <v>38</v>
      </c>
      <c r="M2228">
        <v>58771</v>
      </c>
      <c r="N2228" t="s">
        <v>219</v>
      </c>
      <c r="O2228" t="s">
        <v>220</v>
      </c>
      <c r="P2228" t="s">
        <v>38</v>
      </c>
      <c r="Q2228" t="s">
        <v>1153</v>
      </c>
      <c r="R2228">
        <v>24.00000000000000000000000000000000000002</v>
      </c>
      <c r="S2228" t="s">
        <v>45</v>
      </c>
      <c r="T2228" t="str" s="2">
        <f>=HYPERLINK("http://demo.enginatics.com:80/ecc/user/applications/log/58770.log","http://demo.enginatics.com:80/ecc/user/applications/log/58770.log")</f>
        <v>"http://demo.enginatics.com:80/ecc/user/applications/log/58770.log")</v>
      </c>
      <c r="U2228">
        <v>58772</v>
      </c>
      <c r="V2228" t="s">
        <v>38</v>
      </c>
      <c r="W2228" t="s">
        <v>183</v>
      </c>
      <c r="X2228">
        <v>23.00000000000000000000000000000000000003</v>
      </c>
      <c r="Y2228">
        <v>22</v>
      </c>
      <c r="Z2228" t="s">
        <v>46</v>
      </c>
      <c r="AA2228">
        <v>58774</v>
      </c>
      <c r="AB2228" t="s">
        <v>221</v>
      </c>
      <c r="AC2228" t="s">
        <v>48</v>
      </c>
      <c r="AD2228" t="s">
        <v>38</v>
      </c>
      <c r="AE2228" t="s">
        <v>49</v>
      </c>
      <c r="AF2228" t="s">
        <v>50</v>
      </c>
      <c r="AG2228">
        <v>0</v>
      </c>
      <c r="AH2228">
        <v>0</v>
      </c>
      <c r="AI2228" t="s">
        <v>51</v>
      </c>
      <c r="AJ2228" t="s">
        <v>51</v>
      </c>
      <c r="AK2228" t="s">
        <v>51</v>
      </c>
    </row>
    <row r="2229" spans="1:37" x14ac:dyDescent="0.2">
      <c r="A2229">
        <v>58770</v>
      </c>
      <c r="B2229" t="s">
        <v>37</v>
      </c>
      <c r="C2229" t="s">
        <v>38</v>
      </c>
      <c r="D2229" t="s">
        <v>169</v>
      </c>
      <c r="E2229" t="s">
        <v>219</v>
      </c>
      <c r="G2229" s="4">
        <v>43946.170532407407</v>
      </c>
      <c r="H2229" s="4">
        <v>43946.170810185185</v>
      </c>
      <c r="I2229" t="s">
        <v>1153</v>
      </c>
      <c r="J2229" s="5">
        <v>24.00000000000000000000000000000000000002</v>
      </c>
      <c r="K2229" t="s">
        <v>38</v>
      </c>
      <c r="M2229">
        <v>58771</v>
      </c>
      <c r="N2229" t="s">
        <v>219</v>
      </c>
      <c r="O2229" t="s">
        <v>220</v>
      </c>
      <c r="P2229" t="s">
        <v>38</v>
      </c>
      <c r="Q2229" t="s">
        <v>1153</v>
      </c>
      <c r="R2229">
        <v>24.00000000000000000000000000000000000002</v>
      </c>
      <c r="S2229" t="s">
        <v>45</v>
      </c>
      <c r="T2229" t="str" s="2">
        <f>=HYPERLINK("http://demo.enginatics.com:80/ecc/user/applications/log/58770.log","http://demo.enginatics.com:80/ecc/user/applications/log/58770.log")</f>
        <v>"http://demo.enginatics.com:80/ecc/user/applications/log/58770.log")</v>
      </c>
      <c r="U2229">
        <v>58772</v>
      </c>
      <c r="V2229" t="s">
        <v>38</v>
      </c>
      <c r="W2229" t="s">
        <v>183</v>
      </c>
      <c r="X2229">
        <v>23.00000000000000000000000000000000000003</v>
      </c>
      <c r="Y2229">
        <v>22</v>
      </c>
      <c r="Z2229" t="s">
        <v>46</v>
      </c>
      <c r="AA2229">
        <v>58773</v>
      </c>
      <c r="AB2229" t="s">
        <v>222</v>
      </c>
      <c r="AC2229" t="s">
        <v>56</v>
      </c>
      <c r="AD2229" t="s">
        <v>38</v>
      </c>
      <c r="AE2229" t="s">
        <v>49</v>
      </c>
      <c r="AF2229" t="s">
        <v>50</v>
      </c>
      <c r="AG2229">
        <v>0</v>
      </c>
      <c r="AH2229">
        <v>0</v>
      </c>
      <c r="AI2229" t="s">
        <v>51</v>
      </c>
      <c r="AJ2229" t="s">
        <v>51</v>
      </c>
      <c r="AK2229" t="s">
        <v>51</v>
      </c>
    </row>
    <row r="2230" spans="1:37" x14ac:dyDescent="0.2">
      <c r="A2230">
        <v>58766</v>
      </c>
      <c r="B2230" t="s">
        <v>37</v>
      </c>
      <c r="C2230" t="s">
        <v>38</v>
      </c>
      <c r="D2230" t="s">
        <v>169</v>
      </c>
      <c r="E2230" t="s">
        <v>223</v>
      </c>
      <c r="G2230" s="4">
        <v>43946.17037037037</v>
      </c>
      <c r="H2230" s="4">
        <v>43946.17037037037</v>
      </c>
      <c r="I2230" t="s">
        <v>50</v>
      </c>
      <c r="J2230" s="5">
        <v>0</v>
      </c>
      <c r="K2230" t="s">
        <v>38</v>
      </c>
      <c r="M2230">
        <v>58767</v>
      </c>
      <c r="N2230" t="s">
        <v>223</v>
      </c>
      <c r="O2230" t="s">
        <v>224</v>
      </c>
      <c r="P2230" t="s">
        <v>38</v>
      </c>
      <c r="Q2230" t="s">
        <v>50</v>
      </c>
      <c r="R2230">
        <v>0</v>
      </c>
      <c r="S2230" t="s">
        <v>45</v>
      </c>
      <c r="T2230" t="str" s="2">
        <f>=HYPERLINK("http://demo.enginatics.com:80/ecc/user/applications/log/58766.log","http://demo.enginatics.com:80/ecc/user/applications/log/58766.log")</f>
        <v>"http://demo.enginatics.com:80/ecc/user/applications/log/58766.log")</v>
      </c>
      <c r="U2230">
        <v>58768</v>
      </c>
      <c r="V2230" t="s">
        <v>38</v>
      </c>
      <c r="W2230" t="s">
        <v>50</v>
      </c>
      <c r="X2230">
        <v>0</v>
      </c>
      <c r="Y2230">
        <v>0</v>
      </c>
      <c r="Z2230" t="s">
        <v>46</v>
      </c>
      <c r="AA2230">
        <v>58769</v>
      </c>
      <c r="AB2230" t="s">
        <v>225</v>
      </c>
      <c r="AC2230" t="s">
        <v>68</v>
      </c>
      <c r="AD2230" t="s">
        <v>38</v>
      </c>
      <c r="AE2230" t="s">
        <v>49</v>
      </c>
      <c r="AF2230" t="s">
        <v>50</v>
      </c>
      <c r="AG2230">
        <v>0</v>
      </c>
      <c r="AH2230">
        <v>0</v>
      </c>
      <c r="AI2230" t="s">
        <v>51</v>
      </c>
      <c r="AJ2230" t="s">
        <v>51</v>
      </c>
      <c r="AK2230" t="s">
        <v>51</v>
      </c>
    </row>
    <row r="2231" spans="1:37" x14ac:dyDescent="0.2">
      <c r="A2231">
        <v>58762</v>
      </c>
      <c r="B2231" t="s">
        <v>37</v>
      </c>
      <c r="C2231" t="s">
        <v>38</v>
      </c>
      <c r="D2231" t="s">
        <v>169</v>
      </c>
      <c r="E2231" t="s">
        <v>226</v>
      </c>
      <c r="G2231" s="4">
        <v>43946.170277777778</v>
      </c>
      <c r="H2231" s="4">
        <v>43946.170289351852</v>
      </c>
      <c r="I2231" t="s">
        <v>50</v>
      </c>
      <c r="J2231" s="5">
        <v>.9999999999999999999999999999999999999996</v>
      </c>
      <c r="K2231" t="s">
        <v>38</v>
      </c>
      <c r="M2231">
        <v>58763</v>
      </c>
      <c r="N2231" t="s">
        <v>226</v>
      </c>
      <c r="O2231" t="s">
        <v>227</v>
      </c>
      <c r="P2231" t="s">
        <v>38</v>
      </c>
      <c r="Q2231" t="s">
        <v>50</v>
      </c>
      <c r="R2231">
        <v>.9999999999999999999999999999999999999996</v>
      </c>
      <c r="S2231" t="s">
        <v>45</v>
      </c>
      <c r="T2231" t="str" s="2">
        <f>=HYPERLINK("http://demo.enginatics.com:80/ecc/user/applications/log/58762.log","http://demo.enginatics.com:80/ecc/user/applications/log/58762.log")</f>
        <v>"http://demo.enginatics.com:80/ecc/user/applications/log/58762.log")</v>
      </c>
      <c r="U2231">
        <v>58764</v>
      </c>
      <c r="V2231" t="s">
        <v>38</v>
      </c>
      <c r="W2231" t="s">
        <v>50</v>
      </c>
      <c r="X2231">
        <v>0</v>
      </c>
      <c r="Y2231">
        <v>0</v>
      </c>
      <c r="Z2231" t="s">
        <v>46</v>
      </c>
      <c r="AA2231">
        <v>58765</v>
      </c>
      <c r="AB2231" t="s">
        <v>228</v>
      </c>
      <c r="AC2231" t="s">
        <v>68</v>
      </c>
      <c r="AD2231" t="s">
        <v>38</v>
      </c>
      <c r="AE2231" t="s">
        <v>49</v>
      </c>
      <c r="AF2231" t="s">
        <v>50</v>
      </c>
      <c r="AG2231">
        <v>0</v>
      </c>
      <c r="AH2231">
        <v>0</v>
      </c>
      <c r="AI2231" t="s">
        <v>51</v>
      </c>
      <c r="AJ2231" t="s">
        <v>51</v>
      </c>
      <c r="AK2231" t="s">
        <v>51</v>
      </c>
    </row>
    <row r="2232" spans="1:37" x14ac:dyDescent="0.2">
      <c r="A2232">
        <v>58758</v>
      </c>
      <c r="B2232" t="s">
        <v>37</v>
      </c>
      <c r="C2232" t="s">
        <v>38</v>
      </c>
      <c r="D2232" t="s">
        <v>169</v>
      </c>
      <c r="E2232" t="s">
        <v>229</v>
      </c>
      <c r="G2232" s="4">
        <v>43946.170104166667</v>
      </c>
      <c r="H2232" s="4">
        <v>43946.170150462963</v>
      </c>
      <c r="I2232" t="s">
        <v>44</v>
      </c>
      <c r="J2232" s="5">
        <v>4</v>
      </c>
      <c r="K2232" t="s">
        <v>38</v>
      </c>
      <c r="M2232">
        <v>58759</v>
      </c>
      <c r="N2232" t="s">
        <v>229</v>
      </c>
      <c r="O2232" t="s">
        <v>230</v>
      </c>
      <c r="P2232" t="s">
        <v>38</v>
      </c>
      <c r="Q2232" t="s">
        <v>85</v>
      </c>
      <c r="R2232">
        <v>3</v>
      </c>
      <c r="S2232" t="s">
        <v>45</v>
      </c>
      <c r="T2232" t="str" s="2">
        <f>=HYPERLINK("http://demo.enginatics.com:80/ecc/user/applications/log/58758.log","http://demo.enginatics.com:80/ecc/user/applications/log/58758.log")</f>
        <v>"http://demo.enginatics.com:80/ecc/user/applications/log/58758.log")</v>
      </c>
      <c r="U2232">
        <v>58760</v>
      </c>
      <c r="V2232" t="s">
        <v>38</v>
      </c>
      <c r="W2232" t="s">
        <v>85</v>
      </c>
      <c r="X2232">
        <v>3</v>
      </c>
      <c r="Y2232">
        <v>0</v>
      </c>
      <c r="Z2232" t="s">
        <v>46</v>
      </c>
      <c r="AA2232">
        <v>58761</v>
      </c>
      <c r="AB2232" t="s">
        <v>231</v>
      </c>
      <c r="AC2232" t="s">
        <v>68</v>
      </c>
      <c r="AD2232" t="s">
        <v>38</v>
      </c>
      <c r="AE2232" t="s">
        <v>49</v>
      </c>
      <c r="AF2232" t="s">
        <v>85</v>
      </c>
      <c r="AG2232">
        <v>3</v>
      </c>
      <c r="AH2232">
        <v>0</v>
      </c>
      <c r="AI2232" t="s">
        <v>51</v>
      </c>
      <c r="AJ2232" t="s">
        <v>51</v>
      </c>
      <c r="AK2232" t="s">
        <v>51</v>
      </c>
    </row>
    <row r="2233" spans="1:37" x14ac:dyDescent="0.2">
      <c r="A2233">
        <v>58754</v>
      </c>
      <c r="B2233" t="s">
        <v>37</v>
      </c>
      <c r="C2233" t="s">
        <v>38</v>
      </c>
      <c r="D2233" t="s">
        <v>169</v>
      </c>
      <c r="E2233" t="s">
        <v>232</v>
      </c>
      <c r="G2233" s="4">
        <v>43946.169930555556</v>
      </c>
      <c r="H2233" s="4">
        <v>43946.169930555556</v>
      </c>
      <c r="I2233" t="s">
        <v>50</v>
      </c>
      <c r="J2233" s="5">
        <v>0</v>
      </c>
      <c r="K2233" t="s">
        <v>38</v>
      </c>
      <c r="M2233">
        <v>58755</v>
      </c>
      <c r="N2233" t="s">
        <v>232</v>
      </c>
      <c r="O2233" t="s">
        <v>233</v>
      </c>
      <c r="P2233" t="s">
        <v>38</v>
      </c>
      <c r="Q2233" t="s">
        <v>50</v>
      </c>
      <c r="R2233">
        <v>0</v>
      </c>
      <c r="S2233" t="s">
        <v>45</v>
      </c>
      <c r="T2233" t="str" s="2">
        <f>=HYPERLINK("http://demo.enginatics.com:80/ecc/user/applications/log/58754.log","http://demo.enginatics.com:80/ecc/user/applications/log/58754.log")</f>
        <v>"http://demo.enginatics.com:80/ecc/user/applications/log/58754.log")</v>
      </c>
      <c r="U2233">
        <v>58756</v>
      </c>
      <c r="V2233" t="s">
        <v>38</v>
      </c>
      <c r="W2233" t="s">
        <v>50</v>
      </c>
      <c r="X2233">
        <v>0</v>
      </c>
      <c r="Y2233">
        <v>0</v>
      </c>
      <c r="Z2233" t="s">
        <v>46</v>
      </c>
      <c r="AA2233">
        <v>58757</v>
      </c>
      <c r="AB2233" t="s">
        <v>234</v>
      </c>
      <c r="AC2233" t="s">
        <v>68</v>
      </c>
      <c r="AD2233" t="s">
        <v>38</v>
      </c>
      <c r="AE2233" t="s">
        <v>49</v>
      </c>
      <c r="AF2233" t="s">
        <v>50</v>
      </c>
      <c r="AG2233">
        <v>0</v>
      </c>
      <c r="AH2233">
        <v>0</v>
      </c>
      <c r="AI2233" t="s">
        <v>51</v>
      </c>
      <c r="AJ2233" t="s">
        <v>51</v>
      </c>
      <c r="AK2233" t="s">
        <v>51</v>
      </c>
    </row>
    <row r="2234" spans="1:37" x14ac:dyDescent="0.2">
      <c r="A2234">
        <v>58750</v>
      </c>
      <c r="B2234" t="s">
        <v>37</v>
      </c>
      <c r="C2234" t="s">
        <v>38</v>
      </c>
      <c r="D2234" t="s">
        <v>169</v>
      </c>
      <c r="E2234" t="s">
        <v>235</v>
      </c>
      <c r="G2234" s="4">
        <v>43946.169733796296</v>
      </c>
      <c r="H2234" s="4">
        <v>43946.169803240741</v>
      </c>
      <c r="I2234" t="s">
        <v>75</v>
      </c>
      <c r="J2234" s="5">
        <v>6</v>
      </c>
      <c r="K2234" t="s">
        <v>38</v>
      </c>
      <c r="M2234">
        <v>58751</v>
      </c>
      <c r="N2234" t="s">
        <v>235</v>
      </c>
      <c r="O2234" t="s">
        <v>237</v>
      </c>
      <c r="P2234" t="s">
        <v>38</v>
      </c>
      <c r="Q2234" t="s">
        <v>78</v>
      </c>
      <c r="R2234">
        <v>5</v>
      </c>
      <c r="S2234" t="s">
        <v>45</v>
      </c>
      <c r="T2234" t="str" s="2">
        <f>=HYPERLINK("http://demo.enginatics.com:80/ecc/user/applications/log/58750.log","http://demo.enginatics.com:80/ecc/user/applications/log/58750.log")</f>
        <v>"http://demo.enginatics.com:80/ecc/user/applications/log/58750.log")</v>
      </c>
      <c r="U2234">
        <v>58752</v>
      </c>
      <c r="V2234" t="s">
        <v>38</v>
      </c>
      <c r="W2234" t="s">
        <v>78</v>
      </c>
      <c r="X2234">
        <v>5</v>
      </c>
      <c r="Y2234">
        <v>0</v>
      </c>
      <c r="Z2234" t="s">
        <v>46</v>
      </c>
      <c r="AA2234">
        <v>58753</v>
      </c>
      <c r="AB2234" t="s">
        <v>239</v>
      </c>
      <c r="AC2234" t="s">
        <v>68</v>
      </c>
      <c r="AD2234" t="s">
        <v>38</v>
      </c>
      <c r="AE2234" t="s">
        <v>240</v>
      </c>
      <c r="AF2234" t="s">
        <v>78</v>
      </c>
      <c r="AG2234">
        <v>5</v>
      </c>
      <c r="AH2234">
        <v>0</v>
      </c>
      <c r="AI2234" t="s">
        <v>241</v>
      </c>
      <c r="AJ2234" t="s">
        <v>51</v>
      </c>
      <c r="AK2234" t="s">
        <v>241</v>
      </c>
    </row>
    <row r="2235" spans="1:37" x14ac:dyDescent="0.2">
      <c r="A2235">
        <v>58745</v>
      </c>
      <c r="B2235" t="s">
        <v>37</v>
      </c>
      <c r="C2235" t="s">
        <v>38</v>
      </c>
      <c r="D2235" t="s">
        <v>169</v>
      </c>
      <c r="E2235" t="s">
        <v>242</v>
      </c>
      <c r="G2235" s="4">
        <v>43946.169641203704</v>
      </c>
      <c r="H2235" s="4">
        <v>43946.169652777778</v>
      </c>
      <c r="I2235" t="s">
        <v>50</v>
      </c>
      <c r="J2235" s="5">
        <v>.9999999999999999999999999999999999999996</v>
      </c>
      <c r="K2235" t="s">
        <v>38</v>
      </c>
      <c r="M2235">
        <v>58746</v>
      </c>
      <c r="N2235" t="s">
        <v>242</v>
      </c>
      <c r="O2235" t="s">
        <v>243</v>
      </c>
      <c r="P2235" t="s">
        <v>38</v>
      </c>
      <c r="Q2235" t="s">
        <v>50</v>
      </c>
      <c r="R2235">
        <v>.9999999999999999999999999999999999999996</v>
      </c>
      <c r="S2235" t="s">
        <v>45</v>
      </c>
      <c r="T2235" t="str" s="2">
        <f>=HYPERLINK("http://demo.enginatics.com:80/ecc/user/applications/log/58745.log","http://demo.enginatics.com:80/ecc/user/applications/log/58745.log")</f>
        <v>"http://demo.enginatics.com:80/ecc/user/applications/log/58745.log")</v>
      </c>
      <c r="U2235">
        <v>58747</v>
      </c>
      <c r="V2235" t="s">
        <v>38</v>
      </c>
      <c r="W2235" t="s">
        <v>50</v>
      </c>
      <c r="X2235">
        <v>.9999999999999999999999999999999999999996</v>
      </c>
      <c r="Y2235">
        <v>0</v>
      </c>
      <c r="Z2235" t="s">
        <v>46</v>
      </c>
      <c r="AA2235">
        <v>58749</v>
      </c>
      <c r="AB2235" t="s">
        <v>244</v>
      </c>
      <c r="AC2235" t="s">
        <v>56</v>
      </c>
      <c r="AD2235" t="s">
        <v>38</v>
      </c>
      <c r="AE2235" t="s">
        <v>49</v>
      </c>
      <c r="AF2235" t="s">
        <v>50</v>
      </c>
      <c r="AG2235">
        <v>.9999999999999999999999999999999999999996</v>
      </c>
      <c r="AH2235">
        <v>0</v>
      </c>
      <c r="AI2235" t="s">
        <v>51</v>
      </c>
      <c r="AJ2235" t="s">
        <v>51</v>
      </c>
      <c r="AK2235" t="s">
        <v>51</v>
      </c>
    </row>
    <row r="2236" spans="1:37" x14ac:dyDescent="0.2">
      <c r="A2236">
        <v>58745</v>
      </c>
      <c r="B2236" t="s">
        <v>37</v>
      </c>
      <c r="C2236" t="s">
        <v>38</v>
      </c>
      <c r="D2236" t="s">
        <v>169</v>
      </c>
      <c r="E2236" t="s">
        <v>242</v>
      </c>
      <c r="G2236" s="4">
        <v>43946.169641203704</v>
      </c>
      <c r="H2236" s="4">
        <v>43946.169652777778</v>
      </c>
      <c r="I2236" t="s">
        <v>50</v>
      </c>
      <c r="J2236" s="5">
        <v>.9999999999999999999999999999999999999996</v>
      </c>
      <c r="K2236" t="s">
        <v>38</v>
      </c>
      <c r="M2236">
        <v>58746</v>
      </c>
      <c r="N2236" t="s">
        <v>242</v>
      </c>
      <c r="O2236" t="s">
        <v>243</v>
      </c>
      <c r="P2236" t="s">
        <v>38</v>
      </c>
      <c r="Q2236" t="s">
        <v>50</v>
      </c>
      <c r="R2236">
        <v>.9999999999999999999999999999999999999996</v>
      </c>
      <c r="S2236" t="s">
        <v>45</v>
      </c>
      <c r="T2236" t="str" s="2">
        <f>=HYPERLINK("http://demo.enginatics.com:80/ecc/user/applications/log/58745.log","http://demo.enginatics.com:80/ecc/user/applications/log/58745.log")</f>
        <v>"http://demo.enginatics.com:80/ecc/user/applications/log/58745.log")</v>
      </c>
      <c r="U2236">
        <v>58747</v>
      </c>
      <c r="V2236" t="s">
        <v>38</v>
      </c>
      <c r="W2236" t="s">
        <v>50</v>
      </c>
      <c r="X2236">
        <v>.9999999999999999999999999999999999999996</v>
      </c>
      <c r="Y2236">
        <v>0</v>
      </c>
      <c r="Z2236" t="s">
        <v>46</v>
      </c>
      <c r="AA2236">
        <v>58748</v>
      </c>
      <c r="AB2236" t="s">
        <v>245</v>
      </c>
      <c r="AC2236" t="s">
        <v>68</v>
      </c>
      <c r="AD2236" t="s">
        <v>38</v>
      </c>
      <c r="AE2236" t="s">
        <v>49</v>
      </c>
      <c r="AF2236" t="s">
        <v>50</v>
      </c>
      <c r="AG2236">
        <v>0</v>
      </c>
      <c r="AH2236">
        <v>0</v>
      </c>
      <c r="AI2236" t="s">
        <v>51</v>
      </c>
      <c r="AJ2236" t="s">
        <v>51</v>
      </c>
      <c r="AK2236" t="s">
        <v>51</v>
      </c>
    </row>
    <row r="2237" spans="1:37" x14ac:dyDescent="0.2">
      <c r="A2237">
        <v>58741</v>
      </c>
      <c r="B2237" t="s">
        <v>37</v>
      </c>
      <c r="C2237" t="s">
        <v>38</v>
      </c>
      <c r="D2237" t="s">
        <v>169</v>
      </c>
      <c r="E2237" t="s">
        <v>246</v>
      </c>
      <c r="G2237" s="4">
        <v>43946.169236111111</v>
      </c>
      <c r="H2237" s="4">
        <v>43946.169305555556</v>
      </c>
      <c r="I2237" t="s">
        <v>75</v>
      </c>
      <c r="J2237" s="5">
        <v>6</v>
      </c>
      <c r="K2237" t="s">
        <v>38</v>
      </c>
      <c r="M2237">
        <v>58742</v>
      </c>
      <c r="N2237" t="s">
        <v>246</v>
      </c>
      <c r="O2237" t="s">
        <v>248</v>
      </c>
      <c r="P2237" t="s">
        <v>38</v>
      </c>
      <c r="Q2237" t="s">
        <v>75</v>
      </c>
      <c r="R2237">
        <v>6</v>
      </c>
      <c r="S2237" t="s">
        <v>45</v>
      </c>
      <c r="T2237" t="str" s="2">
        <f>=HYPERLINK("http://demo.enginatics.com:80/ecc/user/applications/log/58741.log","http://demo.enginatics.com:80/ecc/user/applications/log/58741.log")</f>
        <v>"http://demo.enginatics.com:80/ecc/user/applications/log/58741.log")</v>
      </c>
      <c r="U2237">
        <v>58743</v>
      </c>
      <c r="V2237" t="s">
        <v>38</v>
      </c>
      <c r="W2237" t="s">
        <v>75</v>
      </c>
      <c r="X2237">
        <v>6</v>
      </c>
      <c r="Y2237">
        <v>6</v>
      </c>
      <c r="Z2237" t="s">
        <v>46</v>
      </c>
      <c r="AA2237">
        <v>58744</v>
      </c>
      <c r="AB2237" t="s">
        <v>249</v>
      </c>
      <c r="AC2237" t="s">
        <v>68</v>
      </c>
      <c r="AD2237" t="s">
        <v>38</v>
      </c>
      <c r="AE2237" t="s">
        <v>49</v>
      </c>
      <c r="AF2237" t="s">
        <v>50</v>
      </c>
      <c r="AG2237">
        <v>0</v>
      </c>
      <c r="AH2237">
        <v>0</v>
      </c>
      <c r="AI2237" t="s">
        <v>51</v>
      </c>
      <c r="AJ2237" t="s">
        <v>51</v>
      </c>
      <c r="AK2237" t="s">
        <v>51</v>
      </c>
    </row>
    <row r="2238" spans="1:37" x14ac:dyDescent="0.2">
      <c r="A2238">
        <v>58737</v>
      </c>
      <c r="B2238" t="s">
        <v>37</v>
      </c>
      <c r="C2238" t="s">
        <v>38</v>
      </c>
      <c r="D2238" t="s">
        <v>169</v>
      </c>
      <c r="E2238" t="s">
        <v>250</v>
      </c>
      <c r="G2238" s="4">
        <v>43946.169050925926</v>
      </c>
      <c r="H2238" s="4">
        <v>43946.1690625</v>
      </c>
      <c r="I2238" t="s">
        <v>50</v>
      </c>
      <c r="J2238" s="5">
        <v>.9999999999999999999999999999999999999996</v>
      </c>
      <c r="K2238" t="s">
        <v>38</v>
      </c>
      <c r="M2238">
        <v>58738</v>
      </c>
      <c r="N2238" t="s">
        <v>250</v>
      </c>
      <c r="O2238" t="s">
        <v>251</v>
      </c>
      <c r="P2238" t="s">
        <v>38</v>
      </c>
      <c r="Q2238" t="s">
        <v>50</v>
      </c>
      <c r="R2238">
        <v>.9999999999999999999999999999999999999996</v>
      </c>
      <c r="S2238" t="s">
        <v>45</v>
      </c>
      <c r="T2238" t="str" s="2">
        <f>=HYPERLINK("http://demo.enginatics.com:80/ecc/user/applications/log/58737.log","http://demo.enginatics.com:80/ecc/user/applications/log/58737.log")</f>
        <v>"http://demo.enginatics.com:80/ecc/user/applications/log/58737.log")</v>
      </c>
      <c r="U2238">
        <v>58739</v>
      </c>
      <c r="V2238" t="s">
        <v>38</v>
      </c>
      <c r="W2238" t="s">
        <v>50</v>
      </c>
      <c r="X2238">
        <v>.9999999999999999999999999999999999999996</v>
      </c>
      <c r="Y2238">
        <v>0</v>
      </c>
      <c r="Z2238" t="s">
        <v>46</v>
      </c>
      <c r="AA2238">
        <v>58740</v>
      </c>
      <c r="AB2238" t="s">
        <v>252</v>
      </c>
      <c r="AC2238" t="s">
        <v>68</v>
      </c>
      <c r="AD2238" t="s">
        <v>38</v>
      </c>
      <c r="AE2238" t="s">
        <v>49</v>
      </c>
      <c r="AF2238" t="s">
        <v>50</v>
      </c>
      <c r="AG2238">
        <v>0</v>
      </c>
      <c r="AH2238">
        <v>0</v>
      </c>
      <c r="AI2238" t="s">
        <v>51</v>
      </c>
      <c r="AJ2238" t="s">
        <v>51</v>
      </c>
      <c r="AK2238" t="s">
        <v>51</v>
      </c>
    </row>
    <row r="2239" spans="1:37" x14ac:dyDescent="0.2">
      <c r="A2239">
        <v>58712</v>
      </c>
      <c r="B2239" t="s">
        <v>37</v>
      </c>
      <c r="C2239" t="s">
        <v>38</v>
      </c>
      <c r="D2239" t="s">
        <v>270</v>
      </c>
      <c r="E2239" t="s">
        <v>40</v>
      </c>
      <c r="G2239" s="4">
        <v>43946.164872685185</v>
      </c>
      <c r="H2239" s="4">
        <v>43946.164953703704</v>
      </c>
      <c r="I2239" t="s">
        <v>247</v>
      </c>
      <c r="J2239" s="5">
        <v>7</v>
      </c>
      <c r="K2239" t="s">
        <v>38</v>
      </c>
      <c r="M2239">
        <v>58734</v>
      </c>
      <c r="N2239" t="s">
        <v>271</v>
      </c>
      <c r="O2239" t="s">
        <v>272</v>
      </c>
      <c r="P2239" t="s">
        <v>38</v>
      </c>
      <c r="Q2239" t="s">
        <v>50</v>
      </c>
      <c r="R2239">
        <v>0</v>
      </c>
      <c r="S2239" t="s">
        <v>45</v>
      </c>
      <c r="T2239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39">
        <v>58735</v>
      </c>
      <c r="V2239" t="s">
        <v>38</v>
      </c>
      <c r="W2239" t="s">
        <v>50</v>
      </c>
      <c r="X2239">
        <v>0</v>
      </c>
      <c r="Y2239">
        <v>0</v>
      </c>
      <c r="Z2239" t="s">
        <v>46</v>
      </c>
      <c r="AA2239">
        <v>58736</v>
      </c>
      <c r="AB2239" t="s">
        <v>273</v>
      </c>
      <c r="AC2239" t="s">
        <v>68</v>
      </c>
      <c r="AD2239" t="s">
        <v>38</v>
      </c>
      <c r="AE2239" t="s">
        <v>49</v>
      </c>
      <c r="AF2239" t="s">
        <v>50</v>
      </c>
      <c r="AG2239">
        <v>0</v>
      </c>
      <c r="AH2239">
        <v>0</v>
      </c>
      <c r="AI2239" t="s">
        <v>51</v>
      </c>
      <c r="AJ2239" t="s">
        <v>51</v>
      </c>
      <c r="AK2239" t="s">
        <v>51</v>
      </c>
    </row>
    <row r="2240" spans="1:37" x14ac:dyDescent="0.2">
      <c r="A2240">
        <v>58712</v>
      </c>
      <c r="B2240" t="s">
        <v>37</v>
      </c>
      <c r="C2240" t="s">
        <v>38</v>
      </c>
      <c r="D2240" t="s">
        <v>270</v>
      </c>
      <c r="E2240" t="s">
        <v>40</v>
      </c>
      <c r="G2240" s="4">
        <v>43946.164872685185</v>
      </c>
      <c r="H2240" s="4">
        <v>43946.164953703704</v>
      </c>
      <c r="I2240" t="s">
        <v>247</v>
      </c>
      <c r="J2240" s="5">
        <v>7</v>
      </c>
      <c r="K2240" t="s">
        <v>38</v>
      </c>
      <c r="M2240">
        <v>58731</v>
      </c>
      <c r="N2240" t="s">
        <v>274</v>
      </c>
      <c r="O2240" t="s">
        <v>275</v>
      </c>
      <c r="P2240" t="s">
        <v>38</v>
      </c>
      <c r="Q2240" t="s">
        <v>50</v>
      </c>
      <c r="R2240">
        <v>0</v>
      </c>
      <c r="S2240" t="s">
        <v>45</v>
      </c>
      <c r="T2240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0">
        <v>58732</v>
      </c>
      <c r="V2240" t="s">
        <v>38</v>
      </c>
      <c r="W2240" t="s">
        <v>50</v>
      </c>
      <c r="X2240">
        <v>0</v>
      </c>
      <c r="Y2240">
        <v>0</v>
      </c>
      <c r="Z2240" t="s">
        <v>46</v>
      </c>
      <c r="AA2240">
        <v>58733</v>
      </c>
      <c r="AB2240" t="s">
        <v>276</v>
      </c>
      <c r="AC2240" t="s">
        <v>68</v>
      </c>
      <c r="AD2240" t="s">
        <v>38</v>
      </c>
      <c r="AE2240" t="s">
        <v>49</v>
      </c>
      <c r="AF2240" t="s">
        <v>50</v>
      </c>
      <c r="AG2240">
        <v>0</v>
      </c>
      <c r="AH2240">
        <v>0</v>
      </c>
      <c r="AI2240" t="s">
        <v>51</v>
      </c>
      <c r="AJ2240" t="s">
        <v>51</v>
      </c>
      <c r="AK2240" t="s">
        <v>51</v>
      </c>
    </row>
    <row r="2241" spans="1:37" x14ac:dyDescent="0.2">
      <c r="A2241">
        <v>58712</v>
      </c>
      <c r="B2241" t="s">
        <v>37</v>
      </c>
      <c r="C2241" t="s">
        <v>38</v>
      </c>
      <c r="D2241" t="s">
        <v>270</v>
      </c>
      <c r="E2241" t="s">
        <v>40</v>
      </c>
      <c r="G2241" s="4">
        <v>43946.164872685185</v>
      </c>
      <c r="H2241" s="4">
        <v>43946.164953703704</v>
      </c>
      <c r="I2241" t="s">
        <v>247</v>
      </c>
      <c r="J2241" s="5">
        <v>7</v>
      </c>
      <c r="K2241" t="s">
        <v>38</v>
      </c>
      <c r="M2241">
        <v>58728</v>
      </c>
      <c r="N2241" t="s">
        <v>277</v>
      </c>
      <c r="O2241" t="s">
        <v>278</v>
      </c>
      <c r="P2241" t="s">
        <v>38</v>
      </c>
      <c r="Q2241" t="s">
        <v>50</v>
      </c>
      <c r="R2241">
        <v>0</v>
      </c>
      <c r="S2241" t="s">
        <v>45</v>
      </c>
      <c r="T2241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1">
        <v>58729</v>
      </c>
      <c r="V2241" t="s">
        <v>38</v>
      </c>
      <c r="W2241" t="s">
        <v>50</v>
      </c>
      <c r="X2241">
        <v>0</v>
      </c>
      <c r="Y2241">
        <v>0</v>
      </c>
      <c r="Z2241" t="s">
        <v>46</v>
      </c>
      <c r="AA2241">
        <v>58730</v>
      </c>
      <c r="AB2241" t="s">
        <v>279</v>
      </c>
      <c r="AC2241" t="s">
        <v>68</v>
      </c>
      <c r="AD2241" t="s">
        <v>38</v>
      </c>
      <c r="AE2241" t="s">
        <v>49</v>
      </c>
      <c r="AF2241" t="s">
        <v>50</v>
      </c>
      <c r="AG2241">
        <v>0</v>
      </c>
      <c r="AH2241">
        <v>0</v>
      </c>
      <c r="AI2241" t="s">
        <v>51</v>
      </c>
      <c r="AJ2241" t="s">
        <v>51</v>
      </c>
      <c r="AK2241" t="s">
        <v>51</v>
      </c>
    </row>
    <row r="2242" spans="1:37" x14ac:dyDescent="0.2">
      <c r="A2242">
        <v>58712</v>
      </c>
      <c r="B2242" t="s">
        <v>37</v>
      </c>
      <c r="C2242" t="s">
        <v>38</v>
      </c>
      <c r="D2242" t="s">
        <v>270</v>
      </c>
      <c r="E2242" t="s">
        <v>40</v>
      </c>
      <c r="G2242" s="4">
        <v>43946.164872685185</v>
      </c>
      <c r="H2242" s="4">
        <v>43946.164953703704</v>
      </c>
      <c r="I2242" t="s">
        <v>247</v>
      </c>
      <c r="J2242" s="5">
        <v>7</v>
      </c>
      <c r="K2242" t="s">
        <v>38</v>
      </c>
      <c r="M2242">
        <v>58725</v>
      </c>
      <c r="N2242" t="s">
        <v>280</v>
      </c>
      <c r="O2242" t="s">
        <v>281</v>
      </c>
      <c r="P2242" t="s">
        <v>38</v>
      </c>
      <c r="Q2242" t="s">
        <v>50</v>
      </c>
      <c r="R2242">
        <v>0</v>
      </c>
      <c r="S2242" t="s">
        <v>45</v>
      </c>
      <c r="T2242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2">
        <v>58726</v>
      </c>
      <c r="V2242" t="s">
        <v>38</v>
      </c>
      <c r="W2242" t="s">
        <v>50</v>
      </c>
      <c r="X2242">
        <v>0</v>
      </c>
      <c r="Y2242">
        <v>0</v>
      </c>
      <c r="Z2242" t="s">
        <v>46</v>
      </c>
      <c r="AA2242">
        <v>58727</v>
      </c>
      <c r="AB2242" t="s">
        <v>282</v>
      </c>
      <c r="AC2242" t="s">
        <v>68</v>
      </c>
      <c r="AD2242" t="s">
        <v>38</v>
      </c>
      <c r="AE2242" t="s">
        <v>49</v>
      </c>
      <c r="AF2242" t="s">
        <v>50</v>
      </c>
      <c r="AG2242">
        <v>0</v>
      </c>
      <c r="AH2242">
        <v>0</v>
      </c>
      <c r="AI2242" t="s">
        <v>51</v>
      </c>
      <c r="AJ2242" t="s">
        <v>51</v>
      </c>
      <c r="AK2242" t="s">
        <v>51</v>
      </c>
    </row>
    <row r="2243" spans="1:37" x14ac:dyDescent="0.2">
      <c r="A2243">
        <v>58712</v>
      </c>
      <c r="B2243" t="s">
        <v>37</v>
      </c>
      <c r="C2243" t="s">
        <v>38</v>
      </c>
      <c r="D2243" t="s">
        <v>270</v>
      </c>
      <c r="E2243" t="s">
        <v>40</v>
      </c>
      <c r="G2243" s="4">
        <v>43946.164872685185</v>
      </c>
      <c r="H2243" s="4">
        <v>43946.164953703704</v>
      </c>
      <c r="I2243" t="s">
        <v>247</v>
      </c>
      <c r="J2243" s="5">
        <v>7</v>
      </c>
      <c r="K2243" t="s">
        <v>38</v>
      </c>
      <c r="M2243">
        <v>58722</v>
      </c>
      <c r="N2243" t="s">
        <v>283</v>
      </c>
      <c r="O2243" t="s">
        <v>284</v>
      </c>
      <c r="P2243" t="s">
        <v>38</v>
      </c>
      <c r="Q2243" t="s">
        <v>75</v>
      </c>
      <c r="R2243">
        <v>6</v>
      </c>
      <c r="S2243" t="s">
        <v>45</v>
      </c>
      <c r="T2243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3">
        <v>58723</v>
      </c>
      <c r="V2243" t="s">
        <v>38</v>
      </c>
      <c r="W2243" t="s">
        <v>75</v>
      </c>
      <c r="X2243">
        <v>6</v>
      </c>
      <c r="Y2243">
        <v>0</v>
      </c>
      <c r="Z2243" t="s">
        <v>46</v>
      </c>
      <c r="AA2243">
        <v>58724</v>
      </c>
      <c r="AB2243" t="s">
        <v>285</v>
      </c>
      <c r="AC2243" t="s">
        <v>68</v>
      </c>
      <c r="AD2243" t="s">
        <v>38</v>
      </c>
      <c r="AE2243" t="s">
        <v>49</v>
      </c>
      <c r="AF2243" t="s">
        <v>75</v>
      </c>
      <c r="AG2243">
        <v>6</v>
      </c>
      <c r="AH2243">
        <v>5</v>
      </c>
      <c r="AI2243" t="s">
        <v>51</v>
      </c>
      <c r="AJ2243" t="s">
        <v>51</v>
      </c>
      <c r="AK2243" t="s">
        <v>51</v>
      </c>
    </row>
    <row r="2244" spans="1:37" x14ac:dyDescent="0.2">
      <c r="A2244">
        <v>58712</v>
      </c>
      <c r="B2244" t="s">
        <v>37</v>
      </c>
      <c r="C2244" t="s">
        <v>38</v>
      </c>
      <c r="D2244" t="s">
        <v>270</v>
      </c>
      <c r="E2244" t="s">
        <v>40</v>
      </c>
      <c r="G2244" s="4">
        <v>43946.164872685185</v>
      </c>
      <c r="H2244" s="4">
        <v>43946.164953703704</v>
      </c>
      <c r="I2244" t="s">
        <v>247</v>
      </c>
      <c r="J2244" s="5">
        <v>7</v>
      </c>
      <c r="K2244" t="s">
        <v>38</v>
      </c>
      <c r="M2244">
        <v>58719</v>
      </c>
      <c r="N2244" t="s">
        <v>286</v>
      </c>
      <c r="O2244" t="s">
        <v>287</v>
      </c>
      <c r="P2244" t="s">
        <v>38</v>
      </c>
      <c r="Q2244" t="s">
        <v>50</v>
      </c>
      <c r="R2244">
        <v>0</v>
      </c>
      <c r="S2244" t="s">
        <v>45</v>
      </c>
      <c r="T2244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4">
        <v>58720</v>
      </c>
      <c r="V2244" t="s">
        <v>38</v>
      </c>
      <c r="W2244" t="s">
        <v>50</v>
      </c>
      <c r="X2244">
        <v>0</v>
      </c>
      <c r="Y2244">
        <v>0</v>
      </c>
      <c r="Z2244" t="s">
        <v>46</v>
      </c>
      <c r="AA2244">
        <v>58721</v>
      </c>
      <c r="AB2244" t="s">
        <v>288</v>
      </c>
      <c r="AC2244" t="s">
        <v>68</v>
      </c>
      <c r="AD2244" t="s">
        <v>38</v>
      </c>
      <c r="AE2244" t="s">
        <v>49</v>
      </c>
      <c r="AF2244" t="s">
        <v>50</v>
      </c>
      <c r="AG2244">
        <v>0</v>
      </c>
      <c r="AH2244">
        <v>0</v>
      </c>
      <c r="AI2244" t="s">
        <v>51</v>
      </c>
      <c r="AJ2244" t="s">
        <v>51</v>
      </c>
      <c r="AK2244" t="s">
        <v>51</v>
      </c>
    </row>
    <row r="2245" spans="1:37" x14ac:dyDescent="0.2">
      <c r="A2245">
        <v>58712</v>
      </c>
      <c r="B2245" t="s">
        <v>37</v>
      </c>
      <c r="C2245" t="s">
        <v>38</v>
      </c>
      <c r="D2245" t="s">
        <v>270</v>
      </c>
      <c r="E2245" t="s">
        <v>40</v>
      </c>
      <c r="G2245" s="4">
        <v>43946.164872685185</v>
      </c>
      <c r="H2245" s="4">
        <v>43946.164953703704</v>
      </c>
      <c r="I2245" t="s">
        <v>247</v>
      </c>
      <c r="J2245" s="5">
        <v>7</v>
      </c>
      <c r="K2245" t="s">
        <v>38</v>
      </c>
      <c r="M2245">
        <v>58716</v>
      </c>
      <c r="N2245" t="s">
        <v>289</v>
      </c>
      <c r="O2245" t="s">
        <v>290</v>
      </c>
      <c r="P2245" t="s">
        <v>38</v>
      </c>
      <c r="Q2245" t="s">
        <v>50</v>
      </c>
      <c r="R2245">
        <v>0</v>
      </c>
      <c r="S2245" t="s">
        <v>45</v>
      </c>
      <c r="T2245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5">
        <v>58717</v>
      </c>
      <c r="V2245" t="s">
        <v>38</v>
      </c>
      <c r="W2245" t="s">
        <v>50</v>
      </c>
      <c r="X2245">
        <v>0</v>
      </c>
      <c r="Y2245">
        <v>0</v>
      </c>
      <c r="Z2245" t="s">
        <v>46</v>
      </c>
      <c r="AA2245">
        <v>58718</v>
      </c>
      <c r="AB2245" t="s">
        <v>291</v>
      </c>
      <c r="AC2245" t="s">
        <v>68</v>
      </c>
      <c r="AD2245" t="s">
        <v>38</v>
      </c>
      <c r="AE2245" t="s">
        <v>49</v>
      </c>
      <c r="AF2245" t="s">
        <v>50</v>
      </c>
      <c r="AG2245">
        <v>0</v>
      </c>
      <c r="AH2245">
        <v>0</v>
      </c>
      <c r="AI2245" t="s">
        <v>51</v>
      </c>
      <c r="AJ2245" t="s">
        <v>51</v>
      </c>
      <c r="AK2245" t="s">
        <v>51</v>
      </c>
    </row>
    <row r="2246" spans="1:37" x14ac:dyDescent="0.2">
      <c r="A2246">
        <v>58712</v>
      </c>
      <c r="B2246" t="s">
        <v>37</v>
      </c>
      <c r="C2246" t="s">
        <v>38</v>
      </c>
      <c r="D2246" t="s">
        <v>270</v>
      </c>
      <c r="E2246" t="s">
        <v>40</v>
      </c>
      <c r="G2246" s="4">
        <v>43946.164872685185</v>
      </c>
      <c r="H2246" s="4">
        <v>43946.164953703704</v>
      </c>
      <c r="I2246" t="s">
        <v>247</v>
      </c>
      <c r="J2246" s="5">
        <v>7</v>
      </c>
      <c r="K2246" t="s">
        <v>38</v>
      </c>
      <c r="M2246">
        <v>58713</v>
      </c>
      <c r="N2246" t="s">
        <v>292</v>
      </c>
      <c r="O2246" t="s">
        <v>293</v>
      </c>
      <c r="P2246" t="s">
        <v>38</v>
      </c>
      <c r="Q2246" t="s">
        <v>50</v>
      </c>
      <c r="R2246">
        <v>.9999999999999999999999999999999999999996</v>
      </c>
      <c r="S2246" t="s">
        <v>45</v>
      </c>
      <c r="T2246" t="str" s="2">
        <f>=HYPERLINK("http://demo.enginatics.com:80/ecc/user/applications/log/58712.log","http://demo.enginatics.com:80/ecc/user/applications/log/58712.log")</f>
        <v>"http://demo.enginatics.com:80/ecc/user/applications/log/58712.log")</v>
      </c>
      <c r="U2246">
        <v>58714</v>
      </c>
      <c r="V2246" t="s">
        <v>38</v>
      </c>
      <c r="W2246" t="s">
        <v>50</v>
      </c>
      <c r="X2246">
        <v>.9999999999999999999999999999999999999996</v>
      </c>
      <c r="Y2246">
        <v>0</v>
      </c>
      <c r="Z2246" t="s">
        <v>46</v>
      </c>
      <c r="AA2246">
        <v>58715</v>
      </c>
      <c r="AB2246" t="s">
        <v>294</v>
      </c>
      <c r="AC2246" t="s">
        <v>68</v>
      </c>
      <c r="AD2246" t="s">
        <v>38</v>
      </c>
      <c r="AE2246" t="s">
        <v>49</v>
      </c>
      <c r="AF2246" t="s">
        <v>50</v>
      </c>
      <c r="AG2246">
        <v>0</v>
      </c>
      <c r="AH2246">
        <v>0</v>
      </c>
      <c r="AI2246" t="s">
        <v>51</v>
      </c>
      <c r="AJ2246" t="s">
        <v>51</v>
      </c>
      <c r="AK2246" t="s">
        <v>51</v>
      </c>
    </row>
    <row r="2247" spans="1:37" x14ac:dyDescent="0.2">
      <c r="A2247">
        <v>58708</v>
      </c>
      <c r="B2247" t="s">
        <v>37</v>
      </c>
      <c r="C2247" t="s">
        <v>38</v>
      </c>
      <c r="D2247" t="s">
        <v>253</v>
      </c>
      <c r="E2247" t="s">
        <v>254</v>
      </c>
      <c r="G2247" s="4">
        <v>43946.163217592593</v>
      </c>
      <c r="H2247" s="4">
        <v>43946.163217592593</v>
      </c>
      <c r="I2247" t="s">
        <v>50</v>
      </c>
      <c r="J2247" s="5">
        <v>0</v>
      </c>
      <c r="K2247" t="s">
        <v>38</v>
      </c>
      <c r="M2247">
        <v>58709</v>
      </c>
      <c r="N2247" t="s">
        <v>254</v>
      </c>
      <c r="O2247" t="s">
        <v>255</v>
      </c>
      <c r="P2247" t="s">
        <v>38</v>
      </c>
      <c r="Q2247" t="s">
        <v>50</v>
      </c>
      <c r="R2247">
        <v>0</v>
      </c>
      <c r="S2247" t="s">
        <v>45</v>
      </c>
      <c r="T2247" t="str" s="2">
        <f>=HYPERLINK("http://demo.enginatics.com:80/ecc/user/applications/log/58708.log","http://demo.enginatics.com:80/ecc/user/applications/log/58708.log")</f>
        <v>"http://demo.enginatics.com:80/ecc/user/applications/log/58708.log")</v>
      </c>
      <c r="U2247">
        <v>58710</v>
      </c>
      <c r="V2247" t="s">
        <v>38</v>
      </c>
      <c r="W2247" t="s">
        <v>50</v>
      </c>
      <c r="X2247">
        <v>0</v>
      </c>
      <c r="Y2247">
        <v>0</v>
      </c>
      <c r="Z2247" t="s">
        <v>46</v>
      </c>
      <c r="AA2247">
        <v>58711</v>
      </c>
      <c r="AB2247" t="s">
        <v>1878</v>
      </c>
      <c r="AC2247" t="s">
        <v>68</v>
      </c>
      <c r="AD2247" t="s">
        <v>38</v>
      </c>
      <c r="AE2247" t="s">
        <v>49</v>
      </c>
      <c r="AF2247" t="s">
        <v>50</v>
      </c>
      <c r="AG2247">
        <v>0</v>
      </c>
      <c r="AH2247">
        <v>0</v>
      </c>
      <c r="AI2247" t="s">
        <v>51</v>
      </c>
      <c r="AJ2247" t="s">
        <v>51</v>
      </c>
      <c r="AK2247" t="s">
        <v>51</v>
      </c>
    </row>
    <row r="2248" spans="1:37" x14ac:dyDescent="0.2">
      <c r="A2248">
        <v>58704</v>
      </c>
      <c r="B2248" t="s">
        <v>37</v>
      </c>
      <c r="C2248" t="s">
        <v>38</v>
      </c>
      <c r="D2248" t="s">
        <v>253</v>
      </c>
      <c r="E2248" t="s">
        <v>257</v>
      </c>
      <c r="G2248" s="4">
        <v>43946.163043981481</v>
      </c>
      <c r="H2248" s="4">
        <v>43946.163101851852</v>
      </c>
      <c r="I2248" t="s">
        <v>78</v>
      </c>
      <c r="J2248" s="5">
        <v>5</v>
      </c>
      <c r="K2248" t="s">
        <v>38</v>
      </c>
      <c r="M2248">
        <v>58705</v>
      </c>
      <c r="N2248" t="s">
        <v>257</v>
      </c>
      <c r="O2248" t="s">
        <v>258</v>
      </c>
      <c r="P2248" t="s">
        <v>38</v>
      </c>
      <c r="Q2248" t="s">
        <v>78</v>
      </c>
      <c r="R2248">
        <v>5</v>
      </c>
      <c r="S2248" t="s">
        <v>45</v>
      </c>
      <c r="T2248" t="str" s="2">
        <f>=HYPERLINK("http://demo.enginatics.com:80/ecc/user/applications/log/58704.log","http://demo.enginatics.com:80/ecc/user/applications/log/58704.log")</f>
        <v>"http://demo.enginatics.com:80/ecc/user/applications/log/58704.log")</v>
      </c>
      <c r="U2248">
        <v>58706</v>
      </c>
      <c r="V2248" t="s">
        <v>38</v>
      </c>
      <c r="W2248" t="s">
        <v>78</v>
      </c>
      <c r="X2248">
        <v>5</v>
      </c>
      <c r="Y2248">
        <v>0</v>
      </c>
      <c r="Z2248" t="s">
        <v>46</v>
      </c>
      <c r="AA2248">
        <v>58707</v>
      </c>
      <c r="AB2248" t="s">
        <v>1640</v>
      </c>
      <c r="AC2248" t="s">
        <v>68</v>
      </c>
      <c r="AD2248" t="s">
        <v>38</v>
      </c>
      <c r="AE2248" t="s">
        <v>260</v>
      </c>
      <c r="AF2248" t="s">
        <v>78</v>
      </c>
      <c r="AG2248">
        <v>5</v>
      </c>
      <c r="AH2248">
        <v>2</v>
      </c>
      <c r="AI2248" t="s">
        <v>261</v>
      </c>
      <c r="AJ2248" t="s">
        <v>51</v>
      </c>
      <c r="AK2248" t="s">
        <v>261</v>
      </c>
    </row>
    <row r="2249" spans="1:37" x14ac:dyDescent="0.2">
      <c r="A2249">
        <v>58699</v>
      </c>
      <c r="B2249" t="s">
        <v>37</v>
      </c>
      <c r="C2249" t="s">
        <v>38</v>
      </c>
      <c r="D2249" t="s">
        <v>253</v>
      </c>
      <c r="E2249" t="s">
        <v>262</v>
      </c>
      <c r="G2249" s="4">
        <v>43946.162905092593</v>
      </c>
      <c r="H2249" s="4">
        <v>43946.162916666667</v>
      </c>
      <c r="I2249" t="s">
        <v>50</v>
      </c>
      <c r="J2249" s="5">
        <v>.9999999999999999999999999999999999999996</v>
      </c>
      <c r="K2249" t="s">
        <v>38</v>
      </c>
      <c r="M2249">
        <v>58700</v>
      </c>
      <c r="N2249" t="s">
        <v>262</v>
      </c>
      <c r="O2249" t="s">
        <v>263</v>
      </c>
      <c r="P2249" t="s">
        <v>38</v>
      </c>
      <c r="Q2249" t="s">
        <v>50</v>
      </c>
      <c r="R2249">
        <v>.9999999999999999999999999999999999999996</v>
      </c>
      <c r="S2249" t="s">
        <v>45</v>
      </c>
      <c r="T2249" t="str" s="2">
        <f>=HYPERLINK("http://demo.enginatics.com:80/ecc/user/applications/log/58699.log","http://demo.enginatics.com:80/ecc/user/applications/log/58699.log")</f>
        <v>"http://demo.enginatics.com:80/ecc/user/applications/log/58699.log")</v>
      </c>
      <c r="U2249">
        <v>58701</v>
      </c>
      <c r="V2249" t="s">
        <v>38</v>
      </c>
      <c r="W2249" t="s">
        <v>50</v>
      </c>
      <c r="X2249">
        <v>.9999999999999999999999999999999999999996</v>
      </c>
      <c r="Y2249">
        <v>0</v>
      </c>
      <c r="Z2249" t="s">
        <v>46</v>
      </c>
      <c r="AA2249">
        <v>58703</v>
      </c>
      <c r="AB2249" t="s">
        <v>264</v>
      </c>
      <c r="AC2249" t="s">
        <v>68</v>
      </c>
      <c r="AD2249" t="s">
        <v>38</v>
      </c>
      <c r="AE2249" t="s">
        <v>49</v>
      </c>
      <c r="AF2249" t="s">
        <v>50</v>
      </c>
      <c r="AG2249">
        <v>0</v>
      </c>
      <c r="AH2249">
        <v>0</v>
      </c>
      <c r="AI2249" t="s">
        <v>51</v>
      </c>
      <c r="AJ2249" t="s">
        <v>51</v>
      </c>
      <c r="AK2249" t="s">
        <v>51</v>
      </c>
    </row>
    <row r="2250" spans="1:37" x14ac:dyDescent="0.2">
      <c r="A2250">
        <v>58699</v>
      </c>
      <c r="B2250" t="s">
        <v>37</v>
      </c>
      <c r="C2250" t="s">
        <v>38</v>
      </c>
      <c r="D2250" t="s">
        <v>253</v>
      </c>
      <c r="E2250" t="s">
        <v>262</v>
      </c>
      <c r="G2250" s="4">
        <v>43946.162905092593</v>
      </c>
      <c r="H2250" s="4">
        <v>43946.162916666667</v>
      </c>
      <c r="I2250" t="s">
        <v>50</v>
      </c>
      <c r="J2250" s="5">
        <v>.9999999999999999999999999999999999999996</v>
      </c>
      <c r="K2250" t="s">
        <v>38</v>
      </c>
      <c r="M2250">
        <v>58700</v>
      </c>
      <c r="N2250" t="s">
        <v>262</v>
      </c>
      <c r="O2250" t="s">
        <v>263</v>
      </c>
      <c r="P2250" t="s">
        <v>38</v>
      </c>
      <c r="Q2250" t="s">
        <v>50</v>
      </c>
      <c r="R2250">
        <v>.9999999999999999999999999999999999999996</v>
      </c>
      <c r="S2250" t="s">
        <v>45</v>
      </c>
      <c r="T2250" t="str" s="2">
        <f>=HYPERLINK("http://demo.enginatics.com:80/ecc/user/applications/log/58699.log","http://demo.enginatics.com:80/ecc/user/applications/log/58699.log")</f>
        <v>"http://demo.enginatics.com:80/ecc/user/applications/log/58699.log")</v>
      </c>
      <c r="U2250">
        <v>58701</v>
      </c>
      <c r="V2250" t="s">
        <v>38</v>
      </c>
      <c r="W2250" t="s">
        <v>50</v>
      </c>
      <c r="X2250">
        <v>.9999999999999999999999999999999999999996</v>
      </c>
      <c r="Y2250">
        <v>0</v>
      </c>
      <c r="Z2250" t="s">
        <v>46</v>
      </c>
      <c r="AA2250">
        <v>58702</v>
      </c>
      <c r="AB2250" t="s">
        <v>1879</v>
      </c>
      <c r="AC2250" t="s">
        <v>56</v>
      </c>
      <c r="AD2250" t="s">
        <v>38</v>
      </c>
      <c r="AE2250" t="s">
        <v>49</v>
      </c>
      <c r="AF2250" t="s">
        <v>50</v>
      </c>
      <c r="AG2250">
        <v>0</v>
      </c>
      <c r="AH2250">
        <v>0</v>
      </c>
      <c r="AI2250" t="s">
        <v>51</v>
      </c>
      <c r="AJ2250" t="s">
        <v>51</v>
      </c>
      <c r="AK2250" t="s">
        <v>51</v>
      </c>
    </row>
    <row r="2251" spans="1:37" x14ac:dyDescent="0.2">
      <c r="A2251">
        <v>58693</v>
      </c>
      <c r="B2251" t="s">
        <v>37</v>
      </c>
      <c r="C2251" t="s">
        <v>38</v>
      </c>
      <c r="D2251" t="s">
        <v>253</v>
      </c>
      <c r="E2251" t="s">
        <v>266</v>
      </c>
      <c r="G2251" s="4">
        <v>43946.1628125</v>
      </c>
      <c r="H2251" s="4">
        <v>43946.162824074074</v>
      </c>
      <c r="I2251" t="s">
        <v>50</v>
      </c>
      <c r="J2251" s="5">
        <v>.9999999999999999999999999999999999999996</v>
      </c>
      <c r="K2251" t="s">
        <v>38</v>
      </c>
      <c r="M2251">
        <v>58694</v>
      </c>
      <c r="N2251" t="s">
        <v>266</v>
      </c>
      <c r="O2251" t="s">
        <v>267</v>
      </c>
      <c r="P2251" t="s">
        <v>38</v>
      </c>
      <c r="Q2251" t="s">
        <v>50</v>
      </c>
      <c r="R2251">
        <v>.9999999999999999999999999999999999999996</v>
      </c>
      <c r="S2251" t="s">
        <v>45</v>
      </c>
      <c r="T2251" t="str" s="2">
        <f>=HYPERLINK("http://demo.enginatics.com:80/ecc/user/applications/log/58693.log","http://demo.enginatics.com:80/ecc/user/applications/log/58693.log")</f>
        <v>"http://demo.enginatics.com:80/ecc/user/applications/log/58693.log")</v>
      </c>
      <c r="U2251">
        <v>58697</v>
      </c>
      <c r="V2251" t="s">
        <v>38</v>
      </c>
      <c r="W2251" t="s">
        <v>50</v>
      </c>
      <c r="X2251">
        <v>.9999999999999999999999999999999999999996</v>
      </c>
      <c r="Y2251">
        <v>0</v>
      </c>
      <c r="Z2251" t="s">
        <v>46</v>
      </c>
      <c r="AA2251">
        <v>58698</v>
      </c>
      <c r="AB2251" t="s">
        <v>268</v>
      </c>
      <c r="AC2251" t="s">
        <v>48</v>
      </c>
      <c r="AD2251" t="s">
        <v>38</v>
      </c>
      <c r="AE2251" t="s">
        <v>49</v>
      </c>
      <c r="AF2251" t="s">
        <v>50</v>
      </c>
      <c r="AG2251">
        <v>0</v>
      </c>
      <c r="AH2251">
        <v>0</v>
      </c>
      <c r="AI2251" t="s">
        <v>51</v>
      </c>
      <c r="AJ2251" t="s">
        <v>51</v>
      </c>
      <c r="AK2251" t="s">
        <v>51</v>
      </c>
    </row>
    <row r="2252" spans="1:37" x14ac:dyDescent="0.2">
      <c r="A2252">
        <v>58693</v>
      </c>
      <c r="B2252" t="s">
        <v>37</v>
      </c>
      <c r="C2252" t="s">
        <v>38</v>
      </c>
      <c r="D2252" t="s">
        <v>253</v>
      </c>
      <c r="E2252" t="s">
        <v>266</v>
      </c>
      <c r="G2252" s="4">
        <v>43946.1628125</v>
      </c>
      <c r="H2252" s="4">
        <v>43946.162824074074</v>
      </c>
      <c r="I2252" t="s">
        <v>50</v>
      </c>
      <c r="J2252" s="5">
        <v>.9999999999999999999999999999999999999996</v>
      </c>
      <c r="K2252" t="s">
        <v>38</v>
      </c>
      <c r="M2252">
        <v>58694</v>
      </c>
      <c r="N2252" t="s">
        <v>266</v>
      </c>
      <c r="O2252" t="s">
        <v>267</v>
      </c>
      <c r="P2252" t="s">
        <v>38</v>
      </c>
      <c r="Q2252" t="s">
        <v>50</v>
      </c>
      <c r="R2252">
        <v>.9999999999999999999999999999999999999996</v>
      </c>
      <c r="S2252" t="s">
        <v>45</v>
      </c>
      <c r="T2252" t="str" s="2">
        <f>=HYPERLINK("http://demo.enginatics.com:80/ecc/user/applications/log/58693.log","http://demo.enginatics.com:80/ecc/user/applications/log/58693.log")</f>
        <v>"http://demo.enginatics.com:80/ecc/user/applications/log/58693.log")</v>
      </c>
      <c r="U2252">
        <v>58695</v>
      </c>
      <c r="V2252" t="s">
        <v>38</v>
      </c>
      <c r="W2252" t="s">
        <v>50</v>
      </c>
      <c r="X2252">
        <v>0</v>
      </c>
      <c r="Y2252">
        <v>0</v>
      </c>
      <c r="Z2252" t="s">
        <v>46</v>
      </c>
      <c r="AA2252">
        <v>58696</v>
      </c>
      <c r="AB2252" t="s">
        <v>269</v>
      </c>
      <c r="AC2252" t="s">
        <v>56</v>
      </c>
      <c r="AD2252" t="s">
        <v>38</v>
      </c>
      <c r="AE2252" t="s">
        <v>49</v>
      </c>
      <c r="AF2252" t="s">
        <v>50</v>
      </c>
      <c r="AG2252">
        <v>0</v>
      </c>
      <c r="AH2252">
        <v>0</v>
      </c>
      <c r="AI2252" t="s">
        <v>51</v>
      </c>
      <c r="AJ2252" t="s">
        <v>51</v>
      </c>
      <c r="AK2252" t="s">
        <v>51</v>
      </c>
    </row>
    <row r="2253" spans="1:37" x14ac:dyDescent="0.2">
      <c r="A2253">
        <v>58686</v>
      </c>
      <c r="B2253" t="s">
        <v>37</v>
      </c>
      <c r="C2253" t="s">
        <v>38</v>
      </c>
      <c r="D2253" t="s">
        <v>295</v>
      </c>
      <c r="E2253" t="s">
        <v>296</v>
      </c>
      <c r="G2253" s="4">
        <v>43946.162094907407</v>
      </c>
      <c r="H2253" s="4">
        <v>43946.162141203704</v>
      </c>
      <c r="I2253" t="s">
        <v>44</v>
      </c>
      <c r="J2253" s="5">
        <v>4</v>
      </c>
      <c r="K2253" t="s">
        <v>38</v>
      </c>
      <c r="M2253">
        <v>58688</v>
      </c>
      <c r="N2253" t="s">
        <v>296</v>
      </c>
      <c r="O2253" t="s">
        <v>297</v>
      </c>
      <c r="P2253" t="s">
        <v>38</v>
      </c>
      <c r="Q2253" t="s">
        <v>50</v>
      </c>
      <c r="R2253">
        <v>0</v>
      </c>
      <c r="S2253" t="s">
        <v>45</v>
      </c>
      <c r="T2253" t="str" s="2">
        <f>=HYPERLINK("http://demo.enginatics.com:80/ecc/user/applications/log/58686.log","http://demo.enginatics.com:80/ecc/user/applications/log/58686.log")</f>
        <v>"http://demo.enginatics.com:80/ecc/user/applications/log/58686.log")</v>
      </c>
      <c r="U2253">
        <v>58689</v>
      </c>
      <c r="V2253" t="s">
        <v>38</v>
      </c>
      <c r="W2253" t="s">
        <v>50</v>
      </c>
      <c r="X2253">
        <v>0</v>
      </c>
      <c r="Y2253">
        <v>0</v>
      </c>
      <c r="Z2253" t="s">
        <v>46</v>
      </c>
      <c r="AA2253">
        <v>58690</v>
      </c>
      <c r="AB2253" t="s">
        <v>1880</v>
      </c>
      <c r="AC2253" t="s">
        <v>68</v>
      </c>
      <c r="AD2253" t="s">
        <v>38</v>
      </c>
      <c r="AE2253" t="s">
        <v>49</v>
      </c>
      <c r="AF2253" t="s">
        <v>50</v>
      </c>
      <c r="AG2253">
        <v>0</v>
      </c>
      <c r="AH2253">
        <v>0</v>
      </c>
      <c r="AI2253" t="s">
        <v>51</v>
      </c>
      <c r="AJ2253" t="s">
        <v>51</v>
      </c>
      <c r="AK2253" t="s">
        <v>51</v>
      </c>
    </row>
    <row r="2254" spans="1:37" x14ac:dyDescent="0.2">
      <c r="A2254">
        <v>58683</v>
      </c>
      <c r="B2254" t="s">
        <v>37</v>
      </c>
      <c r="C2254" t="s">
        <v>38</v>
      </c>
      <c r="D2254" t="s">
        <v>295</v>
      </c>
      <c r="E2254" t="s">
        <v>299</v>
      </c>
      <c r="G2254" s="4">
        <v>43946.162048611111</v>
      </c>
      <c r="H2254" s="4">
        <v>43946.162175925926</v>
      </c>
      <c r="I2254" t="s">
        <v>337</v>
      </c>
      <c r="J2254" s="5">
        <v>11.00000000000000000000000000000000000002</v>
      </c>
      <c r="K2254" t="s">
        <v>38</v>
      </c>
      <c r="M2254">
        <v>58684</v>
      </c>
      <c r="N2254" t="s">
        <v>299</v>
      </c>
      <c r="O2254" t="s">
        <v>301</v>
      </c>
      <c r="P2254" t="s">
        <v>38</v>
      </c>
      <c r="Q2254" t="s">
        <v>337</v>
      </c>
      <c r="R2254">
        <v>11.00000000000000000000000000000000000002</v>
      </c>
      <c r="S2254" t="s">
        <v>45</v>
      </c>
      <c r="T2254" t="str" s="2">
        <f>=HYPERLINK("http://demo.enginatics.com:80/ecc/user/applications/log/58683.log","http://demo.enginatics.com:80/ecc/user/applications/log/58683.log")</f>
        <v>"http://demo.enginatics.com:80/ecc/user/applications/log/58683.log")</v>
      </c>
      <c r="U2254">
        <v>58685</v>
      </c>
      <c r="V2254" t="s">
        <v>38</v>
      </c>
      <c r="W2254" t="s">
        <v>300</v>
      </c>
      <c r="X2254">
        <v>10.00000000000000000000000000000000000002</v>
      </c>
      <c r="Y2254">
        <v>10</v>
      </c>
      <c r="Z2254" t="s">
        <v>46</v>
      </c>
      <c r="AA2254">
        <v>58692</v>
      </c>
      <c r="AB2254" t="s">
        <v>302</v>
      </c>
      <c r="AC2254" t="s">
        <v>68</v>
      </c>
      <c r="AD2254" t="s">
        <v>38</v>
      </c>
      <c r="AE2254" t="s">
        <v>49</v>
      </c>
      <c r="AF2254" t="s">
        <v>50</v>
      </c>
      <c r="AG2254">
        <v>0</v>
      </c>
      <c r="AH2254">
        <v>0</v>
      </c>
      <c r="AI2254" t="s">
        <v>51</v>
      </c>
      <c r="AJ2254" t="s">
        <v>51</v>
      </c>
      <c r="AK2254" t="s">
        <v>51</v>
      </c>
    </row>
    <row r="2255" spans="1:37" x14ac:dyDescent="0.2">
      <c r="A2255">
        <v>58683</v>
      </c>
      <c r="B2255" t="s">
        <v>37</v>
      </c>
      <c r="C2255" t="s">
        <v>38</v>
      </c>
      <c r="D2255" t="s">
        <v>295</v>
      </c>
      <c r="E2255" t="s">
        <v>299</v>
      </c>
      <c r="G2255" s="4">
        <v>43946.162048611111</v>
      </c>
      <c r="H2255" s="4">
        <v>43946.162175925926</v>
      </c>
      <c r="I2255" t="s">
        <v>337</v>
      </c>
      <c r="J2255" s="5">
        <v>11.00000000000000000000000000000000000002</v>
      </c>
      <c r="K2255" t="s">
        <v>38</v>
      </c>
      <c r="M2255">
        <v>58684</v>
      </c>
      <c r="N2255" t="s">
        <v>299</v>
      </c>
      <c r="O2255" t="s">
        <v>301</v>
      </c>
      <c r="P2255" t="s">
        <v>38</v>
      </c>
      <c r="Q2255" t="s">
        <v>337</v>
      </c>
      <c r="R2255">
        <v>11.00000000000000000000000000000000000002</v>
      </c>
      <c r="S2255" t="s">
        <v>45</v>
      </c>
      <c r="T2255" t="str" s="2">
        <f>=HYPERLINK("http://demo.enginatics.com:80/ecc/user/applications/log/58683.log","http://demo.enginatics.com:80/ecc/user/applications/log/58683.log")</f>
        <v>"http://demo.enginatics.com:80/ecc/user/applications/log/58683.log")</v>
      </c>
      <c r="U2255">
        <v>58685</v>
      </c>
      <c r="V2255" t="s">
        <v>38</v>
      </c>
      <c r="W2255" t="s">
        <v>300</v>
      </c>
      <c r="X2255">
        <v>10.00000000000000000000000000000000000002</v>
      </c>
      <c r="Y2255">
        <v>10</v>
      </c>
      <c r="Z2255" t="s">
        <v>46</v>
      </c>
      <c r="AA2255">
        <v>58691</v>
      </c>
      <c r="AB2255" t="s">
        <v>303</v>
      </c>
      <c r="AC2255" t="s">
        <v>56</v>
      </c>
      <c r="AD2255" t="s">
        <v>38</v>
      </c>
      <c r="AE2255" t="s">
        <v>49</v>
      </c>
      <c r="AF2255" t="s">
        <v>50</v>
      </c>
      <c r="AG2255">
        <v>0</v>
      </c>
      <c r="AH2255">
        <v>0</v>
      </c>
      <c r="AI2255" t="s">
        <v>51</v>
      </c>
      <c r="AJ2255" t="s">
        <v>51</v>
      </c>
      <c r="AK2255" t="s">
        <v>51</v>
      </c>
    </row>
    <row r="2256" spans="1:37" x14ac:dyDescent="0.2">
      <c r="A2256">
        <v>58678</v>
      </c>
      <c r="B2256" t="s">
        <v>37</v>
      </c>
      <c r="C2256" t="s">
        <v>38</v>
      </c>
      <c r="D2256" t="s">
        <v>295</v>
      </c>
      <c r="E2256" t="s">
        <v>304</v>
      </c>
      <c r="G2256" s="4">
        <v>43946.161944444444</v>
      </c>
      <c r="H2256" s="4">
        <v>43946.161967592593</v>
      </c>
      <c r="I2256" t="s">
        <v>88</v>
      </c>
      <c r="J2256" s="5">
        <v>2</v>
      </c>
      <c r="K2256" t="s">
        <v>38</v>
      </c>
      <c r="M2256">
        <v>58679</v>
      </c>
      <c r="N2256" t="s">
        <v>304</v>
      </c>
      <c r="O2256" t="s">
        <v>305</v>
      </c>
      <c r="P2256" t="s">
        <v>38</v>
      </c>
      <c r="Q2256" t="s">
        <v>88</v>
      </c>
      <c r="R2256">
        <v>2</v>
      </c>
      <c r="S2256" t="s">
        <v>45</v>
      </c>
      <c r="T2256" t="str" s="2">
        <f>=HYPERLINK("http://demo.enginatics.com:80/ecc/user/applications/log/58678.log","http://demo.enginatics.com:80/ecc/user/applications/log/58678.log")</f>
        <v>"http://demo.enginatics.com:80/ecc/user/applications/log/58678.log")</v>
      </c>
      <c r="U2256">
        <v>58680</v>
      </c>
      <c r="V2256" t="s">
        <v>38</v>
      </c>
      <c r="W2256" t="s">
        <v>88</v>
      </c>
      <c r="X2256">
        <v>2</v>
      </c>
      <c r="Y2256">
        <v>1</v>
      </c>
      <c r="Z2256" t="s">
        <v>46</v>
      </c>
      <c r="AA2256">
        <v>58681</v>
      </c>
      <c r="AB2256" t="s">
        <v>306</v>
      </c>
      <c r="AC2256" t="s">
        <v>68</v>
      </c>
      <c r="AD2256" t="s">
        <v>38</v>
      </c>
      <c r="AE2256" t="s">
        <v>49</v>
      </c>
      <c r="AF2256" t="s">
        <v>50</v>
      </c>
      <c r="AG2256">
        <v>0</v>
      </c>
      <c r="AH2256">
        <v>0</v>
      </c>
      <c r="AI2256" t="s">
        <v>51</v>
      </c>
      <c r="AJ2256" t="s">
        <v>51</v>
      </c>
      <c r="AK2256" t="s">
        <v>51</v>
      </c>
    </row>
    <row r="2257" spans="1:37" x14ac:dyDescent="0.2">
      <c r="A2257">
        <v>58671</v>
      </c>
      <c r="B2257" t="s">
        <v>37</v>
      </c>
      <c r="C2257" t="s">
        <v>38</v>
      </c>
      <c r="D2257" t="s">
        <v>307</v>
      </c>
      <c r="E2257" t="s">
        <v>40</v>
      </c>
      <c r="G2257" s="4">
        <v>43946.161863425926</v>
      </c>
      <c r="H2257" s="4">
        <v>43946.162141203704</v>
      </c>
      <c r="I2257" t="s">
        <v>1153</v>
      </c>
      <c r="J2257" s="5">
        <v>24.00000000000000000000000000000000000002</v>
      </c>
      <c r="K2257" t="s">
        <v>38</v>
      </c>
      <c r="M2257">
        <v>58675</v>
      </c>
      <c r="N2257" t="s">
        <v>309</v>
      </c>
      <c r="O2257" t="s">
        <v>310</v>
      </c>
      <c r="P2257" t="s">
        <v>38</v>
      </c>
      <c r="Q2257" t="s">
        <v>1153</v>
      </c>
      <c r="R2257">
        <v>24.00000000000000000000000000000000000002</v>
      </c>
      <c r="S2257" t="s">
        <v>45</v>
      </c>
      <c r="T2257" t="str" s="2">
        <f>=HYPERLINK("http://demo.enginatics.com:80/ecc/user/applications/log/58671.log","http://demo.enginatics.com:80/ecc/user/applications/log/58671.log")</f>
        <v>"http://demo.enginatics.com:80/ecc/user/applications/log/58671.log")</v>
      </c>
      <c r="U2257">
        <v>58676</v>
      </c>
      <c r="V2257" t="s">
        <v>38</v>
      </c>
      <c r="W2257" t="s">
        <v>1153</v>
      </c>
      <c r="X2257">
        <v>24.00000000000000000000000000000000000002</v>
      </c>
      <c r="Y2257">
        <v>0</v>
      </c>
      <c r="Z2257" t="s">
        <v>46</v>
      </c>
      <c r="AA2257">
        <v>58687</v>
      </c>
      <c r="AB2257" t="s">
        <v>1881</v>
      </c>
      <c r="AC2257" t="s">
        <v>56</v>
      </c>
      <c r="AD2257" t="s">
        <v>38</v>
      </c>
      <c r="AE2257" t="s">
        <v>49</v>
      </c>
      <c r="AF2257" t="s">
        <v>50</v>
      </c>
      <c r="AG2257">
        <v>0</v>
      </c>
      <c r="AH2257">
        <v>0</v>
      </c>
      <c r="AI2257" t="s">
        <v>51</v>
      </c>
      <c r="AJ2257" t="s">
        <v>51</v>
      </c>
      <c r="AK2257" t="s">
        <v>51</v>
      </c>
    </row>
    <row r="2258" spans="1:37" x14ac:dyDescent="0.2">
      <c r="A2258">
        <v>58671</v>
      </c>
      <c r="B2258" t="s">
        <v>37</v>
      </c>
      <c r="C2258" t="s">
        <v>38</v>
      </c>
      <c r="D2258" t="s">
        <v>307</v>
      </c>
      <c r="E2258" t="s">
        <v>40</v>
      </c>
      <c r="G2258" s="4">
        <v>43946.161863425926</v>
      </c>
      <c r="H2258" s="4">
        <v>43946.162141203704</v>
      </c>
      <c r="I2258" t="s">
        <v>1153</v>
      </c>
      <c r="J2258" s="5">
        <v>24.00000000000000000000000000000000000002</v>
      </c>
      <c r="K2258" t="s">
        <v>38</v>
      </c>
      <c r="M2258">
        <v>58675</v>
      </c>
      <c r="N2258" t="s">
        <v>309</v>
      </c>
      <c r="O2258" t="s">
        <v>310</v>
      </c>
      <c r="P2258" t="s">
        <v>38</v>
      </c>
      <c r="Q2258" t="s">
        <v>1153</v>
      </c>
      <c r="R2258">
        <v>24.00000000000000000000000000000000000002</v>
      </c>
      <c r="S2258" t="s">
        <v>45</v>
      </c>
      <c r="T2258" t="str" s="2">
        <f>=HYPERLINK("http://demo.enginatics.com:80/ecc/user/applications/log/58671.log","http://demo.enginatics.com:80/ecc/user/applications/log/58671.log")</f>
        <v>"http://demo.enginatics.com:80/ecc/user/applications/log/58671.log")</v>
      </c>
      <c r="U2258">
        <v>58676</v>
      </c>
      <c r="V2258" t="s">
        <v>38</v>
      </c>
      <c r="W2258" t="s">
        <v>1153</v>
      </c>
      <c r="X2258">
        <v>24.00000000000000000000000000000000000002</v>
      </c>
      <c r="Y2258">
        <v>0</v>
      </c>
      <c r="Z2258" t="s">
        <v>46</v>
      </c>
      <c r="AA2258">
        <v>58682</v>
      </c>
      <c r="AB2258" t="s">
        <v>1882</v>
      </c>
      <c r="AC2258" t="s">
        <v>97</v>
      </c>
      <c r="AD2258" t="s">
        <v>38</v>
      </c>
      <c r="AE2258" t="s">
        <v>49</v>
      </c>
      <c r="AF2258" t="s">
        <v>236</v>
      </c>
      <c r="AG2258">
        <v>12.00000000000000000000000000000000000001</v>
      </c>
      <c r="AH2258">
        <v>11</v>
      </c>
      <c r="AI2258" t="s">
        <v>51</v>
      </c>
      <c r="AJ2258" t="s">
        <v>51</v>
      </c>
      <c r="AK2258" t="s">
        <v>51</v>
      </c>
    </row>
    <row r="2259" spans="1:37" x14ac:dyDescent="0.2">
      <c r="A2259">
        <v>58671</v>
      </c>
      <c r="B2259" t="s">
        <v>37</v>
      </c>
      <c r="C2259" t="s">
        <v>38</v>
      </c>
      <c r="D2259" t="s">
        <v>307</v>
      </c>
      <c r="E2259" t="s">
        <v>40</v>
      </c>
      <c r="G2259" s="4">
        <v>43946.161863425926</v>
      </c>
      <c r="H2259" s="4">
        <v>43946.162141203704</v>
      </c>
      <c r="I2259" t="s">
        <v>1153</v>
      </c>
      <c r="J2259" s="5">
        <v>24.00000000000000000000000000000000000002</v>
      </c>
      <c r="K2259" t="s">
        <v>38</v>
      </c>
      <c r="M2259">
        <v>58675</v>
      </c>
      <c r="N2259" t="s">
        <v>309</v>
      </c>
      <c r="O2259" t="s">
        <v>310</v>
      </c>
      <c r="P2259" t="s">
        <v>38</v>
      </c>
      <c r="Q2259" t="s">
        <v>1153</v>
      </c>
      <c r="R2259">
        <v>24.00000000000000000000000000000000000002</v>
      </c>
      <c r="S2259" t="s">
        <v>45</v>
      </c>
      <c r="T2259" t="str" s="2">
        <f>=HYPERLINK("http://demo.enginatics.com:80/ecc/user/applications/log/58671.log","http://demo.enginatics.com:80/ecc/user/applications/log/58671.log")</f>
        <v>"http://demo.enginatics.com:80/ecc/user/applications/log/58671.log")</v>
      </c>
      <c r="U2259">
        <v>58676</v>
      </c>
      <c r="V2259" t="s">
        <v>38</v>
      </c>
      <c r="W2259" t="s">
        <v>1153</v>
      </c>
      <c r="X2259">
        <v>24.00000000000000000000000000000000000002</v>
      </c>
      <c r="Y2259">
        <v>0</v>
      </c>
      <c r="Z2259" t="s">
        <v>46</v>
      </c>
      <c r="AA2259">
        <v>58677</v>
      </c>
      <c r="AB2259" t="s">
        <v>1883</v>
      </c>
      <c r="AC2259" t="s">
        <v>97</v>
      </c>
      <c r="AD2259" t="s">
        <v>38</v>
      </c>
      <c r="AE2259" t="s">
        <v>49</v>
      </c>
      <c r="AF2259" t="s">
        <v>236</v>
      </c>
      <c r="AG2259">
        <v>12.00000000000000000000000000000000000001</v>
      </c>
      <c r="AH2259">
        <v>11</v>
      </c>
      <c r="AI2259" t="s">
        <v>51</v>
      </c>
      <c r="AJ2259" t="s">
        <v>51</v>
      </c>
      <c r="AK2259" t="s">
        <v>51</v>
      </c>
    </row>
    <row r="2260" spans="1:37" x14ac:dyDescent="0.2">
      <c r="A2260">
        <v>58671</v>
      </c>
      <c r="B2260" t="s">
        <v>37</v>
      </c>
      <c r="C2260" t="s">
        <v>38</v>
      </c>
      <c r="D2260" t="s">
        <v>307</v>
      </c>
      <c r="E2260" t="s">
        <v>40</v>
      </c>
      <c r="G2260" s="4">
        <v>43946.161863425926</v>
      </c>
      <c r="H2260" s="4">
        <v>43946.162141203704</v>
      </c>
      <c r="I2260" t="s">
        <v>1153</v>
      </c>
      <c r="J2260" s="5">
        <v>24.00000000000000000000000000000000000002</v>
      </c>
      <c r="K2260" t="s">
        <v>38</v>
      </c>
      <c r="M2260">
        <v>58672</v>
      </c>
      <c r="N2260" t="s">
        <v>316</v>
      </c>
      <c r="O2260" t="s">
        <v>317</v>
      </c>
      <c r="P2260" t="s">
        <v>38</v>
      </c>
      <c r="Q2260" t="s">
        <v>50</v>
      </c>
      <c r="R2260">
        <v>0</v>
      </c>
      <c r="S2260" t="s">
        <v>45</v>
      </c>
      <c r="T2260" t="str" s="2">
        <f>=HYPERLINK("http://demo.enginatics.com:80/ecc/user/applications/log/58671.log","http://demo.enginatics.com:80/ecc/user/applications/log/58671.log")</f>
        <v>"http://demo.enginatics.com:80/ecc/user/applications/log/58671.log")</v>
      </c>
      <c r="U2260">
        <v>58673</v>
      </c>
      <c r="V2260" t="s">
        <v>38</v>
      </c>
      <c r="W2260" t="s">
        <v>50</v>
      </c>
      <c r="X2260">
        <v>0</v>
      </c>
      <c r="Y2260">
        <v>0</v>
      </c>
      <c r="Z2260" t="s">
        <v>46</v>
      </c>
      <c r="AA2260">
        <v>58674</v>
      </c>
      <c r="AB2260" t="s">
        <v>1884</v>
      </c>
      <c r="AC2260" t="s">
        <v>97</v>
      </c>
      <c r="AD2260" t="s">
        <v>38</v>
      </c>
      <c r="AE2260" t="s">
        <v>49</v>
      </c>
      <c r="AF2260" t="s">
        <v>50</v>
      </c>
      <c r="AG2260">
        <v>0</v>
      </c>
      <c r="AH2260">
        <v>0</v>
      </c>
      <c r="AI2260" t="s">
        <v>51</v>
      </c>
      <c r="AJ2260" t="s">
        <v>51</v>
      </c>
      <c r="AK2260" t="s">
        <v>51</v>
      </c>
    </row>
    <row r="2261" spans="1:37" x14ac:dyDescent="0.2">
      <c r="A2261">
        <v>58666</v>
      </c>
      <c r="B2261" t="s">
        <v>37</v>
      </c>
      <c r="C2261" t="s">
        <v>38</v>
      </c>
      <c r="D2261" t="s">
        <v>253</v>
      </c>
      <c r="E2261" t="s">
        <v>319</v>
      </c>
      <c r="G2261" s="4">
        <v>43946.161747685185</v>
      </c>
      <c r="H2261" s="4">
        <v>43946.161770833333</v>
      </c>
      <c r="I2261" t="s">
        <v>88</v>
      </c>
      <c r="J2261" s="5">
        <v>2</v>
      </c>
      <c r="K2261" t="s">
        <v>38</v>
      </c>
      <c r="M2261">
        <v>58667</v>
      </c>
      <c r="N2261" t="s">
        <v>319</v>
      </c>
      <c r="O2261" t="s">
        <v>320</v>
      </c>
      <c r="P2261" t="s">
        <v>38</v>
      </c>
      <c r="Q2261" t="s">
        <v>88</v>
      </c>
      <c r="R2261">
        <v>2</v>
      </c>
      <c r="S2261" t="s">
        <v>45</v>
      </c>
      <c r="T2261" t="str" s="2">
        <f>=HYPERLINK("http://demo.enginatics.com:80/ecc/user/applications/log/58666.log","http://demo.enginatics.com:80/ecc/user/applications/log/58666.log")</f>
        <v>"http://demo.enginatics.com:80/ecc/user/applications/log/58666.log")</v>
      </c>
      <c r="U2261">
        <v>58668</v>
      </c>
      <c r="V2261" t="s">
        <v>38</v>
      </c>
      <c r="W2261" t="s">
        <v>88</v>
      </c>
      <c r="X2261">
        <v>2</v>
      </c>
      <c r="Y2261">
        <v>1</v>
      </c>
      <c r="Z2261" t="s">
        <v>46</v>
      </c>
      <c r="AA2261">
        <v>58670</v>
      </c>
      <c r="AB2261" t="s">
        <v>321</v>
      </c>
      <c r="AC2261" t="s">
        <v>68</v>
      </c>
      <c r="AD2261" t="s">
        <v>38</v>
      </c>
      <c r="AE2261" t="s">
        <v>49</v>
      </c>
      <c r="AF2261" t="s">
        <v>50</v>
      </c>
      <c r="AG2261">
        <v>0</v>
      </c>
      <c r="AH2261">
        <v>0</v>
      </c>
      <c r="AI2261" t="s">
        <v>51</v>
      </c>
      <c r="AJ2261" t="s">
        <v>51</v>
      </c>
      <c r="AK2261" t="s">
        <v>51</v>
      </c>
    </row>
    <row r="2262" spans="1:37" x14ac:dyDescent="0.2">
      <c r="A2262">
        <v>58666</v>
      </c>
      <c r="B2262" t="s">
        <v>37</v>
      </c>
      <c r="C2262" t="s">
        <v>38</v>
      </c>
      <c r="D2262" t="s">
        <v>253</v>
      </c>
      <c r="E2262" t="s">
        <v>319</v>
      </c>
      <c r="G2262" s="4">
        <v>43946.161747685185</v>
      </c>
      <c r="H2262" s="4">
        <v>43946.161770833333</v>
      </c>
      <c r="I2262" t="s">
        <v>88</v>
      </c>
      <c r="J2262" s="5">
        <v>2</v>
      </c>
      <c r="K2262" t="s">
        <v>38</v>
      </c>
      <c r="M2262">
        <v>58667</v>
      </c>
      <c r="N2262" t="s">
        <v>319</v>
      </c>
      <c r="O2262" t="s">
        <v>320</v>
      </c>
      <c r="P2262" t="s">
        <v>38</v>
      </c>
      <c r="Q2262" t="s">
        <v>88</v>
      </c>
      <c r="R2262">
        <v>2</v>
      </c>
      <c r="S2262" t="s">
        <v>45</v>
      </c>
      <c r="T2262" t="str" s="2">
        <f>=HYPERLINK("http://demo.enginatics.com:80/ecc/user/applications/log/58666.log","http://demo.enginatics.com:80/ecc/user/applications/log/58666.log")</f>
        <v>"http://demo.enginatics.com:80/ecc/user/applications/log/58666.log")</v>
      </c>
      <c r="U2262">
        <v>58668</v>
      </c>
      <c r="V2262" t="s">
        <v>38</v>
      </c>
      <c r="W2262" t="s">
        <v>88</v>
      </c>
      <c r="X2262">
        <v>2</v>
      </c>
      <c r="Y2262">
        <v>1</v>
      </c>
      <c r="Z2262" t="s">
        <v>46</v>
      </c>
      <c r="AA2262">
        <v>58669</v>
      </c>
      <c r="AB2262" t="s">
        <v>322</v>
      </c>
      <c r="AC2262" t="s">
        <v>56</v>
      </c>
      <c r="AD2262" t="s">
        <v>38</v>
      </c>
      <c r="AE2262" t="s">
        <v>49</v>
      </c>
      <c r="AF2262" t="s">
        <v>50</v>
      </c>
      <c r="AG2262">
        <v>0</v>
      </c>
      <c r="AH2262">
        <v>0</v>
      </c>
      <c r="AI2262" t="s">
        <v>51</v>
      </c>
      <c r="AJ2262" t="s">
        <v>51</v>
      </c>
      <c r="AK2262" t="s">
        <v>51</v>
      </c>
    </row>
    <row r="2263" spans="1:37" x14ac:dyDescent="0.2">
      <c r="A2263">
        <v>58662</v>
      </c>
      <c r="B2263" t="s">
        <v>37</v>
      </c>
      <c r="C2263" t="s">
        <v>38</v>
      </c>
      <c r="D2263" t="s">
        <v>253</v>
      </c>
      <c r="E2263" t="s">
        <v>358</v>
      </c>
      <c r="G2263" s="4">
        <v>43946.161631944444</v>
      </c>
      <c r="H2263" s="4">
        <v>43946.161666666667</v>
      </c>
      <c r="I2263" t="s">
        <v>85</v>
      </c>
      <c r="J2263" s="5">
        <v>3</v>
      </c>
      <c r="K2263" t="s">
        <v>38</v>
      </c>
      <c r="M2263">
        <v>58663</v>
      </c>
      <c r="N2263" t="s">
        <v>358</v>
      </c>
      <c r="O2263" t="s">
        <v>359</v>
      </c>
      <c r="P2263" t="s">
        <v>38</v>
      </c>
      <c r="Q2263" t="s">
        <v>85</v>
      </c>
      <c r="R2263">
        <v>3</v>
      </c>
      <c r="S2263" t="s">
        <v>45</v>
      </c>
      <c r="T2263" t="str" s="2">
        <f>=HYPERLINK("http://demo.enginatics.com:80/ecc/user/applications/log/58662.log","http://demo.enginatics.com:80/ecc/user/applications/log/58662.log")</f>
        <v>"http://demo.enginatics.com:80/ecc/user/applications/log/58662.log")</v>
      </c>
      <c r="U2263">
        <v>58664</v>
      </c>
      <c r="V2263" t="s">
        <v>38</v>
      </c>
      <c r="W2263" t="s">
        <v>85</v>
      </c>
      <c r="X2263">
        <v>3</v>
      </c>
      <c r="Y2263">
        <v>2</v>
      </c>
      <c r="Z2263" t="s">
        <v>46</v>
      </c>
      <c r="AA2263">
        <v>58665</v>
      </c>
      <c r="AB2263" t="s">
        <v>360</v>
      </c>
      <c r="AC2263" t="s">
        <v>68</v>
      </c>
      <c r="AD2263" t="s">
        <v>38</v>
      </c>
      <c r="AE2263" t="s">
        <v>49</v>
      </c>
      <c r="AF2263" t="s">
        <v>50</v>
      </c>
      <c r="AG2263">
        <v>0</v>
      </c>
      <c r="AH2263">
        <v>0</v>
      </c>
      <c r="AI2263" t="s">
        <v>51</v>
      </c>
      <c r="AJ2263" t="s">
        <v>51</v>
      </c>
      <c r="AK2263" t="s">
        <v>51</v>
      </c>
    </row>
    <row r="2264" spans="1:37" x14ac:dyDescent="0.2">
      <c r="A2264">
        <v>58619</v>
      </c>
      <c r="B2264" t="s">
        <v>37</v>
      </c>
      <c r="C2264" t="s">
        <v>38</v>
      </c>
      <c r="D2264" t="s">
        <v>323</v>
      </c>
      <c r="E2264" t="s">
        <v>40</v>
      </c>
      <c r="G2264" s="4">
        <v>43946.161412037037</v>
      </c>
      <c r="H2264" s="4">
        <v>43946.161608796296</v>
      </c>
      <c r="I2264" t="s">
        <v>324</v>
      </c>
      <c r="J2264" s="5">
        <v>16.99999999999999999999999999999999999998</v>
      </c>
      <c r="K2264" t="s">
        <v>38</v>
      </c>
      <c r="M2264">
        <v>58659</v>
      </c>
      <c r="N2264" t="s">
        <v>325</v>
      </c>
      <c r="O2264" t="s">
        <v>326</v>
      </c>
      <c r="P2264" t="s">
        <v>38</v>
      </c>
      <c r="Q2264" t="s">
        <v>50</v>
      </c>
      <c r="R2264">
        <v>0</v>
      </c>
      <c r="S2264" t="s">
        <v>45</v>
      </c>
      <c r="T2264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64">
        <v>58660</v>
      </c>
      <c r="V2264" t="s">
        <v>38</v>
      </c>
      <c r="W2264" t="s">
        <v>50</v>
      </c>
      <c r="X2264">
        <v>0</v>
      </c>
      <c r="Y2264">
        <v>0</v>
      </c>
      <c r="Z2264" t="s">
        <v>46</v>
      </c>
      <c r="AA2264">
        <v>58661</v>
      </c>
      <c r="AB2264" t="s">
        <v>1885</v>
      </c>
      <c r="AC2264" t="s">
        <v>97</v>
      </c>
      <c r="AD2264" t="s">
        <v>38</v>
      </c>
      <c r="AE2264" t="s">
        <v>49</v>
      </c>
      <c r="AF2264" t="s">
        <v>50</v>
      </c>
      <c r="AG2264">
        <v>0</v>
      </c>
      <c r="AH2264">
        <v>0</v>
      </c>
      <c r="AI2264" t="s">
        <v>51</v>
      </c>
      <c r="AJ2264" t="s">
        <v>51</v>
      </c>
      <c r="AK2264" t="s">
        <v>51</v>
      </c>
    </row>
    <row r="2265" spans="1:37" x14ac:dyDescent="0.2">
      <c r="A2265">
        <v>58619</v>
      </c>
      <c r="B2265" t="s">
        <v>37</v>
      </c>
      <c r="C2265" t="s">
        <v>38</v>
      </c>
      <c r="D2265" t="s">
        <v>323</v>
      </c>
      <c r="E2265" t="s">
        <v>40</v>
      </c>
      <c r="G2265" s="4">
        <v>43946.161412037037</v>
      </c>
      <c r="H2265" s="4">
        <v>43946.161608796296</v>
      </c>
      <c r="I2265" t="s">
        <v>324</v>
      </c>
      <c r="J2265" s="5">
        <v>16.99999999999999999999999999999999999998</v>
      </c>
      <c r="K2265" t="s">
        <v>38</v>
      </c>
      <c r="M2265">
        <v>58652</v>
      </c>
      <c r="N2265" t="s">
        <v>328</v>
      </c>
      <c r="O2265" t="s">
        <v>329</v>
      </c>
      <c r="P2265" t="s">
        <v>38</v>
      </c>
      <c r="Q2265" t="s">
        <v>50</v>
      </c>
      <c r="R2265">
        <v>0</v>
      </c>
      <c r="S2265" t="s">
        <v>45</v>
      </c>
      <c r="T2265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65">
        <v>58653</v>
      </c>
      <c r="V2265" t="s">
        <v>38</v>
      </c>
      <c r="W2265" t="s">
        <v>50</v>
      </c>
      <c r="X2265">
        <v>0</v>
      </c>
      <c r="Y2265">
        <v>0</v>
      </c>
      <c r="Z2265" t="s">
        <v>46</v>
      </c>
      <c r="AA2265">
        <v>58658</v>
      </c>
      <c r="AB2265" t="s">
        <v>1886</v>
      </c>
      <c r="AC2265" t="s">
        <v>97</v>
      </c>
      <c r="AD2265" t="s">
        <v>38</v>
      </c>
      <c r="AE2265" t="s">
        <v>49</v>
      </c>
      <c r="AF2265" t="s">
        <v>50</v>
      </c>
      <c r="AG2265">
        <v>0</v>
      </c>
      <c r="AH2265">
        <v>0</v>
      </c>
      <c r="AI2265" t="s">
        <v>51</v>
      </c>
      <c r="AJ2265" t="s">
        <v>51</v>
      </c>
      <c r="AK2265" t="s">
        <v>51</v>
      </c>
    </row>
    <row r="2266" spans="1:37" x14ac:dyDescent="0.2">
      <c r="A2266">
        <v>58619</v>
      </c>
      <c r="B2266" t="s">
        <v>37</v>
      </c>
      <c r="C2266" t="s">
        <v>38</v>
      </c>
      <c r="D2266" t="s">
        <v>323</v>
      </c>
      <c r="E2266" t="s">
        <v>40</v>
      </c>
      <c r="G2266" s="4">
        <v>43946.161412037037</v>
      </c>
      <c r="H2266" s="4">
        <v>43946.161608796296</v>
      </c>
      <c r="I2266" t="s">
        <v>324</v>
      </c>
      <c r="J2266" s="5">
        <v>16.99999999999999999999999999999999999998</v>
      </c>
      <c r="K2266" t="s">
        <v>38</v>
      </c>
      <c r="M2266">
        <v>58652</v>
      </c>
      <c r="N2266" t="s">
        <v>328</v>
      </c>
      <c r="O2266" t="s">
        <v>329</v>
      </c>
      <c r="P2266" t="s">
        <v>38</v>
      </c>
      <c r="Q2266" t="s">
        <v>50</v>
      </c>
      <c r="R2266">
        <v>0</v>
      </c>
      <c r="S2266" t="s">
        <v>45</v>
      </c>
      <c r="T2266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66">
        <v>58653</v>
      </c>
      <c r="V2266" t="s">
        <v>38</v>
      </c>
      <c r="W2266" t="s">
        <v>50</v>
      </c>
      <c r="X2266">
        <v>0</v>
      </c>
      <c r="Y2266">
        <v>0</v>
      </c>
      <c r="Z2266" t="s">
        <v>46</v>
      </c>
      <c r="AA2266">
        <v>58657</v>
      </c>
      <c r="AB2266" t="s">
        <v>1887</v>
      </c>
      <c r="AC2266" t="s">
        <v>97</v>
      </c>
      <c r="AD2266" t="s">
        <v>38</v>
      </c>
      <c r="AE2266" t="s">
        <v>49</v>
      </c>
      <c r="AF2266" t="s">
        <v>50</v>
      </c>
      <c r="AG2266">
        <v>0</v>
      </c>
      <c r="AH2266">
        <v>0</v>
      </c>
      <c r="AI2266" t="s">
        <v>51</v>
      </c>
      <c r="AJ2266" t="s">
        <v>51</v>
      </c>
      <c r="AK2266" t="s">
        <v>51</v>
      </c>
    </row>
    <row r="2267" spans="1:37" x14ac:dyDescent="0.2">
      <c r="A2267">
        <v>58619</v>
      </c>
      <c r="B2267" t="s">
        <v>37</v>
      </c>
      <c r="C2267" t="s">
        <v>38</v>
      </c>
      <c r="D2267" t="s">
        <v>323</v>
      </c>
      <c r="E2267" t="s">
        <v>40</v>
      </c>
      <c r="G2267" s="4">
        <v>43946.161412037037</v>
      </c>
      <c r="H2267" s="4">
        <v>43946.161608796296</v>
      </c>
      <c r="I2267" t="s">
        <v>324</v>
      </c>
      <c r="J2267" s="5">
        <v>16.99999999999999999999999999999999999998</v>
      </c>
      <c r="K2267" t="s">
        <v>38</v>
      </c>
      <c r="M2267">
        <v>58652</v>
      </c>
      <c r="N2267" t="s">
        <v>328</v>
      </c>
      <c r="O2267" t="s">
        <v>329</v>
      </c>
      <c r="P2267" t="s">
        <v>38</v>
      </c>
      <c r="Q2267" t="s">
        <v>50</v>
      </c>
      <c r="R2267">
        <v>0</v>
      </c>
      <c r="S2267" t="s">
        <v>45</v>
      </c>
      <c r="T2267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67">
        <v>58653</v>
      </c>
      <c r="V2267" t="s">
        <v>38</v>
      </c>
      <c r="W2267" t="s">
        <v>50</v>
      </c>
      <c r="X2267">
        <v>0</v>
      </c>
      <c r="Y2267">
        <v>0</v>
      </c>
      <c r="Z2267" t="s">
        <v>46</v>
      </c>
      <c r="AA2267">
        <v>58656</v>
      </c>
      <c r="AB2267" t="s">
        <v>1888</v>
      </c>
      <c r="AC2267" t="s">
        <v>97</v>
      </c>
      <c r="AD2267" t="s">
        <v>38</v>
      </c>
      <c r="AE2267" t="s">
        <v>49</v>
      </c>
      <c r="AF2267" t="s">
        <v>50</v>
      </c>
      <c r="AG2267">
        <v>0</v>
      </c>
      <c r="AH2267">
        <v>0</v>
      </c>
      <c r="AI2267" t="s">
        <v>51</v>
      </c>
      <c r="AJ2267" t="s">
        <v>51</v>
      </c>
      <c r="AK2267" t="s">
        <v>51</v>
      </c>
    </row>
    <row r="2268" spans="1:37" x14ac:dyDescent="0.2">
      <c r="A2268">
        <v>58619</v>
      </c>
      <c r="B2268" t="s">
        <v>37</v>
      </c>
      <c r="C2268" t="s">
        <v>38</v>
      </c>
      <c r="D2268" t="s">
        <v>323</v>
      </c>
      <c r="E2268" t="s">
        <v>40</v>
      </c>
      <c r="G2268" s="4">
        <v>43946.161412037037</v>
      </c>
      <c r="H2268" s="4">
        <v>43946.161608796296</v>
      </c>
      <c r="I2268" t="s">
        <v>324</v>
      </c>
      <c r="J2268" s="5">
        <v>16.99999999999999999999999999999999999998</v>
      </c>
      <c r="K2268" t="s">
        <v>38</v>
      </c>
      <c r="M2268">
        <v>58652</v>
      </c>
      <c r="N2268" t="s">
        <v>328</v>
      </c>
      <c r="O2268" t="s">
        <v>329</v>
      </c>
      <c r="P2268" t="s">
        <v>38</v>
      </c>
      <c r="Q2268" t="s">
        <v>50</v>
      </c>
      <c r="R2268">
        <v>0</v>
      </c>
      <c r="S2268" t="s">
        <v>45</v>
      </c>
      <c r="T2268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68">
        <v>58653</v>
      </c>
      <c r="V2268" t="s">
        <v>38</v>
      </c>
      <c r="W2268" t="s">
        <v>50</v>
      </c>
      <c r="X2268">
        <v>0</v>
      </c>
      <c r="Y2268">
        <v>0</v>
      </c>
      <c r="Z2268" t="s">
        <v>46</v>
      </c>
      <c r="AA2268">
        <v>58655</v>
      </c>
      <c r="AB2268" t="s">
        <v>1889</v>
      </c>
      <c r="AC2268" t="s">
        <v>97</v>
      </c>
      <c r="AD2268" t="s">
        <v>38</v>
      </c>
      <c r="AE2268" t="s">
        <v>49</v>
      </c>
      <c r="AF2268" t="s">
        <v>50</v>
      </c>
      <c r="AG2268">
        <v>0</v>
      </c>
      <c r="AH2268">
        <v>0</v>
      </c>
      <c r="AI2268" t="s">
        <v>51</v>
      </c>
      <c r="AJ2268" t="s">
        <v>51</v>
      </c>
      <c r="AK2268" t="s">
        <v>51</v>
      </c>
    </row>
    <row r="2269" spans="1:37" x14ac:dyDescent="0.2">
      <c r="A2269">
        <v>58619</v>
      </c>
      <c r="B2269" t="s">
        <v>37</v>
      </c>
      <c r="C2269" t="s">
        <v>38</v>
      </c>
      <c r="D2269" t="s">
        <v>323</v>
      </c>
      <c r="E2269" t="s">
        <v>40</v>
      </c>
      <c r="G2269" s="4">
        <v>43946.161412037037</v>
      </c>
      <c r="H2269" s="4">
        <v>43946.161608796296</v>
      </c>
      <c r="I2269" t="s">
        <v>324</v>
      </c>
      <c r="J2269" s="5">
        <v>16.99999999999999999999999999999999999998</v>
      </c>
      <c r="K2269" t="s">
        <v>38</v>
      </c>
      <c r="M2269">
        <v>58652</v>
      </c>
      <c r="N2269" t="s">
        <v>328</v>
      </c>
      <c r="O2269" t="s">
        <v>329</v>
      </c>
      <c r="P2269" t="s">
        <v>38</v>
      </c>
      <c r="Q2269" t="s">
        <v>50</v>
      </c>
      <c r="R2269">
        <v>0</v>
      </c>
      <c r="S2269" t="s">
        <v>45</v>
      </c>
      <c r="T2269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69">
        <v>58653</v>
      </c>
      <c r="V2269" t="s">
        <v>38</v>
      </c>
      <c r="W2269" t="s">
        <v>50</v>
      </c>
      <c r="X2269">
        <v>0</v>
      </c>
      <c r="Y2269">
        <v>0</v>
      </c>
      <c r="Z2269" t="s">
        <v>46</v>
      </c>
      <c r="AA2269">
        <v>58654</v>
      </c>
      <c r="AB2269" t="s">
        <v>1890</v>
      </c>
      <c r="AC2269" t="s">
        <v>97</v>
      </c>
      <c r="AD2269" t="s">
        <v>38</v>
      </c>
      <c r="AE2269" t="s">
        <v>49</v>
      </c>
      <c r="AF2269" t="s">
        <v>50</v>
      </c>
      <c r="AG2269">
        <v>0</v>
      </c>
      <c r="AH2269">
        <v>0</v>
      </c>
      <c r="AI2269" t="s">
        <v>51</v>
      </c>
      <c r="AJ2269" t="s">
        <v>51</v>
      </c>
      <c r="AK2269" t="s">
        <v>51</v>
      </c>
    </row>
    <row r="2270" spans="1:37" x14ac:dyDescent="0.2">
      <c r="A2270">
        <v>58619</v>
      </c>
      <c r="B2270" t="s">
        <v>37</v>
      </c>
      <c r="C2270" t="s">
        <v>38</v>
      </c>
      <c r="D2270" t="s">
        <v>323</v>
      </c>
      <c r="E2270" t="s">
        <v>40</v>
      </c>
      <c r="G2270" s="4">
        <v>43946.161412037037</v>
      </c>
      <c r="H2270" s="4">
        <v>43946.161608796296</v>
      </c>
      <c r="I2270" t="s">
        <v>324</v>
      </c>
      <c r="J2270" s="5">
        <v>16.99999999999999999999999999999999999998</v>
      </c>
      <c r="K2270" t="s">
        <v>38</v>
      </c>
      <c r="M2270">
        <v>58644</v>
      </c>
      <c r="N2270" t="s">
        <v>335</v>
      </c>
      <c r="O2270" t="s">
        <v>336</v>
      </c>
      <c r="P2270" t="s">
        <v>38</v>
      </c>
      <c r="Q2270" t="s">
        <v>236</v>
      </c>
      <c r="R2270">
        <v>12.00000000000000000000000000000000000001</v>
      </c>
      <c r="S2270" t="s">
        <v>45</v>
      </c>
      <c r="T2270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0">
        <v>58645</v>
      </c>
      <c r="V2270" t="s">
        <v>38</v>
      </c>
      <c r="W2270" t="s">
        <v>236</v>
      </c>
      <c r="X2270">
        <v>12.00000000000000000000000000000000000001</v>
      </c>
      <c r="Y2270">
        <v>0</v>
      </c>
      <c r="Z2270" t="s">
        <v>46</v>
      </c>
      <c r="AA2270">
        <v>58651</v>
      </c>
      <c r="AB2270" t="s">
        <v>1891</v>
      </c>
      <c r="AC2270" t="s">
        <v>97</v>
      </c>
      <c r="AD2270" t="s">
        <v>38</v>
      </c>
      <c r="AE2270" t="s">
        <v>49</v>
      </c>
      <c r="AF2270" t="s">
        <v>50</v>
      </c>
      <c r="AG2270">
        <v>0</v>
      </c>
      <c r="AH2270">
        <v>0</v>
      </c>
      <c r="AI2270" t="s">
        <v>51</v>
      </c>
      <c r="AJ2270" t="s">
        <v>51</v>
      </c>
      <c r="AK2270" t="s">
        <v>51</v>
      </c>
    </row>
    <row r="2271" spans="1:37" x14ac:dyDescent="0.2">
      <c r="A2271">
        <v>58619</v>
      </c>
      <c r="B2271" t="s">
        <v>37</v>
      </c>
      <c r="C2271" t="s">
        <v>38</v>
      </c>
      <c r="D2271" t="s">
        <v>323</v>
      </c>
      <c r="E2271" t="s">
        <v>40</v>
      </c>
      <c r="G2271" s="4">
        <v>43946.161412037037</v>
      </c>
      <c r="H2271" s="4">
        <v>43946.161608796296</v>
      </c>
      <c r="I2271" t="s">
        <v>324</v>
      </c>
      <c r="J2271" s="5">
        <v>16.99999999999999999999999999999999999998</v>
      </c>
      <c r="K2271" t="s">
        <v>38</v>
      </c>
      <c r="M2271">
        <v>58644</v>
      </c>
      <c r="N2271" t="s">
        <v>335</v>
      </c>
      <c r="O2271" t="s">
        <v>336</v>
      </c>
      <c r="P2271" t="s">
        <v>38</v>
      </c>
      <c r="Q2271" t="s">
        <v>236</v>
      </c>
      <c r="R2271">
        <v>12.00000000000000000000000000000000000001</v>
      </c>
      <c r="S2271" t="s">
        <v>45</v>
      </c>
      <c r="T2271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1">
        <v>58645</v>
      </c>
      <c r="V2271" t="s">
        <v>38</v>
      </c>
      <c r="W2271" t="s">
        <v>236</v>
      </c>
      <c r="X2271">
        <v>12.00000000000000000000000000000000000001</v>
      </c>
      <c r="Y2271">
        <v>0</v>
      </c>
      <c r="Z2271" t="s">
        <v>46</v>
      </c>
      <c r="AA2271">
        <v>58650</v>
      </c>
      <c r="AB2271" t="s">
        <v>1892</v>
      </c>
      <c r="AC2271" t="s">
        <v>97</v>
      </c>
      <c r="AD2271" t="s">
        <v>38</v>
      </c>
      <c r="AE2271" t="s">
        <v>49</v>
      </c>
      <c r="AF2271" t="s">
        <v>50</v>
      </c>
      <c r="AG2271">
        <v>0</v>
      </c>
      <c r="AH2271">
        <v>0</v>
      </c>
      <c r="AI2271" t="s">
        <v>51</v>
      </c>
      <c r="AJ2271" t="s">
        <v>51</v>
      </c>
      <c r="AK2271" t="s">
        <v>51</v>
      </c>
    </row>
    <row r="2272" spans="1:37" x14ac:dyDescent="0.2">
      <c r="A2272">
        <v>58619</v>
      </c>
      <c r="B2272" t="s">
        <v>37</v>
      </c>
      <c r="C2272" t="s">
        <v>38</v>
      </c>
      <c r="D2272" t="s">
        <v>323</v>
      </c>
      <c r="E2272" t="s">
        <v>40</v>
      </c>
      <c r="G2272" s="4">
        <v>43946.161412037037</v>
      </c>
      <c r="H2272" s="4">
        <v>43946.161608796296</v>
      </c>
      <c r="I2272" t="s">
        <v>324</v>
      </c>
      <c r="J2272" s="5">
        <v>16.99999999999999999999999999999999999998</v>
      </c>
      <c r="K2272" t="s">
        <v>38</v>
      </c>
      <c r="M2272">
        <v>58644</v>
      </c>
      <c r="N2272" t="s">
        <v>335</v>
      </c>
      <c r="O2272" t="s">
        <v>336</v>
      </c>
      <c r="P2272" t="s">
        <v>38</v>
      </c>
      <c r="Q2272" t="s">
        <v>236</v>
      </c>
      <c r="R2272">
        <v>12.00000000000000000000000000000000000001</v>
      </c>
      <c r="S2272" t="s">
        <v>45</v>
      </c>
      <c r="T2272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2">
        <v>58645</v>
      </c>
      <c r="V2272" t="s">
        <v>38</v>
      </c>
      <c r="W2272" t="s">
        <v>236</v>
      </c>
      <c r="X2272">
        <v>12.00000000000000000000000000000000000001</v>
      </c>
      <c r="Y2272">
        <v>0</v>
      </c>
      <c r="Z2272" t="s">
        <v>46</v>
      </c>
      <c r="AA2272">
        <v>58649</v>
      </c>
      <c r="AB2272" t="s">
        <v>1893</v>
      </c>
      <c r="AC2272" t="s">
        <v>97</v>
      </c>
      <c r="AD2272" t="s">
        <v>38</v>
      </c>
      <c r="AE2272" t="s">
        <v>49</v>
      </c>
      <c r="AF2272" t="s">
        <v>50</v>
      </c>
      <c r="AG2272">
        <v>.9999999999999999999999999999999999999996</v>
      </c>
      <c r="AH2272">
        <v>0</v>
      </c>
      <c r="AI2272" t="s">
        <v>51</v>
      </c>
      <c r="AJ2272" t="s">
        <v>51</v>
      </c>
      <c r="AK2272" t="s">
        <v>51</v>
      </c>
    </row>
    <row r="2273" spans="1:37" x14ac:dyDescent="0.2">
      <c r="A2273">
        <v>58619</v>
      </c>
      <c r="B2273" t="s">
        <v>37</v>
      </c>
      <c r="C2273" t="s">
        <v>38</v>
      </c>
      <c r="D2273" t="s">
        <v>323</v>
      </c>
      <c r="E2273" t="s">
        <v>40</v>
      </c>
      <c r="G2273" s="4">
        <v>43946.161412037037</v>
      </c>
      <c r="H2273" s="4">
        <v>43946.161608796296</v>
      </c>
      <c r="I2273" t="s">
        <v>324</v>
      </c>
      <c r="J2273" s="5">
        <v>16.99999999999999999999999999999999999998</v>
      </c>
      <c r="K2273" t="s">
        <v>38</v>
      </c>
      <c r="M2273">
        <v>58644</v>
      </c>
      <c r="N2273" t="s">
        <v>335</v>
      </c>
      <c r="O2273" t="s">
        <v>336</v>
      </c>
      <c r="P2273" t="s">
        <v>38</v>
      </c>
      <c r="Q2273" t="s">
        <v>236</v>
      </c>
      <c r="R2273">
        <v>12.00000000000000000000000000000000000001</v>
      </c>
      <c r="S2273" t="s">
        <v>45</v>
      </c>
      <c r="T2273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3">
        <v>58645</v>
      </c>
      <c r="V2273" t="s">
        <v>38</v>
      </c>
      <c r="W2273" t="s">
        <v>236</v>
      </c>
      <c r="X2273">
        <v>12.00000000000000000000000000000000000001</v>
      </c>
      <c r="Y2273">
        <v>0</v>
      </c>
      <c r="Z2273" t="s">
        <v>46</v>
      </c>
      <c r="AA2273">
        <v>58648</v>
      </c>
      <c r="AB2273" t="s">
        <v>1894</v>
      </c>
      <c r="AC2273" t="s">
        <v>97</v>
      </c>
      <c r="AD2273" t="s">
        <v>38</v>
      </c>
      <c r="AE2273" t="s">
        <v>49</v>
      </c>
      <c r="AF2273" t="s">
        <v>50</v>
      </c>
      <c r="AG2273">
        <v>.9999999999999999999999999999999999999996</v>
      </c>
      <c r="AH2273">
        <v>1</v>
      </c>
      <c r="AI2273" t="s">
        <v>51</v>
      </c>
      <c r="AJ2273" t="s">
        <v>51</v>
      </c>
      <c r="AK2273" t="s">
        <v>51</v>
      </c>
    </row>
    <row r="2274" spans="1:37" x14ac:dyDescent="0.2">
      <c r="A2274">
        <v>58619</v>
      </c>
      <c r="B2274" t="s">
        <v>37</v>
      </c>
      <c r="C2274" t="s">
        <v>38</v>
      </c>
      <c r="D2274" t="s">
        <v>323</v>
      </c>
      <c r="E2274" t="s">
        <v>40</v>
      </c>
      <c r="G2274" s="4">
        <v>43946.161412037037</v>
      </c>
      <c r="H2274" s="4">
        <v>43946.161608796296</v>
      </c>
      <c r="I2274" t="s">
        <v>324</v>
      </c>
      <c r="J2274" s="5">
        <v>16.99999999999999999999999999999999999998</v>
      </c>
      <c r="K2274" t="s">
        <v>38</v>
      </c>
      <c r="M2274">
        <v>58644</v>
      </c>
      <c r="N2274" t="s">
        <v>335</v>
      </c>
      <c r="O2274" t="s">
        <v>336</v>
      </c>
      <c r="P2274" t="s">
        <v>38</v>
      </c>
      <c r="Q2274" t="s">
        <v>236</v>
      </c>
      <c r="R2274">
        <v>12.00000000000000000000000000000000000001</v>
      </c>
      <c r="S2274" t="s">
        <v>45</v>
      </c>
      <c r="T2274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4">
        <v>58645</v>
      </c>
      <c r="V2274" t="s">
        <v>38</v>
      </c>
      <c r="W2274" t="s">
        <v>236</v>
      </c>
      <c r="X2274">
        <v>12.00000000000000000000000000000000000001</v>
      </c>
      <c r="Y2274">
        <v>0</v>
      </c>
      <c r="Z2274" t="s">
        <v>46</v>
      </c>
      <c r="AA2274">
        <v>58647</v>
      </c>
      <c r="AB2274" t="s">
        <v>1895</v>
      </c>
      <c r="AC2274" t="s">
        <v>97</v>
      </c>
      <c r="AD2274" t="s">
        <v>38</v>
      </c>
      <c r="AE2274" t="s">
        <v>49</v>
      </c>
      <c r="AF2274" t="s">
        <v>652</v>
      </c>
      <c r="AG2274">
        <v>8</v>
      </c>
      <c r="AH2274">
        <v>6</v>
      </c>
      <c r="AI2274" t="s">
        <v>51</v>
      </c>
      <c r="AJ2274" t="s">
        <v>51</v>
      </c>
      <c r="AK2274" t="s">
        <v>51</v>
      </c>
    </row>
    <row r="2275" spans="1:37" x14ac:dyDescent="0.2">
      <c r="A2275">
        <v>58619</v>
      </c>
      <c r="B2275" t="s">
        <v>37</v>
      </c>
      <c r="C2275" t="s">
        <v>38</v>
      </c>
      <c r="D2275" t="s">
        <v>323</v>
      </c>
      <c r="E2275" t="s">
        <v>40</v>
      </c>
      <c r="G2275" s="4">
        <v>43946.161412037037</v>
      </c>
      <c r="H2275" s="4">
        <v>43946.161608796296</v>
      </c>
      <c r="I2275" t="s">
        <v>324</v>
      </c>
      <c r="J2275" s="5">
        <v>16.99999999999999999999999999999999999998</v>
      </c>
      <c r="K2275" t="s">
        <v>38</v>
      </c>
      <c r="M2275">
        <v>58644</v>
      </c>
      <c r="N2275" t="s">
        <v>335</v>
      </c>
      <c r="O2275" t="s">
        <v>336</v>
      </c>
      <c r="P2275" t="s">
        <v>38</v>
      </c>
      <c r="Q2275" t="s">
        <v>236</v>
      </c>
      <c r="R2275">
        <v>12.00000000000000000000000000000000000001</v>
      </c>
      <c r="S2275" t="s">
        <v>45</v>
      </c>
      <c r="T2275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5">
        <v>58645</v>
      </c>
      <c r="V2275" t="s">
        <v>38</v>
      </c>
      <c r="W2275" t="s">
        <v>236</v>
      </c>
      <c r="X2275">
        <v>12.00000000000000000000000000000000000001</v>
      </c>
      <c r="Y2275">
        <v>0</v>
      </c>
      <c r="Z2275" t="s">
        <v>46</v>
      </c>
      <c r="AA2275">
        <v>58646</v>
      </c>
      <c r="AB2275" t="s">
        <v>1896</v>
      </c>
      <c r="AC2275" t="s">
        <v>97</v>
      </c>
      <c r="AD2275" t="s">
        <v>38</v>
      </c>
      <c r="AE2275" t="s">
        <v>49</v>
      </c>
      <c r="AF2275" t="s">
        <v>50</v>
      </c>
      <c r="AG2275">
        <v>.9999999999999999999999999999999999999996</v>
      </c>
      <c r="AH2275">
        <v>0</v>
      </c>
      <c r="AI2275" t="s">
        <v>51</v>
      </c>
      <c r="AJ2275" t="s">
        <v>51</v>
      </c>
      <c r="AK2275" t="s">
        <v>51</v>
      </c>
    </row>
    <row r="2276" spans="1:37" x14ac:dyDescent="0.2">
      <c r="A2276">
        <v>58619</v>
      </c>
      <c r="B2276" t="s">
        <v>37</v>
      </c>
      <c r="C2276" t="s">
        <v>38</v>
      </c>
      <c r="D2276" t="s">
        <v>323</v>
      </c>
      <c r="E2276" t="s">
        <v>40</v>
      </c>
      <c r="G2276" s="4">
        <v>43946.161412037037</v>
      </c>
      <c r="H2276" s="4">
        <v>43946.161608796296</v>
      </c>
      <c r="I2276" t="s">
        <v>324</v>
      </c>
      <c r="J2276" s="5">
        <v>16.99999999999999999999999999999999999998</v>
      </c>
      <c r="K2276" t="s">
        <v>38</v>
      </c>
      <c r="M2276">
        <v>58640</v>
      </c>
      <c r="N2276" t="s">
        <v>344</v>
      </c>
      <c r="O2276" t="s">
        <v>345</v>
      </c>
      <c r="P2276" t="s">
        <v>38</v>
      </c>
      <c r="Q2276" t="s">
        <v>88</v>
      </c>
      <c r="R2276">
        <v>2</v>
      </c>
      <c r="S2276" t="s">
        <v>45</v>
      </c>
      <c r="T2276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6">
        <v>58641</v>
      </c>
      <c r="V2276" t="s">
        <v>38</v>
      </c>
      <c r="W2276" t="s">
        <v>88</v>
      </c>
      <c r="X2276">
        <v>2</v>
      </c>
      <c r="Y2276">
        <v>0</v>
      </c>
      <c r="Z2276" t="s">
        <v>46</v>
      </c>
      <c r="AA2276">
        <v>58643</v>
      </c>
      <c r="AB2276" t="s">
        <v>1897</v>
      </c>
      <c r="AC2276" t="s">
        <v>56</v>
      </c>
      <c r="AD2276" t="s">
        <v>38</v>
      </c>
      <c r="AE2276" t="s">
        <v>49</v>
      </c>
      <c r="AF2276" t="s">
        <v>50</v>
      </c>
      <c r="AG2276">
        <v>.9999999999999999999999999999999999999996</v>
      </c>
      <c r="AH2276">
        <v>0</v>
      </c>
      <c r="AI2276" t="s">
        <v>51</v>
      </c>
      <c r="AJ2276" t="s">
        <v>51</v>
      </c>
      <c r="AK2276" t="s">
        <v>51</v>
      </c>
    </row>
    <row r="2277" spans="1:37" x14ac:dyDescent="0.2">
      <c r="A2277">
        <v>58619</v>
      </c>
      <c r="B2277" t="s">
        <v>37</v>
      </c>
      <c r="C2277" t="s">
        <v>38</v>
      </c>
      <c r="D2277" t="s">
        <v>323</v>
      </c>
      <c r="E2277" t="s">
        <v>40</v>
      </c>
      <c r="G2277" s="4">
        <v>43946.161412037037</v>
      </c>
      <c r="H2277" s="4">
        <v>43946.161608796296</v>
      </c>
      <c r="I2277" t="s">
        <v>324</v>
      </c>
      <c r="J2277" s="5">
        <v>16.99999999999999999999999999999999999998</v>
      </c>
      <c r="K2277" t="s">
        <v>38</v>
      </c>
      <c r="M2277">
        <v>58640</v>
      </c>
      <c r="N2277" t="s">
        <v>344</v>
      </c>
      <c r="O2277" t="s">
        <v>345</v>
      </c>
      <c r="P2277" t="s">
        <v>38</v>
      </c>
      <c r="Q2277" t="s">
        <v>88</v>
      </c>
      <c r="R2277">
        <v>2</v>
      </c>
      <c r="S2277" t="s">
        <v>45</v>
      </c>
      <c r="T2277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7">
        <v>58641</v>
      </c>
      <c r="V2277" t="s">
        <v>38</v>
      </c>
      <c r="W2277" t="s">
        <v>88</v>
      </c>
      <c r="X2277">
        <v>2</v>
      </c>
      <c r="Y2277">
        <v>0</v>
      </c>
      <c r="Z2277" t="s">
        <v>46</v>
      </c>
      <c r="AA2277">
        <v>58642</v>
      </c>
      <c r="AB2277" t="s">
        <v>1898</v>
      </c>
      <c r="AC2277" t="s">
        <v>97</v>
      </c>
      <c r="AD2277" t="s">
        <v>38</v>
      </c>
      <c r="AE2277" t="s">
        <v>49</v>
      </c>
      <c r="AF2277" t="s">
        <v>50</v>
      </c>
      <c r="AG2277">
        <v>.9999999999999999999999999999999999999996</v>
      </c>
      <c r="AH2277">
        <v>0</v>
      </c>
      <c r="AI2277" t="s">
        <v>51</v>
      </c>
      <c r="AJ2277" t="s">
        <v>51</v>
      </c>
      <c r="AK2277" t="s">
        <v>51</v>
      </c>
    </row>
    <row r="2278" spans="1:37" x14ac:dyDescent="0.2">
      <c r="A2278">
        <v>58619</v>
      </c>
      <c r="B2278" t="s">
        <v>37</v>
      </c>
      <c r="C2278" t="s">
        <v>38</v>
      </c>
      <c r="D2278" t="s">
        <v>323</v>
      </c>
      <c r="E2278" t="s">
        <v>40</v>
      </c>
      <c r="G2278" s="4">
        <v>43946.161412037037</v>
      </c>
      <c r="H2278" s="4">
        <v>43946.161608796296</v>
      </c>
      <c r="I2278" t="s">
        <v>324</v>
      </c>
      <c r="J2278" s="5">
        <v>16.99999999999999999999999999999999999998</v>
      </c>
      <c r="K2278" t="s">
        <v>38</v>
      </c>
      <c r="M2278">
        <v>58637</v>
      </c>
      <c r="N2278" t="s">
        <v>350</v>
      </c>
      <c r="O2278" t="s">
        <v>351</v>
      </c>
      <c r="P2278" t="s">
        <v>38</v>
      </c>
      <c r="Q2278" t="s">
        <v>50</v>
      </c>
      <c r="R2278">
        <v>.9999999999999999999999999999999999999996</v>
      </c>
      <c r="S2278" t="s">
        <v>45</v>
      </c>
      <c r="T2278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8">
        <v>58638</v>
      </c>
      <c r="V2278" t="s">
        <v>38</v>
      </c>
      <c r="W2278" t="s">
        <v>50</v>
      </c>
      <c r="X2278">
        <v>.9999999999999999999999999999999999999996</v>
      </c>
      <c r="Y2278">
        <v>0</v>
      </c>
      <c r="Z2278" t="s">
        <v>46</v>
      </c>
      <c r="AA2278">
        <v>58639</v>
      </c>
      <c r="AB2278" t="s">
        <v>1899</v>
      </c>
      <c r="AC2278" t="s">
        <v>97</v>
      </c>
      <c r="AD2278" t="s">
        <v>38</v>
      </c>
      <c r="AE2278" t="s">
        <v>49</v>
      </c>
      <c r="AF2278" t="s">
        <v>50</v>
      </c>
      <c r="AG2278">
        <v>0</v>
      </c>
      <c r="AH2278">
        <v>0</v>
      </c>
      <c r="AI2278" t="s">
        <v>51</v>
      </c>
      <c r="AJ2278" t="s">
        <v>51</v>
      </c>
      <c r="AK2278" t="s">
        <v>51</v>
      </c>
    </row>
    <row r="2279" spans="1:37" x14ac:dyDescent="0.2">
      <c r="A2279">
        <v>58619</v>
      </c>
      <c r="B2279" t="s">
        <v>37</v>
      </c>
      <c r="C2279" t="s">
        <v>38</v>
      </c>
      <c r="D2279" t="s">
        <v>323</v>
      </c>
      <c r="E2279" t="s">
        <v>40</v>
      </c>
      <c r="G2279" s="4">
        <v>43946.161412037037</v>
      </c>
      <c r="H2279" s="4">
        <v>43946.161608796296</v>
      </c>
      <c r="I2279" t="s">
        <v>324</v>
      </c>
      <c r="J2279" s="5">
        <v>16.99999999999999999999999999999999999998</v>
      </c>
      <c r="K2279" t="s">
        <v>38</v>
      </c>
      <c r="M2279">
        <v>58628</v>
      </c>
      <c r="N2279" t="s">
        <v>353</v>
      </c>
      <c r="O2279" t="s">
        <v>354</v>
      </c>
      <c r="P2279" t="s">
        <v>38</v>
      </c>
      <c r="Q2279" t="s">
        <v>50</v>
      </c>
      <c r="R2279">
        <v>.9999999999999999999999999999999999999996</v>
      </c>
      <c r="S2279" t="s">
        <v>45</v>
      </c>
      <c r="T2279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79">
        <v>58630</v>
      </c>
      <c r="V2279" t="s">
        <v>38</v>
      </c>
      <c r="W2279" t="s">
        <v>50</v>
      </c>
      <c r="X2279">
        <v>.9999999999999999999999999999999999999996</v>
      </c>
      <c r="Y2279">
        <v>0</v>
      </c>
      <c r="Z2279" t="s">
        <v>46</v>
      </c>
      <c r="AA2279">
        <v>58636</v>
      </c>
      <c r="AB2279" t="s">
        <v>1900</v>
      </c>
      <c r="AC2279" t="s">
        <v>97</v>
      </c>
      <c r="AD2279" t="s">
        <v>38</v>
      </c>
      <c r="AE2279" t="s">
        <v>49</v>
      </c>
      <c r="AF2279" t="s">
        <v>50</v>
      </c>
      <c r="AG2279">
        <v>0</v>
      </c>
      <c r="AH2279">
        <v>0</v>
      </c>
      <c r="AI2279" t="s">
        <v>51</v>
      </c>
      <c r="AJ2279" t="s">
        <v>51</v>
      </c>
      <c r="AK2279" t="s">
        <v>51</v>
      </c>
    </row>
    <row r="2280" spans="1:37" x14ac:dyDescent="0.2">
      <c r="A2280">
        <v>58619</v>
      </c>
      <c r="B2280" t="s">
        <v>37</v>
      </c>
      <c r="C2280" t="s">
        <v>38</v>
      </c>
      <c r="D2280" t="s">
        <v>323</v>
      </c>
      <c r="E2280" t="s">
        <v>40</v>
      </c>
      <c r="G2280" s="4">
        <v>43946.161412037037</v>
      </c>
      <c r="H2280" s="4">
        <v>43946.161608796296</v>
      </c>
      <c r="I2280" t="s">
        <v>324</v>
      </c>
      <c r="J2280" s="5">
        <v>16.99999999999999999999999999999999999998</v>
      </c>
      <c r="K2280" t="s">
        <v>38</v>
      </c>
      <c r="M2280">
        <v>58628</v>
      </c>
      <c r="N2280" t="s">
        <v>353</v>
      </c>
      <c r="O2280" t="s">
        <v>354</v>
      </c>
      <c r="P2280" t="s">
        <v>38</v>
      </c>
      <c r="Q2280" t="s">
        <v>50</v>
      </c>
      <c r="R2280">
        <v>.9999999999999999999999999999999999999996</v>
      </c>
      <c r="S2280" t="s">
        <v>45</v>
      </c>
      <c r="T2280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80">
        <v>58630</v>
      </c>
      <c r="V2280" t="s">
        <v>38</v>
      </c>
      <c r="W2280" t="s">
        <v>50</v>
      </c>
      <c r="X2280">
        <v>.9999999999999999999999999999999999999996</v>
      </c>
      <c r="Y2280">
        <v>0</v>
      </c>
      <c r="Z2280" t="s">
        <v>46</v>
      </c>
      <c r="AA2280">
        <v>58633</v>
      </c>
      <c r="AB2280" t="s">
        <v>1901</v>
      </c>
      <c r="AC2280" t="s">
        <v>97</v>
      </c>
      <c r="AD2280" t="s">
        <v>38</v>
      </c>
      <c r="AE2280" t="s">
        <v>49</v>
      </c>
      <c r="AF2280" t="s">
        <v>50</v>
      </c>
      <c r="AG2280">
        <v>0</v>
      </c>
      <c r="AH2280">
        <v>0</v>
      </c>
      <c r="AI2280" t="s">
        <v>51</v>
      </c>
      <c r="AJ2280" t="s">
        <v>51</v>
      </c>
      <c r="AK2280" t="s">
        <v>51</v>
      </c>
    </row>
    <row r="2281" spans="1:37" x14ac:dyDescent="0.2">
      <c r="A2281">
        <v>58619</v>
      </c>
      <c r="B2281" t="s">
        <v>37</v>
      </c>
      <c r="C2281" t="s">
        <v>38</v>
      </c>
      <c r="D2281" t="s">
        <v>323</v>
      </c>
      <c r="E2281" t="s">
        <v>40</v>
      </c>
      <c r="G2281" s="4">
        <v>43946.161412037037</v>
      </c>
      <c r="H2281" s="4">
        <v>43946.161608796296</v>
      </c>
      <c r="I2281" t="s">
        <v>324</v>
      </c>
      <c r="J2281" s="5">
        <v>16.99999999999999999999999999999999999998</v>
      </c>
      <c r="K2281" t="s">
        <v>38</v>
      </c>
      <c r="M2281">
        <v>58628</v>
      </c>
      <c r="N2281" t="s">
        <v>353</v>
      </c>
      <c r="O2281" t="s">
        <v>354</v>
      </c>
      <c r="P2281" t="s">
        <v>38</v>
      </c>
      <c r="Q2281" t="s">
        <v>50</v>
      </c>
      <c r="R2281">
        <v>.9999999999999999999999999999999999999996</v>
      </c>
      <c r="S2281" t="s">
        <v>45</v>
      </c>
      <c r="T2281" t="str" s="2">
        <f>=HYPERLINK("http://demo.enginatics.com:80/ecc/user/applications/log/58619.log","http://demo.enginatics.com:80/ecc/user/applications/log/58619.log")</f>
        <v>"http://demo.enginatics.com:80/ecc/user/applications/log/58619.log")</v>
      </c>
      <c r="U2281">
        <v>58630</v>
      </c>
      <c r="V2281" t="s">
        <v>38</v>
      </c>
      <c r="W2281" t="s">
        <v>50</v>
      </c>
      <c r="X2281">
        <v>.9999999999999999999999999999999999999996</v>
      </c>
      <c r="Y2281">
        <v>0</v>
      </c>
      <c r="Z2281" t="s">
        <v>46</v>
      </c>
      <c r="AA2281">
        <v>58632</v>
      </c>
      <c r="AB2281" t="s">
        <v>1902</v>
      </c>
      <c r="AC2281" t="s">
        <v>97</v>
      </c>
      <c r="AD2281" t="s">
        <v>38</v>
      </c>
      <c r="AE2281" t="s">
        <v>49</v>
      </c>
      <c r="AF2281" t="s">
        <v>50</v>
      </c>
      <c r="AG2281">
        <v>0</v>
      </c>
      <c r="AH2281">
        <v>0</v>
      </c>
      <c r="AI2281" t="s">
        <v>51</v>
      </c>
      <c r="AJ2281" t="s">
        <v>51</v>
      </c>
      <c r="AK2281" t="s">
        <v>51</v>
      </c>
    </row>
    <row r="2282" spans="1:37" x14ac:dyDescent="0.2">
      <c r="A2282">
        <v>58617</v>
      </c>
      <c r="B2282" t="s">
        <v>37</v>
      </c>
      <c r="C2282" t="s">
        <v>196</v>
      </c>
      <c r="D2282" t="s">
        <v>295</v>
      </c>
      <c r="E2282" t="s">
        <v>40</v>
      </c>
      <c r="G2282" s="4">
        <v>43946.161412037037</v>
      </c>
      <c r="H2282" s="4">
        <v>43946.161412037037</v>
      </c>
      <c r="I2282" t="s">
        <v>50</v>
      </c>
      <c r="J2282" s="5">
        <v>0</v>
      </c>
      <c r="K2282" t="s">
        <v>1903</v>
      </c>
    </row>
    <row r="2283" spans="1:37" x14ac:dyDescent="0.2">
      <c r="A2283">
        <v>58616</v>
      </c>
      <c r="B2283" t="s">
        <v>37</v>
      </c>
      <c r="C2283" t="s">
        <v>38</v>
      </c>
      <c r="D2283" t="s">
        <v>295</v>
      </c>
      <c r="E2283" t="s">
        <v>423</v>
      </c>
      <c r="G2283" s="4">
        <v>43946.161412037037</v>
      </c>
      <c r="H2283" s="4">
        <v>43946.161412037037</v>
      </c>
      <c r="I2283" t="s">
        <v>50</v>
      </c>
      <c r="J2283" s="5">
        <v>0</v>
      </c>
      <c r="K2283" t="s">
        <v>38</v>
      </c>
      <c r="M2283">
        <v>58622</v>
      </c>
      <c r="N2283" t="s">
        <v>423</v>
      </c>
      <c r="O2283" t="s">
        <v>424</v>
      </c>
      <c r="P2283" t="s">
        <v>38</v>
      </c>
      <c r="Q2283" t="s">
        <v>50</v>
      </c>
      <c r="R2283">
        <v>0</v>
      </c>
      <c r="S2283" t="s">
        <v>45</v>
      </c>
      <c r="T2283" t="str" s="2">
        <f>=HYPERLINK("http://demo.enginatics.com:80/ecc/user/applications/log/58616.log","http://demo.enginatics.com:80/ecc/user/applications/log/58616.log")</f>
        <v>"http://demo.enginatics.com:80/ecc/user/applications/log/58616.log")</v>
      </c>
      <c r="U2283">
        <v>58623</v>
      </c>
      <c r="V2283" t="s">
        <v>38</v>
      </c>
      <c r="W2283" t="s">
        <v>50</v>
      </c>
      <c r="X2283">
        <v>0</v>
      </c>
      <c r="Y2283">
        <v>0</v>
      </c>
      <c r="Z2283" t="s">
        <v>46</v>
      </c>
      <c r="AA2283">
        <v>58625</v>
      </c>
      <c r="AB2283" t="s">
        <v>1904</v>
      </c>
      <c r="AC2283" t="s">
        <v>68</v>
      </c>
      <c r="AD2283" t="s">
        <v>38</v>
      </c>
      <c r="AE2283" t="s">
        <v>49</v>
      </c>
      <c r="AF2283" t="s">
        <v>50</v>
      </c>
      <c r="AG2283">
        <v>0</v>
      </c>
      <c r="AH2283">
        <v>0</v>
      </c>
      <c r="AI2283" t="s">
        <v>51</v>
      </c>
      <c r="AJ2283" t="s">
        <v>51</v>
      </c>
      <c r="AK2283" t="s">
        <v>51</v>
      </c>
    </row>
    <row r="2284" spans="1:37" x14ac:dyDescent="0.2">
      <c r="A2284">
        <v>58593</v>
      </c>
      <c r="B2284" t="s">
        <v>37</v>
      </c>
      <c r="C2284" t="s">
        <v>38</v>
      </c>
      <c r="D2284" t="s">
        <v>295</v>
      </c>
      <c r="E2284" t="s">
        <v>426</v>
      </c>
      <c r="G2284" s="4">
        <v>43946.161377314815</v>
      </c>
      <c r="H2284" s="4">
        <v>43946.161412037037</v>
      </c>
      <c r="I2284" t="s">
        <v>85</v>
      </c>
      <c r="J2284" s="5">
        <v>3</v>
      </c>
      <c r="K2284" t="s">
        <v>38</v>
      </c>
      <c r="M2284">
        <v>58608</v>
      </c>
      <c r="N2284" t="s">
        <v>426</v>
      </c>
      <c r="O2284" t="s">
        <v>427</v>
      </c>
      <c r="P2284" t="s">
        <v>38</v>
      </c>
      <c r="Q2284" t="s">
        <v>50</v>
      </c>
      <c r="R2284">
        <v>.9999999999999999999999999999999999999996</v>
      </c>
      <c r="S2284" t="s">
        <v>45</v>
      </c>
      <c r="T2284" t="str" s="2">
        <f>=HYPERLINK("http://demo.enginatics.com:80/ecc/user/applications/log/58593.log","http://demo.enginatics.com:80/ecc/user/applications/log/58593.log")</f>
        <v>"http://demo.enginatics.com:80/ecc/user/applications/log/58593.log")</v>
      </c>
      <c r="U2284">
        <v>58609</v>
      </c>
      <c r="V2284" t="s">
        <v>38</v>
      </c>
      <c r="W2284" t="s">
        <v>50</v>
      </c>
      <c r="X2284">
        <v>.9999999999999999999999999999999999999996</v>
      </c>
      <c r="Y2284">
        <v>0</v>
      </c>
      <c r="Z2284" t="s">
        <v>46</v>
      </c>
      <c r="AA2284">
        <v>58611</v>
      </c>
      <c r="AB2284" t="s">
        <v>428</v>
      </c>
      <c r="AC2284" t="s">
        <v>68</v>
      </c>
      <c r="AD2284" t="s">
        <v>38</v>
      </c>
      <c r="AE2284" t="s">
        <v>49</v>
      </c>
      <c r="AF2284" t="s">
        <v>50</v>
      </c>
      <c r="AG2284">
        <v>.9999999999999999999999999999999999999996</v>
      </c>
      <c r="AH2284">
        <v>0</v>
      </c>
      <c r="AI2284" t="s">
        <v>51</v>
      </c>
      <c r="AJ2284" t="s">
        <v>51</v>
      </c>
      <c r="AK2284" t="s">
        <v>51</v>
      </c>
    </row>
    <row r="2285" spans="1:37" x14ac:dyDescent="0.2">
      <c r="A2285">
        <v>58592</v>
      </c>
      <c r="B2285" t="s">
        <v>37</v>
      </c>
      <c r="C2285" t="s">
        <v>38</v>
      </c>
      <c r="D2285" t="s">
        <v>295</v>
      </c>
      <c r="E2285" t="s">
        <v>429</v>
      </c>
      <c r="G2285" s="4">
        <v>43946.161377314815</v>
      </c>
      <c r="H2285" s="4">
        <v>43946.161400462963</v>
      </c>
      <c r="I2285" t="s">
        <v>88</v>
      </c>
      <c r="J2285" s="5">
        <v>2</v>
      </c>
      <c r="K2285" t="s">
        <v>38</v>
      </c>
      <c r="M2285">
        <v>58594</v>
      </c>
      <c r="N2285" t="s">
        <v>429</v>
      </c>
      <c r="O2285" t="s">
        <v>430</v>
      </c>
      <c r="P2285" t="s">
        <v>38</v>
      </c>
      <c r="Q2285" t="s">
        <v>50</v>
      </c>
      <c r="R2285">
        <v>.9999999999999999999999999999999999999996</v>
      </c>
      <c r="S2285" t="s">
        <v>45</v>
      </c>
      <c r="T2285" t="str" s="2">
        <f>=HYPERLINK("http://demo.enginatics.com:80/ecc/user/applications/log/58592.log","http://demo.enginatics.com:80/ecc/user/applications/log/58592.log")</f>
        <v>"http://demo.enginatics.com:80/ecc/user/applications/log/58592.log")</v>
      </c>
      <c r="U2285">
        <v>58595</v>
      </c>
      <c r="V2285" t="s">
        <v>38</v>
      </c>
      <c r="W2285" t="s">
        <v>50</v>
      </c>
      <c r="X2285">
        <v>.9999999999999999999999999999999999999996</v>
      </c>
      <c r="Y2285">
        <v>0</v>
      </c>
      <c r="Z2285" t="s">
        <v>46</v>
      </c>
      <c r="AA2285">
        <v>58598</v>
      </c>
      <c r="AB2285" t="s">
        <v>431</v>
      </c>
      <c r="AC2285" t="s">
        <v>68</v>
      </c>
      <c r="AD2285" t="s">
        <v>38</v>
      </c>
      <c r="AE2285" t="s">
        <v>49</v>
      </c>
      <c r="AF2285" t="s">
        <v>50</v>
      </c>
      <c r="AG2285">
        <v>.9999999999999999999999999999999999999996</v>
      </c>
      <c r="AH2285">
        <v>1</v>
      </c>
      <c r="AI2285" t="s">
        <v>51</v>
      </c>
      <c r="AJ2285" t="s">
        <v>51</v>
      </c>
      <c r="AK2285" t="s">
        <v>51</v>
      </c>
    </row>
    <row r="2286" spans="1:37" x14ac:dyDescent="0.2">
      <c r="A2286">
        <v>58565</v>
      </c>
      <c r="B2286" t="s">
        <v>37</v>
      </c>
      <c r="C2286" t="s">
        <v>196</v>
      </c>
      <c r="D2286" t="s">
        <v>361</v>
      </c>
      <c r="E2286" t="s">
        <v>40</v>
      </c>
      <c r="G2286" s="4">
        <v>43946.161296296296</v>
      </c>
      <c r="H2286" s="4">
        <v>43946.161423611111</v>
      </c>
      <c r="I2286" t="s">
        <v>337</v>
      </c>
      <c r="J2286" s="5">
        <v>11.00000000000000000000000000000000000002</v>
      </c>
      <c r="K2286" t="s">
        <v>196</v>
      </c>
      <c r="M2286">
        <v>58634</v>
      </c>
      <c r="N2286" t="s">
        <v>362</v>
      </c>
      <c r="O2286" t="s">
        <v>363</v>
      </c>
      <c r="P2286" t="s">
        <v>196</v>
      </c>
      <c r="Q2286" t="s">
        <v>50</v>
      </c>
      <c r="R2286">
        <v>0</v>
      </c>
      <c r="S2286" t="s">
        <v>364</v>
      </c>
      <c r="T2286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86">
        <v>58635</v>
      </c>
      <c r="V2286" t="s">
        <v>196</v>
      </c>
      <c r="W2286" t="s">
        <v>50</v>
      </c>
      <c r="X2286">
        <v>0</v>
      </c>
      <c r="Y2286">
        <v>0</v>
      </c>
      <c r="Z2286" t="s">
        <v>1905</v>
      </c>
    </row>
    <row r="2287" spans="1:37" x14ac:dyDescent="0.2">
      <c r="A2287">
        <v>58565</v>
      </c>
      <c r="B2287" t="s">
        <v>37</v>
      </c>
      <c r="C2287" t="s">
        <v>196</v>
      </c>
      <c r="D2287" t="s">
        <v>361</v>
      </c>
      <c r="E2287" t="s">
        <v>40</v>
      </c>
      <c r="G2287" s="4">
        <v>43946.161296296296</v>
      </c>
      <c r="H2287" s="4">
        <v>43946.161423611111</v>
      </c>
      <c r="I2287" t="s">
        <v>337</v>
      </c>
      <c r="J2287" s="5">
        <v>11.00000000000000000000000000000000000002</v>
      </c>
      <c r="K2287" t="s">
        <v>196</v>
      </c>
      <c r="M2287">
        <v>58627</v>
      </c>
      <c r="N2287" t="s">
        <v>366</v>
      </c>
      <c r="O2287" t="s">
        <v>367</v>
      </c>
      <c r="P2287" t="s">
        <v>38</v>
      </c>
      <c r="Q2287" t="s">
        <v>50</v>
      </c>
      <c r="R2287">
        <v>.9999999999999999999999999999999999999996</v>
      </c>
      <c r="S2287" t="s">
        <v>45</v>
      </c>
      <c r="T2287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87">
        <v>58629</v>
      </c>
      <c r="V2287" t="s">
        <v>38</v>
      </c>
      <c r="W2287" t="s">
        <v>50</v>
      </c>
      <c r="X2287">
        <v>.9999999999999999999999999999999999999996</v>
      </c>
      <c r="Y2287">
        <v>0</v>
      </c>
      <c r="Z2287" t="s">
        <v>46</v>
      </c>
      <c r="AA2287">
        <v>58631</v>
      </c>
      <c r="AB2287" t="s">
        <v>1906</v>
      </c>
      <c r="AC2287" t="s">
        <v>97</v>
      </c>
      <c r="AD2287" t="s">
        <v>38</v>
      </c>
      <c r="AE2287" t="s">
        <v>49</v>
      </c>
      <c r="AF2287" t="s">
        <v>50</v>
      </c>
      <c r="AG2287">
        <v>.9999999999999999999999999999999999999996</v>
      </c>
      <c r="AH2287">
        <v>0</v>
      </c>
      <c r="AI2287" t="s">
        <v>51</v>
      </c>
      <c r="AJ2287" t="s">
        <v>51</v>
      </c>
      <c r="AK2287" t="s">
        <v>51</v>
      </c>
    </row>
    <row r="2288" spans="1:37" x14ac:dyDescent="0.2">
      <c r="A2288">
        <v>58565</v>
      </c>
      <c r="B2288" t="s">
        <v>37</v>
      </c>
      <c r="C2288" t="s">
        <v>196</v>
      </c>
      <c r="D2288" t="s">
        <v>361</v>
      </c>
      <c r="E2288" t="s">
        <v>40</v>
      </c>
      <c r="G2288" s="4">
        <v>43946.161296296296</v>
      </c>
      <c r="H2288" s="4">
        <v>43946.161423611111</v>
      </c>
      <c r="I2288" t="s">
        <v>337</v>
      </c>
      <c r="J2288" s="5">
        <v>11.00000000000000000000000000000000000002</v>
      </c>
      <c r="K2288" t="s">
        <v>196</v>
      </c>
      <c r="M2288">
        <v>58624</v>
      </c>
      <c r="N2288" t="s">
        <v>369</v>
      </c>
      <c r="O2288" t="s">
        <v>345</v>
      </c>
      <c r="P2288" t="s">
        <v>196</v>
      </c>
      <c r="Q2288" t="s">
        <v>50</v>
      </c>
      <c r="R2288">
        <v>0</v>
      </c>
      <c r="S2288" t="s">
        <v>370</v>
      </c>
      <c r="T2288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88">
        <v>58626</v>
      </c>
      <c r="V2288" t="s">
        <v>196</v>
      </c>
      <c r="W2288" t="s">
        <v>50</v>
      </c>
      <c r="X2288">
        <v>0</v>
      </c>
      <c r="Y2288">
        <v>0</v>
      </c>
      <c r="Z2288" t="s">
        <v>1907</v>
      </c>
    </row>
    <row r="2289" spans="1:37" x14ac:dyDescent="0.2">
      <c r="A2289">
        <v>58565</v>
      </c>
      <c r="B2289" t="s">
        <v>37</v>
      </c>
      <c r="C2289" t="s">
        <v>196</v>
      </c>
      <c r="D2289" t="s">
        <v>361</v>
      </c>
      <c r="E2289" t="s">
        <v>40</v>
      </c>
      <c r="G2289" s="4">
        <v>43946.161296296296</v>
      </c>
      <c r="H2289" s="4">
        <v>43946.161423611111</v>
      </c>
      <c r="I2289" t="s">
        <v>337</v>
      </c>
      <c r="J2289" s="5">
        <v>11.00000000000000000000000000000000000002</v>
      </c>
      <c r="K2289" t="s">
        <v>196</v>
      </c>
      <c r="M2289">
        <v>58610</v>
      </c>
      <c r="N2289" t="s">
        <v>372</v>
      </c>
      <c r="O2289" t="s">
        <v>373</v>
      </c>
      <c r="P2289" t="s">
        <v>38</v>
      </c>
      <c r="Q2289" t="s">
        <v>50</v>
      </c>
      <c r="R2289">
        <v>.9999999999999999999999999999999999999996</v>
      </c>
      <c r="S2289" t="s">
        <v>45</v>
      </c>
      <c r="T2289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89">
        <v>58612</v>
      </c>
      <c r="V2289" t="s">
        <v>38</v>
      </c>
      <c r="W2289" t="s">
        <v>50</v>
      </c>
      <c r="X2289">
        <v>.9999999999999999999999999999999999999996</v>
      </c>
      <c r="Y2289">
        <v>0</v>
      </c>
      <c r="Z2289" t="s">
        <v>46</v>
      </c>
      <c r="AA2289">
        <v>58621</v>
      </c>
      <c r="AB2289" t="s">
        <v>1908</v>
      </c>
      <c r="AC2289" t="s">
        <v>103</v>
      </c>
      <c r="AD2289" t="s">
        <v>38</v>
      </c>
      <c r="AE2289" t="s">
        <v>49</v>
      </c>
      <c r="AF2289" t="s">
        <v>50</v>
      </c>
      <c r="AG2289">
        <v>0</v>
      </c>
      <c r="AH2289">
        <v>0</v>
      </c>
      <c r="AI2289" t="s">
        <v>51</v>
      </c>
      <c r="AJ2289" t="s">
        <v>51</v>
      </c>
      <c r="AK2289" t="s">
        <v>51</v>
      </c>
    </row>
    <row r="2290" spans="1:37" x14ac:dyDescent="0.2">
      <c r="A2290">
        <v>58565</v>
      </c>
      <c r="B2290" t="s">
        <v>37</v>
      </c>
      <c r="C2290" t="s">
        <v>196</v>
      </c>
      <c r="D2290" t="s">
        <v>361</v>
      </c>
      <c r="E2290" t="s">
        <v>40</v>
      </c>
      <c r="G2290" s="4">
        <v>43946.161296296296</v>
      </c>
      <c r="H2290" s="4">
        <v>43946.161423611111</v>
      </c>
      <c r="I2290" t="s">
        <v>337</v>
      </c>
      <c r="J2290" s="5">
        <v>11.00000000000000000000000000000000000002</v>
      </c>
      <c r="K2290" t="s">
        <v>196</v>
      </c>
      <c r="M2290">
        <v>58610</v>
      </c>
      <c r="N2290" t="s">
        <v>372</v>
      </c>
      <c r="O2290" t="s">
        <v>373</v>
      </c>
      <c r="P2290" t="s">
        <v>38</v>
      </c>
      <c r="Q2290" t="s">
        <v>50</v>
      </c>
      <c r="R2290">
        <v>.9999999999999999999999999999999999999996</v>
      </c>
      <c r="S2290" t="s">
        <v>45</v>
      </c>
      <c r="T2290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0">
        <v>58612</v>
      </c>
      <c r="V2290" t="s">
        <v>38</v>
      </c>
      <c r="W2290" t="s">
        <v>50</v>
      </c>
      <c r="X2290">
        <v>.9999999999999999999999999999999999999996</v>
      </c>
      <c r="Y2290">
        <v>0</v>
      </c>
      <c r="Z2290" t="s">
        <v>46</v>
      </c>
      <c r="AA2290">
        <v>58620</v>
      </c>
      <c r="AB2290" t="s">
        <v>1909</v>
      </c>
      <c r="AC2290" t="s">
        <v>103</v>
      </c>
      <c r="AD2290" t="s">
        <v>38</v>
      </c>
      <c r="AE2290" t="s">
        <v>49</v>
      </c>
      <c r="AF2290" t="s">
        <v>50</v>
      </c>
      <c r="AG2290">
        <v>0</v>
      </c>
      <c r="AH2290">
        <v>0</v>
      </c>
      <c r="AI2290" t="s">
        <v>51</v>
      </c>
      <c r="AJ2290" t="s">
        <v>51</v>
      </c>
      <c r="AK2290" t="s">
        <v>51</v>
      </c>
    </row>
    <row r="2291" spans="1:37" x14ac:dyDescent="0.2">
      <c r="A2291">
        <v>58565</v>
      </c>
      <c r="B2291" t="s">
        <v>37</v>
      </c>
      <c r="C2291" t="s">
        <v>196</v>
      </c>
      <c r="D2291" t="s">
        <v>361</v>
      </c>
      <c r="E2291" t="s">
        <v>40</v>
      </c>
      <c r="G2291" s="4">
        <v>43946.161296296296</v>
      </c>
      <c r="H2291" s="4">
        <v>43946.161423611111</v>
      </c>
      <c r="I2291" t="s">
        <v>337</v>
      </c>
      <c r="J2291" s="5">
        <v>11.00000000000000000000000000000000000002</v>
      </c>
      <c r="K2291" t="s">
        <v>196</v>
      </c>
      <c r="M2291">
        <v>58610</v>
      </c>
      <c r="N2291" t="s">
        <v>372</v>
      </c>
      <c r="O2291" t="s">
        <v>373</v>
      </c>
      <c r="P2291" t="s">
        <v>38</v>
      </c>
      <c r="Q2291" t="s">
        <v>50</v>
      </c>
      <c r="R2291">
        <v>.9999999999999999999999999999999999999996</v>
      </c>
      <c r="S2291" t="s">
        <v>45</v>
      </c>
      <c r="T2291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1">
        <v>58612</v>
      </c>
      <c r="V2291" t="s">
        <v>38</v>
      </c>
      <c r="W2291" t="s">
        <v>50</v>
      </c>
      <c r="X2291">
        <v>.9999999999999999999999999999999999999996</v>
      </c>
      <c r="Y2291">
        <v>0</v>
      </c>
      <c r="Z2291" t="s">
        <v>46</v>
      </c>
      <c r="AA2291">
        <v>58618</v>
      </c>
      <c r="AB2291" t="s">
        <v>1910</v>
      </c>
      <c r="AC2291" t="s">
        <v>103</v>
      </c>
      <c r="AD2291" t="s">
        <v>38</v>
      </c>
      <c r="AE2291" t="s">
        <v>49</v>
      </c>
      <c r="AF2291" t="s">
        <v>50</v>
      </c>
      <c r="AG2291">
        <v>0</v>
      </c>
      <c r="AH2291">
        <v>0</v>
      </c>
      <c r="AI2291" t="s">
        <v>51</v>
      </c>
      <c r="AJ2291" t="s">
        <v>51</v>
      </c>
      <c r="AK2291" t="s">
        <v>51</v>
      </c>
    </row>
    <row r="2292" spans="1:37" x14ac:dyDescent="0.2">
      <c r="A2292">
        <v>58565</v>
      </c>
      <c r="B2292" t="s">
        <v>37</v>
      </c>
      <c r="C2292" t="s">
        <v>196</v>
      </c>
      <c r="D2292" t="s">
        <v>361</v>
      </c>
      <c r="E2292" t="s">
        <v>40</v>
      </c>
      <c r="G2292" s="4">
        <v>43946.161296296296</v>
      </c>
      <c r="H2292" s="4">
        <v>43946.161423611111</v>
      </c>
      <c r="I2292" t="s">
        <v>337</v>
      </c>
      <c r="J2292" s="5">
        <v>11.00000000000000000000000000000000000002</v>
      </c>
      <c r="K2292" t="s">
        <v>196</v>
      </c>
      <c r="M2292">
        <v>58610</v>
      </c>
      <c r="N2292" t="s">
        <v>372</v>
      </c>
      <c r="O2292" t="s">
        <v>373</v>
      </c>
      <c r="P2292" t="s">
        <v>38</v>
      </c>
      <c r="Q2292" t="s">
        <v>50</v>
      </c>
      <c r="R2292">
        <v>.9999999999999999999999999999999999999996</v>
      </c>
      <c r="S2292" t="s">
        <v>45</v>
      </c>
      <c r="T2292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2">
        <v>58612</v>
      </c>
      <c r="V2292" t="s">
        <v>38</v>
      </c>
      <c r="W2292" t="s">
        <v>50</v>
      </c>
      <c r="X2292">
        <v>.9999999999999999999999999999999999999996</v>
      </c>
      <c r="Y2292">
        <v>0</v>
      </c>
      <c r="Z2292" t="s">
        <v>46</v>
      </c>
      <c r="AA2292">
        <v>58615</v>
      </c>
      <c r="AB2292" t="s">
        <v>1911</v>
      </c>
      <c r="AC2292" t="s">
        <v>103</v>
      </c>
      <c r="AD2292" t="s">
        <v>38</v>
      </c>
      <c r="AE2292" t="s">
        <v>49</v>
      </c>
      <c r="AF2292" t="s">
        <v>50</v>
      </c>
      <c r="AG2292">
        <v>0</v>
      </c>
      <c r="AH2292">
        <v>0</v>
      </c>
      <c r="AI2292" t="s">
        <v>51</v>
      </c>
      <c r="AJ2292" t="s">
        <v>51</v>
      </c>
      <c r="AK2292" t="s">
        <v>51</v>
      </c>
    </row>
    <row r="2293" spans="1:37" x14ac:dyDescent="0.2">
      <c r="A2293">
        <v>58565</v>
      </c>
      <c r="B2293" t="s">
        <v>37</v>
      </c>
      <c r="C2293" t="s">
        <v>196</v>
      </c>
      <c r="D2293" t="s">
        <v>361</v>
      </c>
      <c r="E2293" t="s">
        <v>40</v>
      </c>
      <c r="G2293" s="4">
        <v>43946.161296296296</v>
      </c>
      <c r="H2293" s="4">
        <v>43946.161423611111</v>
      </c>
      <c r="I2293" t="s">
        <v>337</v>
      </c>
      <c r="J2293" s="5">
        <v>11.00000000000000000000000000000000000002</v>
      </c>
      <c r="K2293" t="s">
        <v>196</v>
      </c>
      <c r="M2293">
        <v>58610</v>
      </c>
      <c r="N2293" t="s">
        <v>372</v>
      </c>
      <c r="O2293" t="s">
        <v>373</v>
      </c>
      <c r="P2293" t="s">
        <v>38</v>
      </c>
      <c r="Q2293" t="s">
        <v>50</v>
      </c>
      <c r="R2293">
        <v>.9999999999999999999999999999999999999996</v>
      </c>
      <c r="S2293" t="s">
        <v>45</v>
      </c>
      <c r="T2293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3">
        <v>58612</v>
      </c>
      <c r="V2293" t="s">
        <v>38</v>
      </c>
      <c r="W2293" t="s">
        <v>50</v>
      </c>
      <c r="X2293">
        <v>.9999999999999999999999999999999999999996</v>
      </c>
      <c r="Y2293">
        <v>0</v>
      </c>
      <c r="Z2293" t="s">
        <v>46</v>
      </c>
      <c r="AA2293">
        <v>58614</v>
      </c>
      <c r="AB2293" t="s">
        <v>1912</v>
      </c>
      <c r="AC2293" t="s">
        <v>103</v>
      </c>
      <c r="AD2293" t="s">
        <v>38</v>
      </c>
      <c r="AE2293" t="s">
        <v>49</v>
      </c>
      <c r="AF2293" t="s">
        <v>50</v>
      </c>
      <c r="AG2293">
        <v>.9999999999999999999999999999999999999996</v>
      </c>
      <c r="AH2293">
        <v>0</v>
      </c>
      <c r="AI2293" t="s">
        <v>51</v>
      </c>
      <c r="AJ2293" t="s">
        <v>51</v>
      </c>
      <c r="AK2293" t="s">
        <v>51</v>
      </c>
    </row>
    <row r="2294" spans="1:37" x14ac:dyDescent="0.2">
      <c r="A2294">
        <v>58565</v>
      </c>
      <c r="B2294" t="s">
        <v>37</v>
      </c>
      <c r="C2294" t="s">
        <v>196</v>
      </c>
      <c r="D2294" t="s">
        <v>361</v>
      </c>
      <c r="E2294" t="s">
        <v>40</v>
      </c>
      <c r="G2294" s="4">
        <v>43946.161296296296</v>
      </c>
      <c r="H2294" s="4">
        <v>43946.161423611111</v>
      </c>
      <c r="I2294" t="s">
        <v>337</v>
      </c>
      <c r="J2294" s="5">
        <v>11.00000000000000000000000000000000000002</v>
      </c>
      <c r="K2294" t="s">
        <v>196</v>
      </c>
      <c r="M2294">
        <v>58610</v>
      </c>
      <c r="N2294" t="s">
        <v>372</v>
      </c>
      <c r="O2294" t="s">
        <v>373</v>
      </c>
      <c r="P2294" t="s">
        <v>38</v>
      </c>
      <c r="Q2294" t="s">
        <v>50</v>
      </c>
      <c r="R2294">
        <v>.9999999999999999999999999999999999999996</v>
      </c>
      <c r="S2294" t="s">
        <v>45</v>
      </c>
      <c r="T2294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4">
        <v>58612</v>
      </c>
      <c r="V2294" t="s">
        <v>38</v>
      </c>
      <c r="W2294" t="s">
        <v>50</v>
      </c>
      <c r="X2294">
        <v>.9999999999999999999999999999999999999996</v>
      </c>
      <c r="Y2294">
        <v>0</v>
      </c>
      <c r="Z2294" t="s">
        <v>46</v>
      </c>
      <c r="AA2294">
        <v>58613</v>
      </c>
      <c r="AB2294" t="s">
        <v>1913</v>
      </c>
      <c r="AC2294" t="s">
        <v>103</v>
      </c>
      <c r="AD2294" t="s">
        <v>38</v>
      </c>
      <c r="AE2294" t="s">
        <v>49</v>
      </c>
      <c r="AF2294" t="s">
        <v>50</v>
      </c>
      <c r="AG2294">
        <v>0</v>
      </c>
      <c r="AH2294">
        <v>0</v>
      </c>
      <c r="AI2294" t="s">
        <v>51</v>
      </c>
      <c r="AJ2294" t="s">
        <v>51</v>
      </c>
      <c r="AK2294" t="s">
        <v>51</v>
      </c>
    </row>
    <row r="2295" spans="1:37" x14ac:dyDescent="0.2">
      <c r="A2295">
        <v>58565</v>
      </c>
      <c r="B2295" t="s">
        <v>37</v>
      </c>
      <c r="C2295" t="s">
        <v>196</v>
      </c>
      <c r="D2295" t="s">
        <v>361</v>
      </c>
      <c r="E2295" t="s">
        <v>40</v>
      </c>
      <c r="G2295" s="4">
        <v>43946.161296296296</v>
      </c>
      <c r="H2295" s="4">
        <v>43946.161423611111</v>
      </c>
      <c r="I2295" t="s">
        <v>337</v>
      </c>
      <c r="J2295" s="5">
        <v>11.00000000000000000000000000000000000002</v>
      </c>
      <c r="K2295" t="s">
        <v>196</v>
      </c>
      <c r="M2295">
        <v>58600</v>
      </c>
      <c r="N2295" t="s">
        <v>380</v>
      </c>
      <c r="O2295" t="s">
        <v>381</v>
      </c>
      <c r="P2295" t="s">
        <v>38</v>
      </c>
      <c r="Q2295" t="s">
        <v>50</v>
      </c>
      <c r="R2295">
        <v>.9999999999999999999999999999999999999996</v>
      </c>
      <c r="S2295" t="s">
        <v>45</v>
      </c>
      <c r="T2295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5">
        <v>58601</v>
      </c>
      <c r="V2295" t="s">
        <v>38</v>
      </c>
      <c r="W2295" t="s">
        <v>50</v>
      </c>
      <c r="X2295">
        <v>.9999999999999999999999999999999999999996</v>
      </c>
      <c r="Y2295">
        <v>0</v>
      </c>
      <c r="Z2295" t="s">
        <v>46</v>
      </c>
      <c r="AA2295">
        <v>58607</v>
      </c>
      <c r="AB2295" t="s">
        <v>1914</v>
      </c>
      <c r="AC2295" t="s">
        <v>103</v>
      </c>
      <c r="AD2295" t="s">
        <v>38</v>
      </c>
      <c r="AE2295" t="s">
        <v>49</v>
      </c>
      <c r="AF2295" t="s">
        <v>50</v>
      </c>
      <c r="AG2295">
        <v>0</v>
      </c>
      <c r="AH2295">
        <v>0</v>
      </c>
      <c r="AI2295" t="s">
        <v>51</v>
      </c>
      <c r="AJ2295" t="s">
        <v>51</v>
      </c>
      <c r="AK2295" t="s">
        <v>51</v>
      </c>
    </row>
    <row r="2296" spans="1:37" x14ac:dyDescent="0.2">
      <c r="A2296">
        <v>58565</v>
      </c>
      <c r="B2296" t="s">
        <v>37</v>
      </c>
      <c r="C2296" t="s">
        <v>196</v>
      </c>
      <c r="D2296" t="s">
        <v>361</v>
      </c>
      <c r="E2296" t="s">
        <v>40</v>
      </c>
      <c r="G2296" s="4">
        <v>43946.161296296296</v>
      </c>
      <c r="H2296" s="4">
        <v>43946.161423611111</v>
      </c>
      <c r="I2296" t="s">
        <v>337</v>
      </c>
      <c r="J2296" s="5">
        <v>11.00000000000000000000000000000000000002</v>
      </c>
      <c r="K2296" t="s">
        <v>196</v>
      </c>
      <c r="M2296">
        <v>58600</v>
      </c>
      <c r="N2296" t="s">
        <v>380</v>
      </c>
      <c r="O2296" t="s">
        <v>381</v>
      </c>
      <c r="P2296" t="s">
        <v>38</v>
      </c>
      <c r="Q2296" t="s">
        <v>50</v>
      </c>
      <c r="R2296">
        <v>.9999999999999999999999999999999999999996</v>
      </c>
      <c r="S2296" t="s">
        <v>45</v>
      </c>
      <c r="T2296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6">
        <v>58601</v>
      </c>
      <c r="V2296" t="s">
        <v>38</v>
      </c>
      <c r="W2296" t="s">
        <v>50</v>
      </c>
      <c r="X2296">
        <v>.9999999999999999999999999999999999999996</v>
      </c>
      <c r="Y2296">
        <v>0</v>
      </c>
      <c r="Z2296" t="s">
        <v>46</v>
      </c>
      <c r="AA2296">
        <v>58606</v>
      </c>
      <c r="AB2296" t="s">
        <v>1915</v>
      </c>
      <c r="AC2296" t="s">
        <v>103</v>
      </c>
      <c r="AD2296" t="s">
        <v>38</v>
      </c>
      <c r="AE2296" t="s">
        <v>49</v>
      </c>
      <c r="AF2296" t="s">
        <v>50</v>
      </c>
      <c r="AG2296">
        <v>0</v>
      </c>
      <c r="AH2296">
        <v>0</v>
      </c>
      <c r="AI2296" t="s">
        <v>51</v>
      </c>
      <c r="AJ2296" t="s">
        <v>51</v>
      </c>
      <c r="AK2296" t="s">
        <v>51</v>
      </c>
    </row>
    <row r="2297" spans="1:37" x14ac:dyDescent="0.2">
      <c r="A2297">
        <v>58565</v>
      </c>
      <c r="B2297" t="s">
        <v>37</v>
      </c>
      <c r="C2297" t="s">
        <v>196</v>
      </c>
      <c r="D2297" t="s">
        <v>361</v>
      </c>
      <c r="E2297" t="s">
        <v>40</v>
      </c>
      <c r="G2297" s="4">
        <v>43946.161296296296</v>
      </c>
      <c r="H2297" s="4">
        <v>43946.161423611111</v>
      </c>
      <c r="I2297" t="s">
        <v>337</v>
      </c>
      <c r="J2297" s="5">
        <v>11.00000000000000000000000000000000000002</v>
      </c>
      <c r="K2297" t="s">
        <v>196</v>
      </c>
      <c r="M2297">
        <v>58600</v>
      </c>
      <c r="N2297" t="s">
        <v>380</v>
      </c>
      <c r="O2297" t="s">
        <v>381</v>
      </c>
      <c r="P2297" t="s">
        <v>38</v>
      </c>
      <c r="Q2297" t="s">
        <v>50</v>
      </c>
      <c r="R2297">
        <v>.9999999999999999999999999999999999999996</v>
      </c>
      <c r="S2297" t="s">
        <v>45</v>
      </c>
      <c r="T2297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7">
        <v>58601</v>
      </c>
      <c r="V2297" t="s">
        <v>38</v>
      </c>
      <c r="W2297" t="s">
        <v>50</v>
      </c>
      <c r="X2297">
        <v>.9999999999999999999999999999999999999996</v>
      </c>
      <c r="Y2297">
        <v>0</v>
      </c>
      <c r="Z2297" t="s">
        <v>46</v>
      </c>
      <c r="AA2297">
        <v>58605</v>
      </c>
      <c r="AB2297" t="s">
        <v>1916</v>
      </c>
      <c r="AC2297" t="s">
        <v>103</v>
      </c>
      <c r="AD2297" t="s">
        <v>38</v>
      </c>
      <c r="AE2297" t="s">
        <v>49</v>
      </c>
      <c r="AF2297" t="s">
        <v>50</v>
      </c>
      <c r="AG2297">
        <v>0</v>
      </c>
      <c r="AH2297">
        <v>0</v>
      </c>
      <c r="AI2297" t="s">
        <v>51</v>
      </c>
      <c r="AJ2297" t="s">
        <v>51</v>
      </c>
      <c r="AK2297" t="s">
        <v>51</v>
      </c>
    </row>
    <row r="2298" spans="1:37" x14ac:dyDescent="0.2">
      <c r="A2298">
        <v>58565</v>
      </c>
      <c r="B2298" t="s">
        <v>37</v>
      </c>
      <c r="C2298" t="s">
        <v>196</v>
      </c>
      <c r="D2298" t="s">
        <v>361</v>
      </c>
      <c r="E2298" t="s">
        <v>40</v>
      </c>
      <c r="G2298" s="4">
        <v>43946.161296296296</v>
      </c>
      <c r="H2298" s="4">
        <v>43946.161423611111</v>
      </c>
      <c r="I2298" t="s">
        <v>337</v>
      </c>
      <c r="J2298" s="5">
        <v>11.00000000000000000000000000000000000002</v>
      </c>
      <c r="K2298" t="s">
        <v>196</v>
      </c>
      <c r="M2298">
        <v>58600</v>
      </c>
      <c r="N2298" t="s">
        <v>380</v>
      </c>
      <c r="O2298" t="s">
        <v>381</v>
      </c>
      <c r="P2298" t="s">
        <v>38</v>
      </c>
      <c r="Q2298" t="s">
        <v>50</v>
      </c>
      <c r="R2298">
        <v>.9999999999999999999999999999999999999996</v>
      </c>
      <c r="S2298" t="s">
        <v>45</v>
      </c>
      <c r="T2298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8">
        <v>58601</v>
      </c>
      <c r="V2298" t="s">
        <v>38</v>
      </c>
      <c r="W2298" t="s">
        <v>50</v>
      </c>
      <c r="X2298">
        <v>.9999999999999999999999999999999999999996</v>
      </c>
      <c r="Y2298">
        <v>0</v>
      </c>
      <c r="Z2298" t="s">
        <v>46</v>
      </c>
      <c r="AA2298">
        <v>58604</v>
      </c>
      <c r="AB2298" t="s">
        <v>1917</v>
      </c>
      <c r="AC2298" t="s">
        <v>103</v>
      </c>
      <c r="AD2298" t="s">
        <v>38</v>
      </c>
      <c r="AE2298" t="s">
        <v>49</v>
      </c>
      <c r="AF2298" t="s">
        <v>50</v>
      </c>
      <c r="AG2298">
        <v>0</v>
      </c>
      <c r="AH2298">
        <v>0</v>
      </c>
      <c r="AI2298" t="s">
        <v>51</v>
      </c>
      <c r="AJ2298" t="s">
        <v>51</v>
      </c>
      <c r="AK2298" t="s">
        <v>51</v>
      </c>
    </row>
    <row r="2299" spans="1:37" x14ac:dyDescent="0.2">
      <c r="A2299">
        <v>58565</v>
      </c>
      <c r="B2299" t="s">
        <v>37</v>
      </c>
      <c r="C2299" t="s">
        <v>196</v>
      </c>
      <c r="D2299" t="s">
        <v>361</v>
      </c>
      <c r="E2299" t="s">
        <v>40</v>
      </c>
      <c r="G2299" s="4">
        <v>43946.161296296296</v>
      </c>
      <c r="H2299" s="4">
        <v>43946.161423611111</v>
      </c>
      <c r="I2299" t="s">
        <v>337</v>
      </c>
      <c r="J2299" s="5">
        <v>11.00000000000000000000000000000000000002</v>
      </c>
      <c r="K2299" t="s">
        <v>196</v>
      </c>
      <c r="M2299">
        <v>58600</v>
      </c>
      <c r="N2299" t="s">
        <v>380</v>
      </c>
      <c r="O2299" t="s">
        <v>381</v>
      </c>
      <c r="P2299" t="s">
        <v>38</v>
      </c>
      <c r="Q2299" t="s">
        <v>50</v>
      </c>
      <c r="R2299">
        <v>.9999999999999999999999999999999999999996</v>
      </c>
      <c r="S2299" t="s">
        <v>45</v>
      </c>
      <c r="T2299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299">
        <v>58601</v>
      </c>
      <c r="V2299" t="s">
        <v>38</v>
      </c>
      <c r="W2299" t="s">
        <v>50</v>
      </c>
      <c r="X2299">
        <v>.9999999999999999999999999999999999999996</v>
      </c>
      <c r="Y2299">
        <v>0</v>
      </c>
      <c r="Z2299" t="s">
        <v>46</v>
      </c>
      <c r="AA2299">
        <v>58603</v>
      </c>
      <c r="AB2299" t="s">
        <v>1918</v>
      </c>
      <c r="AC2299" t="s">
        <v>103</v>
      </c>
      <c r="AD2299" t="s">
        <v>38</v>
      </c>
      <c r="AE2299" t="s">
        <v>49</v>
      </c>
      <c r="AF2299" t="s">
        <v>50</v>
      </c>
      <c r="AG2299">
        <v>.9999999999999999999999999999999999999996</v>
      </c>
      <c r="AH2299">
        <v>0</v>
      </c>
      <c r="AI2299" t="s">
        <v>51</v>
      </c>
      <c r="AJ2299" t="s">
        <v>51</v>
      </c>
      <c r="AK2299" t="s">
        <v>51</v>
      </c>
    </row>
    <row r="2300" spans="1:37" x14ac:dyDescent="0.2">
      <c r="A2300">
        <v>58565</v>
      </c>
      <c r="B2300" t="s">
        <v>37</v>
      </c>
      <c r="C2300" t="s">
        <v>196</v>
      </c>
      <c r="D2300" t="s">
        <v>361</v>
      </c>
      <c r="E2300" t="s">
        <v>40</v>
      </c>
      <c r="G2300" s="4">
        <v>43946.161296296296</v>
      </c>
      <c r="H2300" s="4">
        <v>43946.161423611111</v>
      </c>
      <c r="I2300" t="s">
        <v>337</v>
      </c>
      <c r="J2300" s="5">
        <v>11.00000000000000000000000000000000000002</v>
      </c>
      <c r="K2300" t="s">
        <v>196</v>
      </c>
      <c r="M2300">
        <v>58600</v>
      </c>
      <c r="N2300" t="s">
        <v>380</v>
      </c>
      <c r="O2300" t="s">
        <v>381</v>
      </c>
      <c r="P2300" t="s">
        <v>38</v>
      </c>
      <c r="Q2300" t="s">
        <v>50</v>
      </c>
      <c r="R2300">
        <v>.9999999999999999999999999999999999999996</v>
      </c>
      <c r="S2300" t="s">
        <v>45</v>
      </c>
      <c r="T2300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0">
        <v>58601</v>
      </c>
      <c r="V2300" t="s">
        <v>38</v>
      </c>
      <c r="W2300" t="s">
        <v>50</v>
      </c>
      <c r="X2300">
        <v>.9999999999999999999999999999999999999996</v>
      </c>
      <c r="Y2300">
        <v>0</v>
      </c>
      <c r="Z2300" t="s">
        <v>46</v>
      </c>
      <c r="AA2300">
        <v>58602</v>
      </c>
      <c r="AB2300" t="s">
        <v>1919</v>
      </c>
      <c r="AC2300" t="s">
        <v>103</v>
      </c>
      <c r="AD2300" t="s">
        <v>38</v>
      </c>
      <c r="AE2300" t="s">
        <v>49</v>
      </c>
      <c r="AF2300" t="s">
        <v>50</v>
      </c>
      <c r="AG2300">
        <v>0</v>
      </c>
      <c r="AH2300">
        <v>0</v>
      </c>
      <c r="AI2300" t="s">
        <v>51</v>
      </c>
      <c r="AJ2300" t="s">
        <v>51</v>
      </c>
      <c r="AK2300" t="s">
        <v>51</v>
      </c>
    </row>
    <row r="2301" spans="1:37" x14ac:dyDescent="0.2">
      <c r="A2301">
        <v>58565</v>
      </c>
      <c r="B2301" t="s">
        <v>37</v>
      </c>
      <c r="C2301" t="s">
        <v>196</v>
      </c>
      <c r="D2301" t="s">
        <v>361</v>
      </c>
      <c r="E2301" t="s">
        <v>40</v>
      </c>
      <c r="G2301" s="4">
        <v>43946.161296296296</v>
      </c>
      <c r="H2301" s="4">
        <v>43946.161423611111</v>
      </c>
      <c r="I2301" t="s">
        <v>337</v>
      </c>
      <c r="J2301" s="5">
        <v>11.00000000000000000000000000000000000002</v>
      </c>
      <c r="K2301" t="s">
        <v>196</v>
      </c>
      <c r="M2301">
        <v>58596</v>
      </c>
      <c r="N2301" t="s">
        <v>388</v>
      </c>
      <c r="O2301" t="s">
        <v>389</v>
      </c>
      <c r="P2301" t="s">
        <v>38</v>
      </c>
      <c r="Q2301" t="s">
        <v>50</v>
      </c>
      <c r="R2301">
        <v>0</v>
      </c>
      <c r="S2301" t="s">
        <v>45</v>
      </c>
      <c r="T2301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1">
        <v>58597</v>
      </c>
      <c r="V2301" t="s">
        <v>38</v>
      </c>
      <c r="W2301" t="s">
        <v>50</v>
      </c>
      <c r="X2301">
        <v>0</v>
      </c>
      <c r="Y2301">
        <v>0</v>
      </c>
      <c r="Z2301" t="s">
        <v>46</v>
      </c>
      <c r="AA2301">
        <v>58599</v>
      </c>
      <c r="AB2301" t="s">
        <v>1920</v>
      </c>
      <c r="AC2301" t="s">
        <v>97</v>
      </c>
      <c r="AD2301" t="s">
        <v>38</v>
      </c>
      <c r="AE2301" t="s">
        <v>49</v>
      </c>
      <c r="AF2301" t="s">
        <v>50</v>
      </c>
      <c r="AG2301">
        <v>0</v>
      </c>
      <c r="AH2301">
        <v>0</v>
      </c>
      <c r="AI2301" t="s">
        <v>51</v>
      </c>
      <c r="AJ2301" t="s">
        <v>51</v>
      </c>
      <c r="AK2301" t="s">
        <v>51</v>
      </c>
    </row>
    <row r="2302" spans="1:37" x14ac:dyDescent="0.2">
      <c r="A2302">
        <v>58565</v>
      </c>
      <c r="B2302" t="s">
        <v>37</v>
      </c>
      <c r="C2302" t="s">
        <v>196</v>
      </c>
      <c r="D2302" t="s">
        <v>361</v>
      </c>
      <c r="E2302" t="s">
        <v>40</v>
      </c>
      <c r="G2302" s="4">
        <v>43946.161296296296</v>
      </c>
      <c r="H2302" s="4">
        <v>43946.161423611111</v>
      </c>
      <c r="I2302" t="s">
        <v>337</v>
      </c>
      <c r="J2302" s="5">
        <v>11.00000000000000000000000000000000000002</v>
      </c>
      <c r="K2302" t="s">
        <v>196</v>
      </c>
      <c r="M2302">
        <v>58590</v>
      </c>
      <c r="N2302" t="s">
        <v>391</v>
      </c>
      <c r="O2302" t="s">
        <v>392</v>
      </c>
      <c r="P2302" t="s">
        <v>196</v>
      </c>
      <c r="Q2302" t="s">
        <v>50</v>
      </c>
      <c r="R2302">
        <v>.9999999999999999999999999999999999999996</v>
      </c>
      <c r="S2302" t="s">
        <v>393</v>
      </c>
      <c r="T2302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2">
        <v>58591</v>
      </c>
      <c r="V2302" t="s">
        <v>196</v>
      </c>
      <c r="W2302" t="s">
        <v>50</v>
      </c>
      <c r="X2302">
        <v>.9999999999999999999999999999999999999996</v>
      </c>
      <c r="Y2302">
        <v>0</v>
      </c>
      <c r="Z2302" t="s">
        <v>1921</v>
      </c>
    </row>
    <row r="2303" spans="1:37" x14ac:dyDescent="0.2">
      <c r="A2303">
        <v>58565</v>
      </c>
      <c r="B2303" t="s">
        <v>37</v>
      </c>
      <c r="C2303" t="s">
        <v>196</v>
      </c>
      <c r="D2303" t="s">
        <v>361</v>
      </c>
      <c r="E2303" t="s">
        <v>40</v>
      </c>
      <c r="G2303" s="4">
        <v>43946.161296296296</v>
      </c>
      <c r="H2303" s="4">
        <v>43946.161423611111</v>
      </c>
      <c r="I2303" t="s">
        <v>337</v>
      </c>
      <c r="J2303" s="5">
        <v>11.00000000000000000000000000000000000002</v>
      </c>
      <c r="K2303" t="s">
        <v>196</v>
      </c>
      <c r="M2303">
        <v>58587</v>
      </c>
      <c r="N2303" t="s">
        <v>395</v>
      </c>
      <c r="O2303" t="s">
        <v>396</v>
      </c>
      <c r="P2303" t="s">
        <v>38</v>
      </c>
      <c r="Q2303" t="s">
        <v>50</v>
      </c>
      <c r="R2303">
        <v>0</v>
      </c>
      <c r="S2303" t="s">
        <v>45</v>
      </c>
      <c r="T2303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3">
        <v>58588</v>
      </c>
      <c r="V2303" t="s">
        <v>38</v>
      </c>
      <c r="W2303" t="s">
        <v>50</v>
      </c>
      <c r="X2303">
        <v>0</v>
      </c>
      <c r="Y2303">
        <v>0</v>
      </c>
      <c r="Z2303" t="s">
        <v>46</v>
      </c>
      <c r="AA2303">
        <v>58589</v>
      </c>
      <c r="AB2303" t="s">
        <v>1922</v>
      </c>
      <c r="AC2303" t="s">
        <v>97</v>
      </c>
      <c r="AD2303" t="s">
        <v>38</v>
      </c>
      <c r="AE2303" t="s">
        <v>49</v>
      </c>
      <c r="AF2303" t="s">
        <v>50</v>
      </c>
      <c r="AG2303">
        <v>0</v>
      </c>
      <c r="AH2303">
        <v>0</v>
      </c>
      <c r="AI2303" t="s">
        <v>51</v>
      </c>
      <c r="AJ2303" t="s">
        <v>51</v>
      </c>
      <c r="AK2303" t="s">
        <v>51</v>
      </c>
    </row>
    <row r="2304" spans="1:37" x14ac:dyDescent="0.2">
      <c r="A2304">
        <v>58565</v>
      </c>
      <c r="B2304" t="s">
        <v>37</v>
      </c>
      <c r="C2304" t="s">
        <v>196</v>
      </c>
      <c r="D2304" t="s">
        <v>361</v>
      </c>
      <c r="E2304" t="s">
        <v>40</v>
      </c>
      <c r="G2304" s="4">
        <v>43946.161296296296</v>
      </c>
      <c r="H2304" s="4">
        <v>43946.161423611111</v>
      </c>
      <c r="I2304" t="s">
        <v>337</v>
      </c>
      <c r="J2304" s="5">
        <v>11.00000000000000000000000000000000000002</v>
      </c>
      <c r="K2304" t="s">
        <v>196</v>
      </c>
      <c r="M2304">
        <v>58584</v>
      </c>
      <c r="N2304" t="s">
        <v>398</v>
      </c>
      <c r="O2304" t="s">
        <v>399</v>
      </c>
      <c r="P2304" t="s">
        <v>38</v>
      </c>
      <c r="Q2304" t="s">
        <v>44</v>
      </c>
      <c r="R2304">
        <v>4</v>
      </c>
      <c r="S2304" t="s">
        <v>45</v>
      </c>
      <c r="T2304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4">
        <v>58585</v>
      </c>
      <c r="V2304" t="s">
        <v>38</v>
      </c>
      <c r="W2304" t="s">
        <v>44</v>
      </c>
      <c r="X2304">
        <v>4</v>
      </c>
      <c r="Y2304">
        <v>0</v>
      </c>
      <c r="Z2304" t="s">
        <v>46</v>
      </c>
      <c r="AA2304">
        <v>58586</v>
      </c>
      <c r="AB2304" t="s">
        <v>1923</v>
      </c>
      <c r="AC2304" t="s">
        <v>97</v>
      </c>
      <c r="AD2304" t="s">
        <v>38</v>
      </c>
      <c r="AE2304" t="s">
        <v>49</v>
      </c>
      <c r="AF2304" t="s">
        <v>44</v>
      </c>
      <c r="AG2304">
        <v>4</v>
      </c>
      <c r="AH2304">
        <v>0</v>
      </c>
      <c r="AI2304" t="s">
        <v>51</v>
      </c>
      <c r="AJ2304" t="s">
        <v>51</v>
      </c>
      <c r="AK2304" t="s">
        <v>51</v>
      </c>
    </row>
    <row r="2305" spans="1:37" x14ac:dyDescent="0.2">
      <c r="A2305">
        <v>58565</v>
      </c>
      <c r="B2305" t="s">
        <v>37</v>
      </c>
      <c r="C2305" t="s">
        <v>196</v>
      </c>
      <c r="D2305" t="s">
        <v>361</v>
      </c>
      <c r="E2305" t="s">
        <v>40</v>
      </c>
      <c r="G2305" s="4">
        <v>43946.161296296296</v>
      </c>
      <c r="H2305" s="4">
        <v>43946.161423611111</v>
      </c>
      <c r="I2305" t="s">
        <v>337</v>
      </c>
      <c r="J2305" s="5">
        <v>11.00000000000000000000000000000000000002</v>
      </c>
      <c r="K2305" t="s">
        <v>196</v>
      </c>
      <c r="M2305">
        <v>58577</v>
      </c>
      <c r="N2305" t="s">
        <v>401</v>
      </c>
      <c r="O2305" t="s">
        <v>402</v>
      </c>
      <c r="P2305" t="s">
        <v>38</v>
      </c>
      <c r="Q2305" t="s">
        <v>50</v>
      </c>
      <c r="R2305">
        <v>0</v>
      </c>
      <c r="S2305" t="s">
        <v>45</v>
      </c>
      <c r="T2305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5">
        <v>58578</v>
      </c>
      <c r="V2305" t="s">
        <v>38</v>
      </c>
      <c r="W2305" t="s">
        <v>50</v>
      </c>
      <c r="X2305">
        <v>0</v>
      </c>
      <c r="Y2305">
        <v>0</v>
      </c>
      <c r="Z2305" t="s">
        <v>46</v>
      </c>
      <c r="AA2305">
        <v>58583</v>
      </c>
      <c r="AB2305" t="s">
        <v>1924</v>
      </c>
      <c r="AC2305" t="s">
        <v>103</v>
      </c>
      <c r="AD2305" t="s">
        <v>38</v>
      </c>
      <c r="AE2305" t="s">
        <v>49</v>
      </c>
      <c r="AF2305" t="s">
        <v>50</v>
      </c>
      <c r="AG2305">
        <v>0</v>
      </c>
      <c r="AH2305">
        <v>0</v>
      </c>
      <c r="AI2305" t="s">
        <v>51</v>
      </c>
      <c r="AJ2305" t="s">
        <v>51</v>
      </c>
      <c r="AK2305" t="s">
        <v>51</v>
      </c>
    </row>
    <row r="2306" spans="1:37" x14ac:dyDescent="0.2">
      <c r="A2306">
        <v>58565</v>
      </c>
      <c r="B2306" t="s">
        <v>37</v>
      </c>
      <c r="C2306" t="s">
        <v>196</v>
      </c>
      <c r="D2306" t="s">
        <v>361</v>
      </c>
      <c r="E2306" t="s">
        <v>40</v>
      </c>
      <c r="G2306" s="4">
        <v>43946.161296296296</v>
      </c>
      <c r="H2306" s="4">
        <v>43946.161423611111</v>
      </c>
      <c r="I2306" t="s">
        <v>337</v>
      </c>
      <c r="J2306" s="5">
        <v>11.00000000000000000000000000000000000002</v>
      </c>
      <c r="K2306" t="s">
        <v>196</v>
      </c>
      <c r="M2306">
        <v>58577</v>
      </c>
      <c r="N2306" t="s">
        <v>401</v>
      </c>
      <c r="O2306" t="s">
        <v>402</v>
      </c>
      <c r="P2306" t="s">
        <v>38</v>
      </c>
      <c r="Q2306" t="s">
        <v>50</v>
      </c>
      <c r="R2306">
        <v>0</v>
      </c>
      <c r="S2306" t="s">
        <v>45</v>
      </c>
      <c r="T2306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6">
        <v>58578</v>
      </c>
      <c r="V2306" t="s">
        <v>38</v>
      </c>
      <c r="W2306" t="s">
        <v>50</v>
      </c>
      <c r="X2306">
        <v>0</v>
      </c>
      <c r="Y2306">
        <v>0</v>
      </c>
      <c r="Z2306" t="s">
        <v>46</v>
      </c>
      <c r="AA2306">
        <v>58582</v>
      </c>
      <c r="AB2306" t="s">
        <v>1925</v>
      </c>
      <c r="AC2306" t="s">
        <v>103</v>
      </c>
      <c r="AD2306" t="s">
        <v>38</v>
      </c>
      <c r="AE2306" t="s">
        <v>49</v>
      </c>
      <c r="AF2306" t="s">
        <v>50</v>
      </c>
      <c r="AG2306">
        <v>0</v>
      </c>
      <c r="AH2306">
        <v>0</v>
      </c>
      <c r="AI2306" t="s">
        <v>51</v>
      </c>
      <c r="AJ2306" t="s">
        <v>51</v>
      </c>
      <c r="AK2306" t="s">
        <v>51</v>
      </c>
    </row>
    <row r="2307" spans="1:37" x14ac:dyDescent="0.2">
      <c r="A2307">
        <v>58565</v>
      </c>
      <c r="B2307" t="s">
        <v>37</v>
      </c>
      <c r="C2307" t="s">
        <v>196</v>
      </c>
      <c r="D2307" t="s">
        <v>361</v>
      </c>
      <c r="E2307" t="s">
        <v>40</v>
      </c>
      <c r="G2307" s="4">
        <v>43946.161296296296</v>
      </c>
      <c r="H2307" s="4">
        <v>43946.161423611111</v>
      </c>
      <c r="I2307" t="s">
        <v>337</v>
      </c>
      <c r="J2307" s="5">
        <v>11.00000000000000000000000000000000000002</v>
      </c>
      <c r="K2307" t="s">
        <v>196</v>
      </c>
      <c r="M2307">
        <v>58577</v>
      </c>
      <c r="N2307" t="s">
        <v>401</v>
      </c>
      <c r="O2307" t="s">
        <v>402</v>
      </c>
      <c r="P2307" t="s">
        <v>38</v>
      </c>
      <c r="Q2307" t="s">
        <v>50</v>
      </c>
      <c r="R2307">
        <v>0</v>
      </c>
      <c r="S2307" t="s">
        <v>45</v>
      </c>
      <c r="T2307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7">
        <v>58578</v>
      </c>
      <c r="V2307" t="s">
        <v>38</v>
      </c>
      <c r="W2307" t="s">
        <v>50</v>
      </c>
      <c r="X2307">
        <v>0</v>
      </c>
      <c r="Y2307">
        <v>0</v>
      </c>
      <c r="Z2307" t="s">
        <v>46</v>
      </c>
      <c r="AA2307">
        <v>58581</v>
      </c>
      <c r="AB2307" t="s">
        <v>1926</v>
      </c>
      <c r="AC2307" t="s">
        <v>103</v>
      </c>
      <c r="AD2307" t="s">
        <v>38</v>
      </c>
      <c r="AE2307" t="s">
        <v>49</v>
      </c>
      <c r="AF2307" t="s">
        <v>50</v>
      </c>
      <c r="AG2307">
        <v>0</v>
      </c>
      <c r="AH2307">
        <v>0</v>
      </c>
      <c r="AI2307" t="s">
        <v>51</v>
      </c>
      <c r="AJ2307" t="s">
        <v>51</v>
      </c>
      <c r="AK2307" t="s">
        <v>51</v>
      </c>
    </row>
    <row r="2308" spans="1:37" x14ac:dyDescent="0.2">
      <c r="A2308">
        <v>58565</v>
      </c>
      <c r="B2308" t="s">
        <v>37</v>
      </c>
      <c r="C2308" t="s">
        <v>196</v>
      </c>
      <c r="D2308" t="s">
        <v>361</v>
      </c>
      <c r="E2308" t="s">
        <v>40</v>
      </c>
      <c r="G2308" s="4">
        <v>43946.161296296296</v>
      </c>
      <c r="H2308" s="4">
        <v>43946.161423611111</v>
      </c>
      <c r="I2308" t="s">
        <v>337</v>
      </c>
      <c r="J2308" s="5">
        <v>11.00000000000000000000000000000000000002</v>
      </c>
      <c r="K2308" t="s">
        <v>196</v>
      </c>
      <c r="M2308">
        <v>58577</v>
      </c>
      <c r="N2308" t="s">
        <v>401</v>
      </c>
      <c r="O2308" t="s">
        <v>402</v>
      </c>
      <c r="P2308" t="s">
        <v>38</v>
      </c>
      <c r="Q2308" t="s">
        <v>50</v>
      </c>
      <c r="R2308">
        <v>0</v>
      </c>
      <c r="S2308" t="s">
        <v>45</v>
      </c>
      <c r="T2308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8">
        <v>58578</v>
      </c>
      <c r="V2308" t="s">
        <v>38</v>
      </c>
      <c r="W2308" t="s">
        <v>50</v>
      </c>
      <c r="X2308">
        <v>0</v>
      </c>
      <c r="Y2308">
        <v>0</v>
      </c>
      <c r="Z2308" t="s">
        <v>46</v>
      </c>
      <c r="AA2308">
        <v>58580</v>
      </c>
      <c r="AB2308" t="s">
        <v>1927</v>
      </c>
      <c r="AC2308" t="s">
        <v>103</v>
      </c>
      <c r="AD2308" t="s">
        <v>38</v>
      </c>
      <c r="AE2308" t="s">
        <v>49</v>
      </c>
      <c r="AF2308" t="s">
        <v>50</v>
      </c>
      <c r="AG2308">
        <v>0</v>
      </c>
      <c r="AH2308">
        <v>0</v>
      </c>
      <c r="AI2308" t="s">
        <v>51</v>
      </c>
      <c r="AJ2308" t="s">
        <v>51</v>
      </c>
      <c r="AK2308" t="s">
        <v>51</v>
      </c>
    </row>
    <row r="2309" spans="1:37" x14ac:dyDescent="0.2">
      <c r="A2309">
        <v>58565</v>
      </c>
      <c r="B2309" t="s">
        <v>37</v>
      </c>
      <c r="C2309" t="s">
        <v>196</v>
      </c>
      <c r="D2309" t="s">
        <v>361</v>
      </c>
      <c r="E2309" t="s">
        <v>40</v>
      </c>
      <c r="G2309" s="4">
        <v>43946.161296296296</v>
      </c>
      <c r="H2309" s="4">
        <v>43946.161423611111</v>
      </c>
      <c r="I2309" t="s">
        <v>337</v>
      </c>
      <c r="J2309" s="5">
        <v>11.00000000000000000000000000000000000002</v>
      </c>
      <c r="K2309" t="s">
        <v>196</v>
      </c>
      <c r="M2309">
        <v>58577</v>
      </c>
      <c r="N2309" t="s">
        <v>401</v>
      </c>
      <c r="O2309" t="s">
        <v>402</v>
      </c>
      <c r="P2309" t="s">
        <v>38</v>
      </c>
      <c r="Q2309" t="s">
        <v>50</v>
      </c>
      <c r="R2309">
        <v>0</v>
      </c>
      <c r="S2309" t="s">
        <v>45</v>
      </c>
      <c r="T2309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09">
        <v>58578</v>
      </c>
      <c r="V2309" t="s">
        <v>38</v>
      </c>
      <c r="W2309" t="s">
        <v>50</v>
      </c>
      <c r="X2309">
        <v>0</v>
      </c>
      <c r="Y2309">
        <v>0</v>
      </c>
      <c r="Z2309" t="s">
        <v>46</v>
      </c>
      <c r="AA2309">
        <v>58579</v>
      </c>
      <c r="AB2309" t="s">
        <v>1928</v>
      </c>
      <c r="AC2309" t="s">
        <v>103</v>
      </c>
      <c r="AD2309" t="s">
        <v>38</v>
      </c>
      <c r="AE2309" t="s">
        <v>49</v>
      </c>
      <c r="AF2309" t="s">
        <v>50</v>
      </c>
      <c r="AG2309">
        <v>0</v>
      </c>
      <c r="AH2309">
        <v>0</v>
      </c>
      <c r="AI2309" t="s">
        <v>51</v>
      </c>
      <c r="AJ2309" t="s">
        <v>51</v>
      </c>
      <c r="AK2309" t="s">
        <v>51</v>
      </c>
    </row>
    <row r="2310" spans="1:37" x14ac:dyDescent="0.2">
      <c r="A2310">
        <v>58565</v>
      </c>
      <c r="B2310" t="s">
        <v>37</v>
      </c>
      <c r="C2310" t="s">
        <v>196</v>
      </c>
      <c r="D2310" t="s">
        <v>361</v>
      </c>
      <c r="E2310" t="s">
        <v>40</v>
      </c>
      <c r="G2310" s="4">
        <v>43946.161296296296</v>
      </c>
      <c r="H2310" s="4">
        <v>43946.161423611111</v>
      </c>
      <c r="I2310" t="s">
        <v>337</v>
      </c>
      <c r="J2310" s="5">
        <v>11.00000000000000000000000000000000000002</v>
      </c>
      <c r="K2310" t="s">
        <v>196</v>
      </c>
      <c r="M2310">
        <v>58575</v>
      </c>
      <c r="N2310" t="s">
        <v>408</v>
      </c>
      <c r="O2310" t="s">
        <v>409</v>
      </c>
      <c r="P2310" t="s">
        <v>196</v>
      </c>
      <c r="Q2310" t="s">
        <v>50</v>
      </c>
      <c r="R2310">
        <v>0</v>
      </c>
      <c r="S2310" t="s">
        <v>410</v>
      </c>
      <c r="T2310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10">
        <v>58576</v>
      </c>
      <c r="V2310" t="s">
        <v>196</v>
      </c>
      <c r="W2310" t="s">
        <v>50</v>
      </c>
      <c r="X2310">
        <v>0</v>
      </c>
      <c r="Y2310">
        <v>0</v>
      </c>
      <c r="Z2310" t="s">
        <v>1929</v>
      </c>
    </row>
    <row r="2311" spans="1:37" x14ac:dyDescent="0.2">
      <c r="A2311">
        <v>58565</v>
      </c>
      <c r="B2311" t="s">
        <v>37</v>
      </c>
      <c r="C2311" t="s">
        <v>196</v>
      </c>
      <c r="D2311" t="s">
        <v>361</v>
      </c>
      <c r="E2311" t="s">
        <v>40</v>
      </c>
      <c r="G2311" s="4">
        <v>43946.161296296296</v>
      </c>
      <c r="H2311" s="4">
        <v>43946.161423611111</v>
      </c>
      <c r="I2311" t="s">
        <v>337</v>
      </c>
      <c r="J2311" s="5">
        <v>11.00000000000000000000000000000000000002</v>
      </c>
      <c r="K2311" t="s">
        <v>196</v>
      </c>
      <c r="M2311">
        <v>58572</v>
      </c>
      <c r="N2311" t="s">
        <v>412</v>
      </c>
      <c r="O2311" t="s">
        <v>413</v>
      </c>
      <c r="P2311" t="s">
        <v>38</v>
      </c>
      <c r="Q2311" t="s">
        <v>50</v>
      </c>
      <c r="R2311">
        <v>0</v>
      </c>
      <c r="S2311" t="s">
        <v>45</v>
      </c>
      <c r="T2311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11">
        <v>58573</v>
      </c>
      <c r="V2311" t="s">
        <v>38</v>
      </c>
      <c r="W2311" t="s">
        <v>50</v>
      </c>
      <c r="X2311">
        <v>0</v>
      </c>
      <c r="Y2311">
        <v>0</v>
      </c>
      <c r="Z2311" t="s">
        <v>46</v>
      </c>
      <c r="AA2311">
        <v>58574</v>
      </c>
      <c r="AB2311" t="s">
        <v>1930</v>
      </c>
      <c r="AC2311" t="s">
        <v>97</v>
      </c>
      <c r="AD2311" t="s">
        <v>38</v>
      </c>
      <c r="AE2311" t="s">
        <v>49</v>
      </c>
      <c r="AF2311" t="s">
        <v>50</v>
      </c>
      <c r="AG2311">
        <v>0</v>
      </c>
      <c r="AH2311">
        <v>0</v>
      </c>
      <c r="AI2311" t="s">
        <v>51</v>
      </c>
      <c r="AJ2311" t="s">
        <v>51</v>
      </c>
      <c r="AK2311" t="s">
        <v>51</v>
      </c>
    </row>
    <row r="2312" spans="1:37" x14ac:dyDescent="0.2">
      <c r="A2312">
        <v>58565</v>
      </c>
      <c r="B2312" t="s">
        <v>37</v>
      </c>
      <c r="C2312" t="s">
        <v>196</v>
      </c>
      <c r="D2312" t="s">
        <v>361</v>
      </c>
      <c r="E2312" t="s">
        <v>40</v>
      </c>
      <c r="G2312" s="4">
        <v>43946.161296296296</v>
      </c>
      <c r="H2312" s="4">
        <v>43946.161423611111</v>
      </c>
      <c r="I2312" t="s">
        <v>337</v>
      </c>
      <c r="J2312" s="5">
        <v>11.00000000000000000000000000000000000002</v>
      </c>
      <c r="K2312" t="s">
        <v>196</v>
      </c>
      <c r="M2312">
        <v>58568</v>
      </c>
      <c r="N2312" t="s">
        <v>415</v>
      </c>
      <c r="O2312" t="s">
        <v>416</v>
      </c>
      <c r="P2312" t="s">
        <v>38</v>
      </c>
      <c r="Q2312" t="s">
        <v>50</v>
      </c>
      <c r="R2312">
        <v>0</v>
      </c>
      <c r="S2312" t="s">
        <v>45</v>
      </c>
      <c r="T2312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12">
        <v>58569</v>
      </c>
      <c r="V2312" t="s">
        <v>38</v>
      </c>
      <c r="W2312" t="s">
        <v>50</v>
      </c>
      <c r="X2312">
        <v>0</v>
      </c>
      <c r="Y2312">
        <v>0</v>
      </c>
      <c r="Z2312" t="s">
        <v>46</v>
      </c>
      <c r="AA2312">
        <v>58571</v>
      </c>
      <c r="AB2312" t="s">
        <v>1931</v>
      </c>
      <c r="AC2312" t="s">
        <v>56</v>
      </c>
      <c r="AD2312" t="s">
        <v>38</v>
      </c>
      <c r="AE2312" t="s">
        <v>49</v>
      </c>
      <c r="AF2312" t="s">
        <v>50</v>
      </c>
      <c r="AG2312">
        <v>0</v>
      </c>
      <c r="AH2312">
        <v>0</v>
      </c>
      <c r="AI2312" t="s">
        <v>51</v>
      </c>
      <c r="AJ2312" t="s">
        <v>51</v>
      </c>
      <c r="AK2312" t="s">
        <v>51</v>
      </c>
    </row>
    <row r="2313" spans="1:37" x14ac:dyDescent="0.2">
      <c r="A2313">
        <v>58565</v>
      </c>
      <c r="B2313" t="s">
        <v>37</v>
      </c>
      <c r="C2313" t="s">
        <v>196</v>
      </c>
      <c r="D2313" t="s">
        <v>361</v>
      </c>
      <c r="E2313" t="s">
        <v>40</v>
      </c>
      <c r="G2313" s="4">
        <v>43946.161296296296</v>
      </c>
      <c r="H2313" s="4">
        <v>43946.161423611111</v>
      </c>
      <c r="I2313" t="s">
        <v>337</v>
      </c>
      <c r="J2313" s="5">
        <v>11.00000000000000000000000000000000000002</v>
      </c>
      <c r="K2313" t="s">
        <v>196</v>
      </c>
      <c r="M2313">
        <v>58568</v>
      </c>
      <c r="N2313" t="s">
        <v>415</v>
      </c>
      <c r="O2313" t="s">
        <v>416</v>
      </c>
      <c r="P2313" t="s">
        <v>38</v>
      </c>
      <c r="Q2313" t="s">
        <v>50</v>
      </c>
      <c r="R2313">
        <v>0</v>
      </c>
      <c r="S2313" t="s">
        <v>45</v>
      </c>
      <c r="T2313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13">
        <v>58569</v>
      </c>
      <c r="V2313" t="s">
        <v>38</v>
      </c>
      <c r="W2313" t="s">
        <v>50</v>
      </c>
      <c r="X2313">
        <v>0</v>
      </c>
      <c r="Y2313">
        <v>0</v>
      </c>
      <c r="Z2313" t="s">
        <v>46</v>
      </c>
      <c r="AA2313">
        <v>58570</v>
      </c>
      <c r="AB2313" t="s">
        <v>1932</v>
      </c>
      <c r="AC2313" t="s">
        <v>97</v>
      </c>
      <c r="AD2313" t="s">
        <v>38</v>
      </c>
      <c r="AE2313" t="s">
        <v>49</v>
      </c>
      <c r="AF2313" t="s">
        <v>50</v>
      </c>
      <c r="AG2313">
        <v>0</v>
      </c>
      <c r="AH2313">
        <v>0</v>
      </c>
      <c r="AI2313" t="s">
        <v>51</v>
      </c>
      <c r="AJ2313" t="s">
        <v>51</v>
      </c>
      <c r="AK2313" t="s">
        <v>51</v>
      </c>
    </row>
    <row r="2314" spans="1:37" x14ac:dyDescent="0.2">
      <c r="A2314">
        <v>58565</v>
      </c>
      <c r="B2314" t="s">
        <v>37</v>
      </c>
      <c r="C2314" t="s">
        <v>196</v>
      </c>
      <c r="D2314" t="s">
        <v>361</v>
      </c>
      <c r="E2314" t="s">
        <v>40</v>
      </c>
      <c r="G2314" s="4">
        <v>43946.161296296296</v>
      </c>
      <c r="H2314" s="4">
        <v>43946.161423611111</v>
      </c>
      <c r="I2314" t="s">
        <v>337</v>
      </c>
      <c r="J2314" s="5">
        <v>11.00000000000000000000000000000000000002</v>
      </c>
      <c r="K2314" t="s">
        <v>196</v>
      </c>
      <c r="M2314">
        <v>58566</v>
      </c>
      <c r="N2314" t="s">
        <v>419</v>
      </c>
      <c r="O2314" t="s">
        <v>420</v>
      </c>
      <c r="P2314" t="s">
        <v>196</v>
      </c>
      <c r="Q2314" t="s">
        <v>50</v>
      </c>
      <c r="R2314">
        <v>0</v>
      </c>
      <c r="S2314" t="s">
        <v>421</v>
      </c>
      <c r="T2314" t="str" s="2">
        <f>=HYPERLINK("http://demo.enginatics.com:80/ecc/user/applications/log/58565.log","http://demo.enginatics.com:80/ecc/user/applications/log/58565.log")</f>
        <v>"http://demo.enginatics.com:80/ecc/user/applications/log/58565.log")</v>
      </c>
      <c r="U2314">
        <v>58567</v>
      </c>
      <c r="V2314" t="s">
        <v>196</v>
      </c>
      <c r="W2314" t="s">
        <v>50</v>
      </c>
      <c r="X2314">
        <v>0</v>
      </c>
      <c r="Y2314">
        <v>0</v>
      </c>
      <c r="Z2314" t="s">
        <v>1933</v>
      </c>
    </row>
    <row r="2315" spans="1:37" x14ac:dyDescent="0.2">
      <c r="A2315">
        <v>58561</v>
      </c>
      <c r="B2315" t="s">
        <v>37</v>
      </c>
      <c r="C2315" t="s">
        <v>38</v>
      </c>
      <c r="D2315" t="s">
        <v>295</v>
      </c>
      <c r="E2315" t="s">
        <v>432</v>
      </c>
      <c r="G2315" s="4">
        <v>43946.161099537037</v>
      </c>
      <c r="H2315" s="4">
        <v>43946.161122685185</v>
      </c>
      <c r="I2315" t="s">
        <v>88</v>
      </c>
      <c r="J2315" s="5">
        <v>2</v>
      </c>
      <c r="K2315" t="s">
        <v>38</v>
      </c>
      <c r="M2315">
        <v>58562</v>
      </c>
      <c r="N2315" t="s">
        <v>432</v>
      </c>
      <c r="O2315" t="s">
        <v>433</v>
      </c>
      <c r="P2315" t="s">
        <v>38</v>
      </c>
      <c r="Q2315" t="s">
        <v>88</v>
      </c>
      <c r="R2315">
        <v>2</v>
      </c>
      <c r="S2315" t="s">
        <v>45</v>
      </c>
      <c r="T2315" t="str" s="2">
        <f>=HYPERLINK("http://demo.enginatics.com:80/ecc/user/applications/log/58561.log","http://demo.enginatics.com:80/ecc/user/applications/log/58561.log")</f>
        <v>"http://demo.enginatics.com:80/ecc/user/applications/log/58561.log")</v>
      </c>
      <c r="U2315">
        <v>58563</v>
      </c>
      <c r="V2315" t="s">
        <v>38</v>
      </c>
      <c r="W2315" t="s">
        <v>88</v>
      </c>
      <c r="X2315">
        <v>2</v>
      </c>
      <c r="Y2315">
        <v>0</v>
      </c>
      <c r="Z2315" t="s">
        <v>46</v>
      </c>
      <c r="AA2315">
        <v>58564</v>
      </c>
      <c r="AB2315" t="s">
        <v>434</v>
      </c>
      <c r="AC2315" t="s">
        <v>68</v>
      </c>
      <c r="AD2315" t="s">
        <v>38</v>
      </c>
      <c r="AE2315" t="s">
        <v>49</v>
      </c>
      <c r="AF2315" t="s">
        <v>88</v>
      </c>
      <c r="AG2315">
        <v>2</v>
      </c>
      <c r="AH2315">
        <v>1</v>
      </c>
      <c r="AI2315" t="s">
        <v>51</v>
      </c>
      <c r="AJ2315" t="s">
        <v>51</v>
      </c>
      <c r="AK2315" t="s">
        <v>51</v>
      </c>
    </row>
    <row r="2316" spans="1:37" x14ac:dyDescent="0.2">
      <c r="A2316">
        <v>58559</v>
      </c>
      <c r="B2316" t="s">
        <v>37</v>
      </c>
      <c r="C2316" t="s">
        <v>38</v>
      </c>
      <c r="D2316" t="s">
        <v>83</v>
      </c>
      <c r="E2316" t="s">
        <v>435</v>
      </c>
      <c r="G2316" s="4">
        <v>43946.160474537037</v>
      </c>
      <c r="H2316" s="4">
        <v>43946.160474537037</v>
      </c>
      <c r="I2316" t="s">
        <v>50</v>
      </c>
      <c r="J2316" s="5">
        <v>0</v>
      </c>
      <c r="K2316" t="s">
        <v>38</v>
      </c>
      <c r="M2316">
        <v>58560</v>
      </c>
      <c r="N2316" t="s">
        <v>435</v>
      </c>
      <c r="O2316" t="s">
        <v>436</v>
      </c>
      <c r="P2316" t="s">
        <v>38</v>
      </c>
      <c r="Q2316" t="s">
        <v>50</v>
      </c>
      <c r="R2316">
        <v>0</v>
      </c>
      <c r="S2316" t="s">
        <v>437</v>
      </c>
      <c r="T2316" t="str" s="2">
        <f>=HYPERLINK("http://demo.enginatics.com:80/ecc/user/applications/log/58559.log","http://demo.enginatics.com:80/ecc/user/applications/log/58559.log")</f>
        <v>"http://demo.enginatics.com:80/ecc/user/applications/log/58559.log")</v>
      </c>
    </row>
    <row r="2317" spans="1:37" x14ac:dyDescent="0.2">
      <c r="A2317">
        <v>58552</v>
      </c>
      <c r="B2317" t="s">
        <v>37</v>
      </c>
      <c r="C2317" t="s">
        <v>38</v>
      </c>
      <c r="D2317" t="s">
        <v>438</v>
      </c>
      <c r="E2317" t="s">
        <v>40</v>
      </c>
      <c r="G2317" s="4">
        <v>43946.158587962963</v>
      </c>
      <c r="H2317" s="4">
        <v>43946.158599537037</v>
      </c>
      <c r="I2317" t="s">
        <v>50</v>
      </c>
      <c r="J2317" s="5">
        <v>.9999999999999999999999999999999999999996</v>
      </c>
      <c r="K2317" t="s">
        <v>38</v>
      </c>
      <c r="M2317">
        <v>58558</v>
      </c>
      <c r="N2317" t="s">
        <v>439</v>
      </c>
      <c r="O2317" t="s">
        <v>440</v>
      </c>
      <c r="P2317" t="s">
        <v>38</v>
      </c>
      <c r="Q2317" t="s">
        <v>50</v>
      </c>
      <c r="R2317">
        <v>0</v>
      </c>
      <c r="S2317" t="s">
        <v>441</v>
      </c>
      <c r="T2317" t="str" s="2">
        <f>=HYPERLINK("http://demo.enginatics.com:80/ecc/user/applications/log/58552.log","http://demo.enginatics.com:80/ecc/user/applications/log/58552.log")</f>
        <v>"http://demo.enginatics.com:80/ecc/user/applications/log/58552.log")</v>
      </c>
    </row>
    <row r="2318" spans="1:37" x14ac:dyDescent="0.2">
      <c r="A2318">
        <v>58552</v>
      </c>
      <c r="B2318" t="s">
        <v>37</v>
      </c>
      <c r="C2318" t="s">
        <v>38</v>
      </c>
      <c r="D2318" t="s">
        <v>438</v>
      </c>
      <c r="E2318" t="s">
        <v>40</v>
      </c>
      <c r="G2318" s="4">
        <v>43946.158587962963</v>
      </c>
      <c r="H2318" s="4">
        <v>43946.158599537037</v>
      </c>
      <c r="I2318" t="s">
        <v>50</v>
      </c>
      <c r="J2318" s="5">
        <v>.9999999999999999999999999999999999999996</v>
      </c>
      <c r="K2318" t="s">
        <v>38</v>
      </c>
      <c r="M2318">
        <v>58557</v>
      </c>
      <c r="N2318" t="s">
        <v>442</v>
      </c>
      <c r="O2318" t="s">
        <v>443</v>
      </c>
      <c r="P2318" t="s">
        <v>38</v>
      </c>
      <c r="Q2318" t="s">
        <v>50</v>
      </c>
      <c r="R2318">
        <v>0</v>
      </c>
      <c r="S2318" t="s">
        <v>444</v>
      </c>
      <c r="T2318" t="str" s="2">
        <f>=HYPERLINK("http://demo.enginatics.com:80/ecc/user/applications/log/58552.log","http://demo.enginatics.com:80/ecc/user/applications/log/58552.log")</f>
        <v>"http://demo.enginatics.com:80/ecc/user/applications/log/58552.log")</v>
      </c>
    </row>
    <row r="2319" spans="1:37" x14ac:dyDescent="0.2">
      <c r="A2319">
        <v>58552</v>
      </c>
      <c r="B2319" t="s">
        <v>37</v>
      </c>
      <c r="C2319" t="s">
        <v>38</v>
      </c>
      <c r="D2319" t="s">
        <v>438</v>
      </c>
      <c r="E2319" t="s">
        <v>40</v>
      </c>
      <c r="G2319" s="4">
        <v>43946.158587962963</v>
      </c>
      <c r="H2319" s="4">
        <v>43946.158599537037</v>
      </c>
      <c r="I2319" t="s">
        <v>50</v>
      </c>
      <c r="J2319" s="5">
        <v>.9999999999999999999999999999999999999996</v>
      </c>
      <c r="K2319" t="s">
        <v>38</v>
      </c>
      <c r="M2319">
        <v>58556</v>
      </c>
      <c r="N2319" t="s">
        <v>445</v>
      </c>
      <c r="O2319" t="s">
        <v>446</v>
      </c>
      <c r="P2319" t="s">
        <v>38</v>
      </c>
      <c r="Q2319" t="s">
        <v>50</v>
      </c>
      <c r="R2319">
        <v>.9999999999999999999999999999999999999996</v>
      </c>
      <c r="S2319" t="s">
        <v>447</v>
      </c>
      <c r="T2319" t="str" s="2">
        <f>=HYPERLINK("http://demo.enginatics.com:80/ecc/user/applications/log/58552.log","http://demo.enginatics.com:80/ecc/user/applications/log/58552.log")</f>
        <v>"http://demo.enginatics.com:80/ecc/user/applications/log/58552.log")</v>
      </c>
    </row>
    <row r="2320" spans="1:37" x14ac:dyDescent="0.2">
      <c r="A2320">
        <v>58552</v>
      </c>
      <c r="B2320" t="s">
        <v>37</v>
      </c>
      <c r="C2320" t="s">
        <v>38</v>
      </c>
      <c r="D2320" t="s">
        <v>438</v>
      </c>
      <c r="E2320" t="s">
        <v>40</v>
      </c>
      <c r="G2320" s="4">
        <v>43946.158587962963</v>
      </c>
      <c r="H2320" s="4">
        <v>43946.158599537037</v>
      </c>
      <c r="I2320" t="s">
        <v>50</v>
      </c>
      <c r="J2320" s="5">
        <v>.9999999999999999999999999999999999999996</v>
      </c>
      <c r="K2320" t="s">
        <v>38</v>
      </c>
      <c r="M2320">
        <v>58555</v>
      </c>
      <c r="N2320" t="s">
        <v>448</v>
      </c>
      <c r="O2320" t="s">
        <v>449</v>
      </c>
      <c r="P2320" t="s">
        <v>38</v>
      </c>
      <c r="Q2320" t="s">
        <v>50</v>
      </c>
      <c r="R2320">
        <v>0</v>
      </c>
      <c r="S2320" t="s">
        <v>450</v>
      </c>
      <c r="T2320" t="str" s="2">
        <f>=HYPERLINK("http://demo.enginatics.com:80/ecc/user/applications/log/58552.log","http://demo.enginatics.com:80/ecc/user/applications/log/58552.log")</f>
        <v>"http://demo.enginatics.com:80/ecc/user/applications/log/58552.log")</v>
      </c>
    </row>
    <row r="2321" spans="1:37" x14ac:dyDescent="0.2">
      <c r="A2321">
        <v>58552</v>
      </c>
      <c r="B2321" t="s">
        <v>37</v>
      </c>
      <c r="C2321" t="s">
        <v>38</v>
      </c>
      <c r="D2321" t="s">
        <v>438</v>
      </c>
      <c r="E2321" t="s">
        <v>40</v>
      </c>
      <c r="G2321" s="4">
        <v>43946.158587962963</v>
      </c>
      <c r="H2321" s="4">
        <v>43946.158599537037</v>
      </c>
      <c r="I2321" t="s">
        <v>50</v>
      </c>
      <c r="J2321" s="5">
        <v>.9999999999999999999999999999999999999996</v>
      </c>
      <c r="K2321" t="s">
        <v>38</v>
      </c>
      <c r="M2321">
        <v>58554</v>
      </c>
      <c r="N2321" t="s">
        <v>451</v>
      </c>
      <c r="O2321" t="s">
        <v>452</v>
      </c>
      <c r="P2321" t="s">
        <v>38</v>
      </c>
      <c r="Q2321" t="s">
        <v>50</v>
      </c>
      <c r="R2321">
        <v>0</v>
      </c>
      <c r="S2321" t="s">
        <v>453</v>
      </c>
      <c r="T2321" t="str" s="2">
        <f>=HYPERLINK("http://demo.enginatics.com:80/ecc/user/applications/log/58552.log","http://demo.enginatics.com:80/ecc/user/applications/log/58552.log")</f>
        <v>"http://demo.enginatics.com:80/ecc/user/applications/log/58552.log")</v>
      </c>
    </row>
    <row r="2322" spans="1:37" x14ac:dyDescent="0.2">
      <c r="A2322">
        <v>58552</v>
      </c>
      <c r="B2322" t="s">
        <v>37</v>
      </c>
      <c r="C2322" t="s">
        <v>38</v>
      </c>
      <c r="D2322" t="s">
        <v>438</v>
      </c>
      <c r="E2322" t="s">
        <v>40</v>
      </c>
      <c r="G2322" s="4">
        <v>43946.158587962963</v>
      </c>
      <c r="H2322" s="4">
        <v>43946.158599537037</v>
      </c>
      <c r="I2322" t="s">
        <v>50</v>
      </c>
      <c r="J2322" s="5">
        <v>.9999999999999999999999999999999999999996</v>
      </c>
      <c r="K2322" t="s">
        <v>38</v>
      </c>
      <c r="M2322">
        <v>58553</v>
      </c>
      <c r="N2322" t="s">
        <v>454</v>
      </c>
      <c r="O2322" t="s">
        <v>455</v>
      </c>
      <c r="P2322" t="s">
        <v>38</v>
      </c>
      <c r="Q2322" t="s">
        <v>50</v>
      </c>
      <c r="R2322">
        <v>0</v>
      </c>
      <c r="S2322" t="s">
        <v>456</v>
      </c>
      <c r="T2322" t="str" s="2">
        <f>=HYPERLINK("http://demo.enginatics.com:80/ecc/user/applications/log/58552.log","http://demo.enginatics.com:80/ecc/user/applications/log/58552.log")</f>
        <v>"http://demo.enginatics.com:80/ecc/user/applications/log/58552.log")</v>
      </c>
    </row>
    <row r="2323" spans="1:37" x14ac:dyDescent="0.2">
      <c r="A2323">
        <v>58548</v>
      </c>
      <c r="B2323" t="s">
        <v>37</v>
      </c>
      <c r="C2323" t="s">
        <v>38</v>
      </c>
      <c r="D2323" t="s">
        <v>83</v>
      </c>
      <c r="E2323" t="s">
        <v>457</v>
      </c>
      <c r="G2323" s="4">
        <v>43946.158587962963</v>
      </c>
      <c r="H2323" s="4">
        <v>43946.158611111111</v>
      </c>
      <c r="I2323" t="s">
        <v>88</v>
      </c>
      <c r="J2323" s="5">
        <v>2</v>
      </c>
      <c r="K2323" t="s">
        <v>38</v>
      </c>
      <c r="M2323">
        <v>58549</v>
      </c>
      <c r="N2323" t="s">
        <v>457</v>
      </c>
      <c r="O2323" t="s">
        <v>458</v>
      </c>
      <c r="P2323" t="s">
        <v>38</v>
      </c>
      <c r="Q2323" t="s">
        <v>88</v>
      </c>
      <c r="R2323">
        <v>2</v>
      </c>
      <c r="S2323" t="s">
        <v>45</v>
      </c>
      <c r="T2323" t="str" s="2">
        <f>=HYPERLINK("http://demo.enginatics.com:80/ecc/user/applications/log/58548.log","http://demo.enginatics.com:80/ecc/user/applications/log/58548.log")</f>
        <v>"http://demo.enginatics.com:80/ecc/user/applications/log/58548.log")</v>
      </c>
      <c r="U2323">
        <v>58550</v>
      </c>
      <c r="V2323" t="s">
        <v>38</v>
      </c>
      <c r="W2323" t="s">
        <v>50</v>
      </c>
      <c r="X2323">
        <v>.9999999999999999999999999999999999999996</v>
      </c>
      <c r="Y2323">
        <v>0</v>
      </c>
      <c r="Z2323" t="s">
        <v>46</v>
      </c>
      <c r="AA2323">
        <v>58551</v>
      </c>
      <c r="AB2323" t="s">
        <v>1934</v>
      </c>
      <c r="AC2323" t="s">
        <v>68</v>
      </c>
      <c r="AD2323" t="s">
        <v>38</v>
      </c>
      <c r="AE2323" t="s">
        <v>49</v>
      </c>
      <c r="AF2323" t="s">
        <v>50</v>
      </c>
      <c r="AG2323">
        <v>.9999999999999999999999999999999999999996</v>
      </c>
      <c r="AH2323">
        <v>0</v>
      </c>
      <c r="AI2323" t="s">
        <v>51</v>
      </c>
      <c r="AJ2323" t="s">
        <v>51</v>
      </c>
      <c r="AK2323" t="s">
        <v>51</v>
      </c>
    </row>
    <row r="2324" spans="1:37" x14ac:dyDescent="0.2">
      <c r="A2324">
        <v>58544</v>
      </c>
      <c r="B2324" t="s">
        <v>37</v>
      </c>
      <c r="C2324" t="s">
        <v>38</v>
      </c>
      <c r="D2324" t="s">
        <v>460</v>
      </c>
      <c r="E2324" t="s">
        <v>40</v>
      </c>
      <c r="G2324" s="4">
        <v>43946.109108796296</v>
      </c>
      <c r="H2324" s="4">
        <v>43946.109143518519</v>
      </c>
      <c r="I2324" t="s">
        <v>85</v>
      </c>
      <c r="J2324" s="5">
        <v>3</v>
      </c>
      <c r="K2324" t="s">
        <v>38</v>
      </c>
      <c r="M2324">
        <v>58545</v>
      </c>
      <c r="N2324" t="s">
        <v>461</v>
      </c>
      <c r="O2324" t="s">
        <v>462</v>
      </c>
      <c r="P2324" t="s">
        <v>38</v>
      </c>
      <c r="Q2324" t="s">
        <v>85</v>
      </c>
      <c r="R2324">
        <v>3</v>
      </c>
      <c r="S2324" t="s">
        <v>45</v>
      </c>
      <c r="T2324" t="str" s="2">
        <f>=HYPERLINK("http://demo.enginatics.com:80/ecc/user/applications/log/58544.log","http://demo.enginatics.com:80/ecc/user/applications/log/58544.log")</f>
        <v>"http://demo.enginatics.com:80/ecc/user/applications/log/58544.log")</v>
      </c>
      <c r="U2324">
        <v>58546</v>
      </c>
      <c r="V2324" t="s">
        <v>38</v>
      </c>
      <c r="W2324" t="s">
        <v>85</v>
      </c>
      <c r="X2324">
        <v>3</v>
      </c>
      <c r="Y2324">
        <v>0</v>
      </c>
      <c r="Z2324" t="s">
        <v>46</v>
      </c>
      <c r="AA2324">
        <v>58547</v>
      </c>
      <c r="AB2324" t="s">
        <v>1935</v>
      </c>
      <c r="AC2324" t="s">
        <v>68</v>
      </c>
      <c r="AD2324" t="s">
        <v>38</v>
      </c>
      <c r="AE2324" t="s">
        <v>49</v>
      </c>
      <c r="AF2324" t="s">
        <v>88</v>
      </c>
      <c r="AG2324">
        <v>2</v>
      </c>
      <c r="AH2324">
        <v>1</v>
      </c>
      <c r="AI2324" t="s">
        <v>51</v>
      </c>
      <c r="AJ2324" t="s">
        <v>51</v>
      </c>
      <c r="AK2324" t="s">
        <v>51</v>
      </c>
    </row>
    <row r="2325" spans="1:37" x14ac:dyDescent="0.2">
      <c r="A2325">
        <v>58519</v>
      </c>
      <c r="B2325" t="s">
        <v>37</v>
      </c>
      <c r="C2325" t="s">
        <v>38</v>
      </c>
      <c r="D2325" t="s">
        <v>464</v>
      </c>
      <c r="E2325" t="s">
        <v>40</v>
      </c>
      <c r="G2325" s="4">
        <v>43946.083923611111</v>
      </c>
      <c r="H2325" s="4">
        <v>43946.084166666667</v>
      </c>
      <c r="I2325" t="s">
        <v>510</v>
      </c>
      <c r="J2325" s="5">
        <v>21.00000000000000000000000000000000000004</v>
      </c>
      <c r="K2325" t="s">
        <v>38</v>
      </c>
      <c r="M2325">
        <v>58541</v>
      </c>
      <c r="N2325" t="s">
        <v>465</v>
      </c>
      <c r="O2325" t="s">
        <v>466</v>
      </c>
      <c r="P2325" t="s">
        <v>38</v>
      </c>
      <c r="Q2325" t="s">
        <v>75</v>
      </c>
      <c r="R2325">
        <v>6</v>
      </c>
      <c r="S2325" t="s">
        <v>45</v>
      </c>
      <c r="T2325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25">
        <v>58542</v>
      </c>
      <c r="V2325" t="s">
        <v>38</v>
      </c>
      <c r="W2325" t="s">
        <v>75</v>
      </c>
      <c r="X2325">
        <v>6</v>
      </c>
      <c r="Y2325">
        <v>0</v>
      </c>
      <c r="Z2325" t="s">
        <v>46</v>
      </c>
      <c r="AA2325">
        <v>58543</v>
      </c>
      <c r="AB2325" t="s">
        <v>467</v>
      </c>
      <c r="AC2325" t="s">
        <v>68</v>
      </c>
      <c r="AD2325" t="s">
        <v>38</v>
      </c>
      <c r="AE2325" t="s">
        <v>468</v>
      </c>
      <c r="AF2325" t="s">
        <v>75</v>
      </c>
      <c r="AG2325">
        <v>6</v>
      </c>
      <c r="AH2325">
        <v>0</v>
      </c>
      <c r="AI2325" t="s">
        <v>469</v>
      </c>
      <c r="AJ2325" t="s">
        <v>51</v>
      </c>
      <c r="AK2325" t="s">
        <v>469</v>
      </c>
    </row>
    <row r="2326" spans="1:37" x14ac:dyDescent="0.2">
      <c r="A2326">
        <v>58519</v>
      </c>
      <c r="B2326" t="s">
        <v>37</v>
      </c>
      <c r="C2326" t="s">
        <v>38</v>
      </c>
      <c r="D2326" t="s">
        <v>464</v>
      </c>
      <c r="E2326" t="s">
        <v>40</v>
      </c>
      <c r="G2326" s="4">
        <v>43946.083923611111</v>
      </c>
      <c r="H2326" s="4">
        <v>43946.084166666667</v>
      </c>
      <c r="I2326" t="s">
        <v>510</v>
      </c>
      <c r="J2326" s="5">
        <v>21.00000000000000000000000000000000000004</v>
      </c>
      <c r="K2326" t="s">
        <v>38</v>
      </c>
      <c r="M2326">
        <v>58538</v>
      </c>
      <c r="N2326" t="s">
        <v>470</v>
      </c>
      <c r="O2326" t="s">
        <v>471</v>
      </c>
      <c r="P2326" t="s">
        <v>38</v>
      </c>
      <c r="Q2326" t="s">
        <v>50</v>
      </c>
      <c r="R2326">
        <v>.9999999999999999999999999999999999999996</v>
      </c>
      <c r="S2326" t="s">
        <v>45</v>
      </c>
      <c r="T2326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26">
        <v>58539</v>
      </c>
      <c r="V2326" t="s">
        <v>38</v>
      </c>
      <c r="W2326" t="s">
        <v>50</v>
      </c>
      <c r="X2326">
        <v>.9999999999999999999999999999999999999996</v>
      </c>
      <c r="Y2326">
        <v>0</v>
      </c>
      <c r="Z2326" t="s">
        <v>46</v>
      </c>
      <c r="AA2326">
        <v>58540</v>
      </c>
      <c r="AB2326" t="s">
        <v>472</v>
      </c>
      <c r="AC2326" t="s">
        <v>68</v>
      </c>
      <c r="AD2326" t="s">
        <v>38</v>
      </c>
      <c r="AE2326" t="s">
        <v>49</v>
      </c>
      <c r="AF2326" t="s">
        <v>50</v>
      </c>
      <c r="AG2326">
        <v>0</v>
      </c>
      <c r="AH2326">
        <v>0</v>
      </c>
      <c r="AI2326" t="s">
        <v>51</v>
      </c>
      <c r="AJ2326" t="s">
        <v>51</v>
      </c>
      <c r="AK2326" t="s">
        <v>51</v>
      </c>
    </row>
    <row r="2327" spans="1:37" x14ac:dyDescent="0.2">
      <c r="A2327">
        <v>58519</v>
      </c>
      <c r="B2327" t="s">
        <v>37</v>
      </c>
      <c r="C2327" t="s">
        <v>38</v>
      </c>
      <c r="D2327" t="s">
        <v>464</v>
      </c>
      <c r="E2327" t="s">
        <v>40</v>
      </c>
      <c r="G2327" s="4">
        <v>43946.083923611111</v>
      </c>
      <c r="H2327" s="4">
        <v>43946.084166666667</v>
      </c>
      <c r="I2327" t="s">
        <v>510</v>
      </c>
      <c r="J2327" s="5">
        <v>21.00000000000000000000000000000000000004</v>
      </c>
      <c r="K2327" t="s">
        <v>38</v>
      </c>
      <c r="M2327">
        <v>58535</v>
      </c>
      <c r="N2327" t="s">
        <v>473</v>
      </c>
      <c r="O2327" t="s">
        <v>474</v>
      </c>
      <c r="P2327" t="s">
        <v>38</v>
      </c>
      <c r="Q2327" t="s">
        <v>78</v>
      </c>
      <c r="R2327">
        <v>5</v>
      </c>
      <c r="S2327" t="s">
        <v>45</v>
      </c>
      <c r="T2327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27">
        <v>58536</v>
      </c>
      <c r="V2327" t="s">
        <v>38</v>
      </c>
      <c r="W2327" t="s">
        <v>78</v>
      </c>
      <c r="X2327">
        <v>5</v>
      </c>
      <c r="Y2327">
        <v>0</v>
      </c>
      <c r="Z2327" t="s">
        <v>46</v>
      </c>
      <c r="AA2327">
        <v>58537</v>
      </c>
      <c r="AB2327" t="s">
        <v>475</v>
      </c>
      <c r="AC2327" t="s">
        <v>68</v>
      </c>
      <c r="AD2327" t="s">
        <v>38</v>
      </c>
      <c r="AE2327" t="s">
        <v>476</v>
      </c>
      <c r="AF2327" t="s">
        <v>78</v>
      </c>
      <c r="AG2327">
        <v>5</v>
      </c>
      <c r="AH2327">
        <v>0</v>
      </c>
      <c r="AI2327" t="s">
        <v>477</v>
      </c>
      <c r="AJ2327" t="s">
        <v>51</v>
      </c>
      <c r="AK2327" t="s">
        <v>477</v>
      </c>
    </row>
    <row r="2328" spans="1:37" x14ac:dyDescent="0.2">
      <c r="A2328">
        <v>58519</v>
      </c>
      <c r="B2328" t="s">
        <v>37</v>
      </c>
      <c r="C2328" t="s">
        <v>38</v>
      </c>
      <c r="D2328" t="s">
        <v>464</v>
      </c>
      <c r="E2328" t="s">
        <v>40</v>
      </c>
      <c r="G2328" s="4">
        <v>43946.083923611111</v>
      </c>
      <c r="H2328" s="4">
        <v>43946.084166666667</v>
      </c>
      <c r="I2328" t="s">
        <v>510</v>
      </c>
      <c r="J2328" s="5">
        <v>21.00000000000000000000000000000000000004</v>
      </c>
      <c r="K2328" t="s">
        <v>38</v>
      </c>
      <c r="M2328">
        <v>58532</v>
      </c>
      <c r="N2328" t="s">
        <v>478</v>
      </c>
      <c r="O2328" t="s">
        <v>479</v>
      </c>
      <c r="P2328" t="s">
        <v>38</v>
      </c>
      <c r="Q2328" t="s">
        <v>247</v>
      </c>
      <c r="R2328">
        <v>7</v>
      </c>
      <c r="S2328" t="s">
        <v>45</v>
      </c>
      <c r="T2328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28">
        <v>58533</v>
      </c>
      <c r="V2328" t="s">
        <v>38</v>
      </c>
      <c r="W2328" t="s">
        <v>75</v>
      </c>
      <c r="X2328">
        <v>6</v>
      </c>
      <c r="Y2328">
        <v>0</v>
      </c>
      <c r="Z2328" t="s">
        <v>46</v>
      </c>
      <c r="AA2328">
        <v>58534</v>
      </c>
      <c r="AB2328" t="s">
        <v>480</v>
      </c>
      <c r="AC2328" t="s">
        <v>68</v>
      </c>
      <c r="AD2328" t="s">
        <v>38</v>
      </c>
      <c r="AE2328" t="s">
        <v>49</v>
      </c>
      <c r="AF2328" t="s">
        <v>78</v>
      </c>
      <c r="AG2328">
        <v>5</v>
      </c>
      <c r="AH2328">
        <v>0</v>
      </c>
      <c r="AI2328" t="s">
        <v>51</v>
      </c>
      <c r="AJ2328" t="s">
        <v>51</v>
      </c>
      <c r="AK2328" t="s">
        <v>51</v>
      </c>
    </row>
    <row r="2329" spans="1:37" x14ac:dyDescent="0.2">
      <c r="A2329">
        <v>58519</v>
      </c>
      <c r="B2329" t="s">
        <v>37</v>
      </c>
      <c r="C2329" t="s">
        <v>38</v>
      </c>
      <c r="D2329" t="s">
        <v>464</v>
      </c>
      <c r="E2329" t="s">
        <v>40</v>
      </c>
      <c r="G2329" s="4">
        <v>43946.083923611111</v>
      </c>
      <c r="H2329" s="4">
        <v>43946.084166666667</v>
      </c>
      <c r="I2329" t="s">
        <v>510</v>
      </c>
      <c r="J2329" s="5">
        <v>21.00000000000000000000000000000000000004</v>
      </c>
      <c r="K2329" t="s">
        <v>38</v>
      </c>
      <c r="M2329">
        <v>58529</v>
      </c>
      <c r="N2329" t="s">
        <v>481</v>
      </c>
      <c r="O2329" t="s">
        <v>482</v>
      </c>
      <c r="P2329" t="s">
        <v>38</v>
      </c>
      <c r="Q2329" t="s">
        <v>50</v>
      </c>
      <c r="R2329">
        <v>.9999999999999999999999999999999999999996</v>
      </c>
      <c r="S2329" t="s">
        <v>45</v>
      </c>
      <c r="T2329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29">
        <v>58530</v>
      </c>
      <c r="V2329" t="s">
        <v>38</v>
      </c>
      <c r="W2329" t="s">
        <v>50</v>
      </c>
      <c r="X2329">
        <v>.9999999999999999999999999999999999999996</v>
      </c>
      <c r="Y2329">
        <v>0</v>
      </c>
      <c r="Z2329" t="s">
        <v>46</v>
      </c>
      <c r="AA2329">
        <v>58531</v>
      </c>
      <c r="AB2329" t="s">
        <v>483</v>
      </c>
      <c r="AC2329" t="s">
        <v>68</v>
      </c>
      <c r="AD2329" t="s">
        <v>38</v>
      </c>
      <c r="AE2329" t="s">
        <v>49</v>
      </c>
      <c r="AF2329" t="s">
        <v>50</v>
      </c>
      <c r="AG2329">
        <v>.9999999999999999999999999999999999999996</v>
      </c>
      <c r="AH2329">
        <v>0</v>
      </c>
      <c r="AI2329" t="s">
        <v>51</v>
      </c>
      <c r="AJ2329" t="s">
        <v>51</v>
      </c>
      <c r="AK2329" t="s">
        <v>51</v>
      </c>
    </row>
    <row r="2330" spans="1:37" x14ac:dyDescent="0.2">
      <c r="A2330">
        <v>58519</v>
      </c>
      <c r="B2330" t="s">
        <v>37</v>
      </c>
      <c r="C2330" t="s">
        <v>38</v>
      </c>
      <c r="D2330" t="s">
        <v>464</v>
      </c>
      <c r="E2330" t="s">
        <v>40</v>
      </c>
      <c r="G2330" s="4">
        <v>43946.083923611111</v>
      </c>
      <c r="H2330" s="4">
        <v>43946.084166666667</v>
      </c>
      <c r="I2330" t="s">
        <v>510</v>
      </c>
      <c r="J2330" s="5">
        <v>21.00000000000000000000000000000000000004</v>
      </c>
      <c r="K2330" t="s">
        <v>38</v>
      </c>
      <c r="M2330">
        <v>58526</v>
      </c>
      <c r="N2330" t="s">
        <v>484</v>
      </c>
      <c r="O2330" t="s">
        <v>485</v>
      </c>
      <c r="P2330" t="s">
        <v>38</v>
      </c>
      <c r="Q2330" t="s">
        <v>50</v>
      </c>
      <c r="R2330">
        <v>0</v>
      </c>
      <c r="S2330" t="s">
        <v>45</v>
      </c>
      <c r="T2330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30">
        <v>58527</v>
      </c>
      <c r="V2330" t="s">
        <v>38</v>
      </c>
      <c r="W2330" t="s">
        <v>50</v>
      </c>
      <c r="X2330">
        <v>0</v>
      </c>
      <c r="Y2330">
        <v>0</v>
      </c>
      <c r="Z2330" t="s">
        <v>46</v>
      </c>
      <c r="AA2330">
        <v>58528</v>
      </c>
      <c r="AB2330" t="s">
        <v>1936</v>
      </c>
      <c r="AC2330" t="s">
        <v>68</v>
      </c>
      <c r="AD2330" t="s">
        <v>38</v>
      </c>
      <c r="AE2330" t="s">
        <v>49</v>
      </c>
      <c r="AF2330" t="s">
        <v>50</v>
      </c>
      <c r="AG2330">
        <v>0</v>
      </c>
      <c r="AH2330">
        <v>0</v>
      </c>
      <c r="AI2330" t="s">
        <v>51</v>
      </c>
      <c r="AJ2330" t="s">
        <v>51</v>
      </c>
      <c r="AK2330" t="s">
        <v>51</v>
      </c>
    </row>
    <row r="2331" spans="1:37" x14ac:dyDescent="0.2">
      <c r="A2331">
        <v>58519</v>
      </c>
      <c r="B2331" t="s">
        <v>37</v>
      </c>
      <c r="C2331" t="s">
        <v>38</v>
      </c>
      <c r="D2331" t="s">
        <v>464</v>
      </c>
      <c r="E2331" t="s">
        <v>40</v>
      </c>
      <c r="G2331" s="4">
        <v>43946.083923611111</v>
      </c>
      <c r="H2331" s="4">
        <v>43946.084166666667</v>
      </c>
      <c r="I2331" t="s">
        <v>510</v>
      </c>
      <c r="J2331" s="5">
        <v>21.00000000000000000000000000000000000004</v>
      </c>
      <c r="K2331" t="s">
        <v>38</v>
      </c>
      <c r="M2331">
        <v>58523</v>
      </c>
      <c r="N2331" t="s">
        <v>487</v>
      </c>
      <c r="O2331" t="s">
        <v>488</v>
      </c>
      <c r="P2331" t="s">
        <v>38</v>
      </c>
      <c r="Q2331" t="s">
        <v>50</v>
      </c>
      <c r="R2331">
        <v>0</v>
      </c>
      <c r="S2331" t="s">
        <v>45</v>
      </c>
      <c r="T2331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31">
        <v>58524</v>
      </c>
      <c r="V2331" t="s">
        <v>38</v>
      </c>
      <c r="W2331" t="s">
        <v>50</v>
      </c>
      <c r="X2331">
        <v>0</v>
      </c>
      <c r="Y2331">
        <v>0</v>
      </c>
      <c r="Z2331" t="s">
        <v>46</v>
      </c>
      <c r="AA2331">
        <v>58525</v>
      </c>
      <c r="AB2331" t="s">
        <v>489</v>
      </c>
      <c r="AC2331" t="s">
        <v>68</v>
      </c>
      <c r="AD2331" t="s">
        <v>38</v>
      </c>
      <c r="AE2331" t="s">
        <v>49</v>
      </c>
      <c r="AF2331" t="s">
        <v>50</v>
      </c>
      <c r="AG2331">
        <v>0</v>
      </c>
      <c r="AH2331">
        <v>0</v>
      </c>
      <c r="AI2331" t="s">
        <v>51</v>
      </c>
      <c r="AJ2331" t="s">
        <v>51</v>
      </c>
      <c r="AK2331" t="s">
        <v>51</v>
      </c>
    </row>
    <row r="2332" spans="1:37" x14ac:dyDescent="0.2">
      <c r="A2332">
        <v>58519</v>
      </c>
      <c r="B2332" t="s">
        <v>37</v>
      </c>
      <c r="C2332" t="s">
        <v>38</v>
      </c>
      <c r="D2332" t="s">
        <v>464</v>
      </c>
      <c r="E2332" t="s">
        <v>40</v>
      </c>
      <c r="G2332" s="4">
        <v>43946.083923611111</v>
      </c>
      <c r="H2332" s="4">
        <v>43946.084166666667</v>
      </c>
      <c r="I2332" t="s">
        <v>510</v>
      </c>
      <c r="J2332" s="5">
        <v>21.00000000000000000000000000000000000004</v>
      </c>
      <c r="K2332" t="s">
        <v>38</v>
      </c>
      <c r="M2332">
        <v>58520</v>
      </c>
      <c r="N2332" t="s">
        <v>490</v>
      </c>
      <c r="O2332" t="s">
        <v>491</v>
      </c>
      <c r="P2332" t="s">
        <v>38</v>
      </c>
      <c r="Q2332" t="s">
        <v>50</v>
      </c>
      <c r="R2332">
        <v>.9999999999999999999999999999999999999996</v>
      </c>
      <c r="S2332" t="s">
        <v>45</v>
      </c>
      <c r="T2332" t="str" s="2">
        <f>=HYPERLINK("http://demo.enginatics.com:80/ecc/user/applications/log/58519.log","http://demo.enginatics.com:80/ecc/user/applications/log/58519.log")</f>
        <v>"http://demo.enginatics.com:80/ecc/user/applications/log/58519.log")</v>
      </c>
      <c r="U2332">
        <v>58521</v>
      </c>
      <c r="V2332" t="s">
        <v>38</v>
      </c>
      <c r="W2332" t="s">
        <v>50</v>
      </c>
      <c r="X2332">
        <v>.9999999999999999999999999999999999999996</v>
      </c>
      <c r="Y2332">
        <v>0</v>
      </c>
      <c r="Z2332" t="s">
        <v>46</v>
      </c>
      <c r="AA2332">
        <v>58522</v>
      </c>
      <c r="AB2332" t="s">
        <v>1937</v>
      </c>
      <c r="AC2332" t="s">
        <v>68</v>
      </c>
      <c r="AD2332" t="s">
        <v>38</v>
      </c>
      <c r="AE2332" t="s">
        <v>49</v>
      </c>
      <c r="AF2332" t="s">
        <v>50</v>
      </c>
      <c r="AG2332">
        <v>0</v>
      </c>
      <c r="AH2332">
        <v>0</v>
      </c>
      <c r="AI2332" t="s">
        <v>51</v>
      </c>
      <c r="AJ2332" t="s">
        <v>51</v>
      </c>
      <c r="AK2332" t="s">
        <v>51</v>
      </c>
    </row>
    <row r="2333" spans="1:37" x14ac:dyDescent="0.2">
      <c r="A2333">
        <v>58494</v>
      </c>
      <c r="B2333" t="s">
        <v>37</v>
      </c>
      <c r="C2333" t="s">
        <v>38</v>
      </c>
      <c r="D2333" t="s">
        <v>464</v>
      </c>
      <c r="E2333" t="s">
        <v>40</v>
      </c>
      <c r="G2333" s="4">
        <v>43946.081134259259</v>
      </c>
      <c r="H2333" s="4">
        <v>43946.081331018519</v>
      </c>
      <c r="I2333" t="s">
        <v>324</v>
      </c>
      <c r="J2333" s="5">
        <v>16.99999999999999999999999999999999999998</v>
      </c>
      <c r="K2333" t="s">
        <v>38</v>
      </c>
      <c r="M2333">
        <v>58516</v>
      </c>
      <c r="N2333" t="s">
        <v>465</v>
      </c>
      <c r="O2333" t="s">
        <v>466</v>
      </c>
      <c r="P2333" t="s">
        <v>38</v>
      </c>
      <c r="Q2333" t="s">
        <v>78</v>
      </c>
      <c r="R2333">
        <v>5</v>
      </c>
      <c r="S2333" t="s">
        <v>45</v>
      </c>
      <c r="T2333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3">
        <v>58517</v>
      </c>
      <c r="V2333" t="s">
        <v>38</v>
      </c>
      <c r="W2333" t="s">
        <v>78</v>
      </c>
      <c r="X2333">
        <v>5</v>
      </c>
      <c r="Y2333">
        <v>0</v>
      </c>
      <c r="Z2333" t="s">
        <v>46</v>
      </c>
      <c r="AA2333">
        <v>58518</v>
      </c>
      <c r="AB2333" t="s">
        <v>467</v>
      </c>
      <c r="AC2333" t="s">
        <v>68</v>
      </c>
      <c r="AD2333" t="s">
        <v>38</v>
      </c>
      <c r="AE2333" t="s">
        <v>468</v>
      </c>
      <c r="AF2333" t="s">
        <v>78</v>
      </c>
      <c r="AG2333">
        <v>5</v>
      </c>
      <c r="AH2333">
        <v>0</v>
      </c>
      <c r="AI2333" t="s">
        <v>469</v>
      </c>
      <c r="AJ2333" t="s">
        <v>51</v>
      </c>
      <c r="AK2333" t="s">
        <v>469</v>
      </c>
    </row>
    <row r="2334" spans="1:37" x14ac:dyDescent="0.2">
      <c r="A2334">
        <v>58494</v>
      </c>
      <c r="B2334" t="s">
        <v>37</v>
      </c>
      <c r="C2334" t="s">
        <v>38</v>
      </c>
      <c r="D2334" t="s">
        <v>464</v>
      </c>
      <c r="E2334" t="s">
        <v>40</v>
      </c>
      <c r="G2334" s="4">
        <v>43946.081134259259</v>
      </c>
      <c r="H2334" s="4">
        <v>43946.081331018519</v>
      </c>
      <c r="I2334" t="s">
        <v>324</v>
      </c>
      <c r="J2334" s="5">
        <v>16.99999999999999999999999999999999999998</v>
      </c>
      <c r="K2334" t="s">
        <v>38</v>
      </c>
      <c r="M2334">
        <v>58513</v>
      </c>
      <c r="N2334" t="s">
        <v>470</v>
      </c>
      <c r="O2334" t="s">
        <v>471</v>
      </c>
      <c r="P2334" t="s">
        <v>38</v>
      </c>
      <c r="Q2334" t="s">
        <v>50</v>
      </c>
      <c r="R2334">
        <v>.9999999999999999999999999999999999999996</v>
      </c>
      <c r="S2334" t="s">
        <v>45</v>
      </c>
      <c r="T2334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4">
        <v>58514</v>
      </c>
      <c r="V2334" t="s">
        <v>38</v>
      </c>
      <c r="W2334" t="s">
        <v>50</v>
      </c>
      <c r="X2334">
        <v>0</v>
      </c>
      <c r="Y2334">
        <v>0</v>
      </c>
      <c r="Z2334" t="s">
        <v>46</v>
      </c>
      <c r="AA2334">
        <v>58515</v>
      </c>
      <c r="AB2334" t="s">
        <v>472</v>
      </c>
      <c r="AC2334" t="s">
        <v>68</v>
      </c>
      <c r="AD2334" t="s">
        <v>38</v>
      </c>
      <c r="AE2334" t="s">
        <v>49</v>
      </c>
      <c r="AF2334" t="s">
        <v>50</v>
      </c>
      <c r="AG2334">
        <v>0</v>
      </c>
      <c r="AH2334">
        <v>0</v>
      </c>
      <c r="AI2334" t="s">
        <v>51</v>
      </c>
      <c r="AJ2334" t="s">
        <v>51</v>
      </c>
      <c r="AK2334" t="s">
        <v>51</v>
      </c>
    </row>
    <row r="2335" spans="1:37" x14ac:dyDescent="0.2">
      <c r="A2335">
        <v>58494</v>
      </c>
      <c r="B2335" t="s">
        <v>37</v>
      </c>
      <c r="C2335" t="s">
        <v>38</v>
      </c>
      <c r="D2335" t="s">
        <v>464</v>
      </c>
      <c r="E2335" t="s">
        <v>40</v>
      </c>
      <c r="G2335" s="4">
        <v>43946.081134259259</v>
      </c>
      <c r="H2335" s="4">
        <v>43946.081331018519</v>
      </c>
      <c r="I2335" t="s">
        <v>324</v>
      </c>
      <c r="J2335" s="5">
        <v>16.99999999999999999999999999999999999998</v>
      </c>
      <c r="K2335" t="s">
        <v>38</v>
      </c>
      <c r="M2335">
        <v>58510</v>
      </c>
      <c r="N2335" t="s">
        <v>473</v>
      </c>
      <c r="O2335" t="s">
        <v>474</v>
      </c>
      <c r="P2335" t="s">
        <v>38</v>
      </c>
      <c r="Q2335" t="s">
        <v>78</v>
      </c>
      <c r="R2335">
        <v>5</v>
      </c>
      <c r="S2335" t="s">
        <v>45</v>
      </c>
      <c r="T2335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5">
        <v>58511</v>
      </c>
      <c r="V2335" t="s">
        <v>38</v>
      </c>
      <c r="W2335" t="s">
        <v>78</v>
      </c>
      <c r="X2335">
        <v>5</v>
      </c>
      <c r="Y2335">
        <v>0</v>
      </c>
      <c r="Z2335" t="s">
        <v>46</v>
      </c>
      <c r="AA2335">
        <v>58512</v>
      </c>
      <c r="AB2335" t="s">
        <v>475</v>
      </c>
      <c r="AC2335" t="s">
        <v>68</v>
      </c>
      <c r="AD2335" t="s">
        <v>38</v>
      </c>
      <c r="AE2335" t="s">
        <v>476</v>
      </c>
      <c r="AF2335" t="s">
        <v>44</v>
      </c>
      <c r="AG2335">
        <v>4</v>
      </c>
      <c r="AH2335">
        <v>0</v>
      </c>
      <c r="AI2335" t="s">
        <v>477</v>
      </c>
      <c r="AJ2335" t="s">
        <v>51</v>
      </c>
      <c r="AK2335" t="s">
        <v>477</v>
      </c>
    </row>
    <row r="2336" spans="1:37" x14ac:dyDescent="0.2">
      <c r="A2336">
        <v>58494</v>
      </c>
      <c r="B2336" t="s">
        <v>37</v>
      </c>
      <c r="C2336" t="s">
        <v>38</v>
      </c>
      <c r="D2336" t="s">
        <v>464</v>
      </c>
      <c r="E2336" t="s">
        <v>40</v>
      </c>
      <c r="G2336" s="4">
        <v>43946.081134259259</v>
      </c>
      <c r="H2336" s="4">
        <v>43946.081331018519</v>
      </c>
      <c r="I2336" t="s">
        <v>324</v>
      </c>
      <c r="J2336" s="5">
        <v>16.99999999999999999999999999999999999998</v>
      </c>
      <c r="K2336" t="s">
        <v>38</v>
      </c>
      <c r="M2336">
        <v>58507</v>
      </c>
      <c r="N2336" t="s">
        <v>478</v>
      </c>
      <c r="O2336" t="s">
        <v>479</v>
      </c>
      <c r="P2336" t="s">
        <v>38</v>
      </c>
      <c r="Q2336" t="s">
        <v>50</v>
      </c>
      <c r="R2336">
        <v>.9999999999999999999999999999999999999996</v>
      </c>
      <c r="S2336" t="s">
        <v>45</v>
      </c>
      <c r="T2336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6">
        <v>58508</v>
      </c>
      <c r="V2336" t="s">
        <v>38</v>
      </c>
      <c r="W2336" t="s">
        <v>50</v>
      </c>
      <c r="X2336">
        <v>.9999999999999999999999999999999999999996</v>
      </c>
      <c r="Y2336">
        <v>0</v>
      </c>
      <c r="Z2336" t="s">
        <v>46</v>
      </c>
      <c r="AA2336">
        <v>58509</v>
      </c>
      <c r="AB2336" t="s">
        <v>480</v>
      </c>
      <c r="AC2336" t="s">
        <v>68</v>
      </c>
      <c r="AD2336" t="s">
        <v>38</v>
      </c>
      <c r="AE2336" t="s">
        <v>49</v>
      </c>
      <c r="AF2336" t="s">
        <v>50</v>
      </c>
      <c r="AG2336">
        <v>.9999999999999999999999999999999999999996</v>
      </c>
      <c r="AH2336">
        <v>0</v>
      </c>
      <c r="AI2336" t="s">
        <v>51</v>
      </c>
      <c r="AJ2336" t="s">
        <v>51</v>
      </c>
      <c r="AK2336" t="s">
        <v>51</v>
      </c>
    </row>
    <row r="2337" spans="1:37" x14ac:dyDescent="0.2">
      <c r="A2337">
        <v>58494</v>
      </c>
      <c r="B2337" t="s">
        <v>37</v>
      </c>
      <c r="C2337" t="s">
        <v>38</v>
      </c>
      <c r="D2337" t="s">
        <v>464</v>
      </c>
      <c r="E2337" t="s">
        <v>40</v>
      </c>
      <c r="G2337" s="4">
        <v>43946.081134259259</v>
      </c>
      <c r="H2337" s="4">
        <v>43946.081331018519</v>
      </c>
      <c r="I2337" t="s">
        <v>324</v>
      </c>
      <c r="J2337" s="5">
        <v>16.99999999999999999999999999999999999998</v>
      </c>
      <c r="K2337" t="s">
        <v>38</v>
      </c>
      <c r="M2337">
        <v>58504</v>
      </c>
      <c r="N2337" t="s">
        <v>481</v>
      </c>
      <c r="O2337" t="s">
        <v>482</v>
      </c>
      <c r="P2337" t="s">
        <v>38</v>
      </c>
      <c r="Q2337" t="s">
        <v>44</v>
      </c>
      <c r="R2337">
        <v>4</v>
      </c>
      <c r="S2337" t="s">
        <v>45</v>
      </c>
      <c r="T2337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7">
        <v>58505</v>
      </c>
      <c r="V2337" t="s">
        <v>38</v>
      </c>
      <c r="W2337" t="s">
        <v>50</v>
      </c>
      <c r="X2337">
        <v>.9999999999999999999999999999999999999996</v>
      </c>
      <c r="Y2337">
        <v>0</v>
      </c>
      <c r="Z2337" t="s">
        <v>46</v>
      </c>
      <c r="AA2337">
        <v>58506</v>
      </c>
      <c r="AB2337" t="s">
        <v>483</v>
      </c>
      <c r="AC2337" t="s">
        <v>68</v>
      </c>
      <c r="AD2337" t="s">
        <v>38</v>
      </c>
      <c r="AE2337" t="s">
        <v>49</v>
      </c>
      <c r="AF2337" t="s">
        <v>50</v>
      </c>
      <c r="AG2337">
        <v>.9999999999999999999999999999999999999996</v>
      </c>
      <c r="AH2337">
        <v>0</v>
      </c>
      <c r="AI2337" t="s">
        <v>51</v>
      </c>
      <c r="AJ2337" t="s">
        <v>51</v>
      </c>
      <c r="AK2337" t="s">
        <v>51</v>
      </c>
    </row>
    <row r="2338" spans="1:37" x14ac:dyDescent="0.2">
      <c r="A2338">
        <v>58494</v>
      </c>
      <c r="B2338" t="s">
        <v>37</v>
      </c>
      <c r="C2338" t="s">
        <v>38</v>
      </c>
      <c r="D2338" t="s">
        <v>464</v>
      </c>
      <c r="E2338" t="s">
        <v>40</v>
      </c>
      <c r="G2338" s="4">
        <v>43946.081134259259</v>
      </c>
      <c r="H2338" s="4">
        <v>43946.081331018519</v>
      </c>
      <c r="I2338" t="s">
        <v>324</v>
      </c>
      <c r="J2338" s="5">
        <v>16.99999999999999999999999999999999999998</v>
      </c>
      <c r="K2338" t="s">
        <v>38</v>
      </c>
      <c r="M2338">
        <v>58501</v>
      </c>
      <c r="N2338" t="s">
        <v>484</v>
      </c>
      <c r="O2338" t="s">
        <v>485</v>
      </c>
      <c r="P2338" t="s">
        <v>38</v>
      </c>
      <c r="Q2338" t="s">
        <v>50</v>
      </c>
      <c r="R2338">
        <v>0</v>
      </c>
      <c r="S2338" t="s">
        <v>45</v>
      </c>
      <c r="T2338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8">
        <v>58502</v>
      </c>
      <c r="V2338" t="s">
        <v>38</v>
      </c>
      <c r="W2338" t="s">
        <v>50</v>
      </c>
      <c r="X2338">
        <v>0</v>
      </c>
      <c r="Y2338">
        <v>0</v>
      </c>
      <c r="Z2338" t="s">
        <v>46</v>
      </c>
      <c r="AA2338">
        <v>58503</v>
      </c>
      <c r="AB2338" t="s">
        <v>1938</v>
      </c>
      <c r="AC2338" t="s">
        <v>68</v>
      </c>
      <c r="AD2338" t="s">
        <v>38</v>
      </c>
      <c r="AE2338" t="s">
        <v>49</v>
      </c>
      <c r="AF2338" t="s">
        <v>50</v>
      </c>
      <c r="AG2338">
        <v>0</v>
      </c>
      <c r="AH2338">
        <v>0</v>
      </c>
      <c r="AI2338" t="s">
        <v>51</v>
      </c>
      <c r="AJ2338" t="s">
        <v>51</v>
      </c>
      <c r="AK2338" t="s">
        <v>51</v>
      </c>
    </row>
    <row r="2339" spans="1:37" x14ac:dyDescent="0.2">
      <c r="A2339">
        <v>58494</v>
      </c>
      <c r="B2339" t="s">
        <v>37</v>
      </c>
      <c r="C2339" t="s">
        <v>38</v>
      </c>
      <c r="D2339" t="s">
        <v>464</v>
      </c>
      <c r="E2339" t="s">
        <v>40</v>
      </c>
      <c r="G2339" s="4">
        <v>43946.081134259259</v>
      </c>
      <c r="H2339" s="4">
        <v>43946.081331018519</v>
      </c>
      <c r="I2339" t="s">
        <v>324</v>
      </c>
      <c r="J2339" s="5">
        <v>16.99999999999999999999999999999999999998</v>
      </c>
      <c r="K2339" t="s">
        <v>38</v>
      </c>
      <c r="M2339">
        <v>58498</v>
      </c>
      <c r="N2339" t="s">
        <v>487</v>
      </c>
      <c r="O2339" t="s">
        <v>488</v>
      </c>
      <c r="P2339" t="s">
        <v>38</v>
      </c>
      <c r="Q2339" t="s">
        <v>50</v>
      </c>
      <c r="R2339">
        <v>0</v>
      </c>
      <c r="S2339" t="s">
        <v>45</v>
      </c>
      <c r="T2339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39">
        <v>58499</v>
      </c>
      <c r="V2339" t="s">
        <v>38</v>
      </c>
      <c r="W2339" t="s">
        <v>50</v>
      </c>
      <c r="X2339">
        <v>0</v>
      </c>
      <c r="Y2339">
        <v>0</v>
      </c>
      <c r="Z2339" t="s">
        <v>46</v>
      </c>
      <c r="AA2339">
        <v>58500</v>
      </c>
      <c r="AB2339" t="s">
        <v>489</v>
      </c>
      <c r="AC2339" t="s">
        <v>68</v>
      </c>
      <c r="AD2339" t="s">
        <v>38</v>
      </c>
      <c r="AE2339" t="s">
        <v>49</v>
      </c>
      <c r="AF2339" t="s">
        <v>50</v>
      </c>
      <c r="AG2339">
        <v>0</v>
      </c>
      <c r="AH2339">
        <v>0</v>
      </c>
      <c r="AI2339" t="s">
        <v>51</v>
      </c>
      <c r="AJ2339" t="s">
        <v>51</v>
      </c>
      <c r="AK2339" t="s">
        <v>51</v>
      </c>
    </row>
    <row r="2340" spans="1:37" x14ac:dyDescent="0.2">
      <c r="A2340">
        <v>58494</v>
      </c>
      <c r="B2340" t="s">
        <v>37</v>
      </c>
      <c r="C2340" t="s">
        <v>38</v>
      </c>
      <c r="D2340" t="s">
        <v>464</v>
      </c>
      <c r="E2340" t="s">
        <v>40</v>
      </c>
      <c r="G2340" s="4">
        <v>43946.081134259259</v>
      </c>
      <c r="H2340" s="4">
        <v>43946.081331018519</v>
      </c>
      <c r="I2340" t="s">
        <v>324</v>
      </c>
      <c r="J2340" s="5">
        <v>16.99999999999999999999999999999999999998</v>
      </c>
      <c r="K2340" t="s">
        <v>38</v>
      </c>
      <c r="M2340">
        <v>58495</v>
      </c>
      <c r="N2340" t="s">
        <v>490</v>
      </c>
      <c r="O2340" t="s">
        <v>491</v>
      </c>
      <c r="P2340" t="s">
        <v>38</v>
      </c>
      <c r="Q2340" t="s">
        <v>50</v>
      </c>
      <c r="R2340">
        <v>.9999999999999999999999999999999999999996</v>
      </c>
      <c r="S2340" t="s">
        <v>45</v>
      </c>
      <c r="T2340" t="str" s="2">
        <f>=HYPERLINK("http://demo.enginatics.com:80/ecc/user/applications/log/58494.log","http://demo.enginatics.com:80/ecc/user/applications/log/58494.log")</f>
        <v>"http://demo.enginatics.com:80/ecc/user/applications/log/58494.log")</v>
      </c>
      <c r="U2340">
        <v>58496</v>
      </c>
      <c r="V2340" t="s">
        <v>38</v>
      </c>
      <c r="W2340" t="s">
        <v>50</v>
      </c>
      <c r="X2340">
        <v>.9999999999999999999999999999999999999996</v>
      </c>
      <c r="Y2340">
        <v>0</v>
      </c>
      <c r="Z2340" t="s">
        <v>46</v>
      </c>
      <c r="AA2340">
        <v>58497</v>
      </c>
      <c r="AB2340" t="s">
        <v>1939</v>
      </c>
      <c r="AC2340" t="s">
        <v>68</v>
      </c>
      <c r="AD2340" t="s">
        <v>38</v>
      </c>
      <c r="AE2340" t="s">
        <v>49</v>
      </c>
      <c r="AF2340" t="s">
        <v>50</v>
      </c>
      <c r="AG2340">
        <v>.9999999999999999999999999999999999999996</v>
      </c>
      <c r="AH2340">
        <v>0</v>
      </c>
      <c r="AI2340" t="s">
        <v>51</v>
      </c>
      <c r="AJ2340" t="s">
        <v>51</v>
      </c>
      <c r="AK2340" t="s">
        <v>51</v>
      </c>
    </row>
    <row r="2341" spans="1:37" x14ac:dyDescent="0.2">
      <c r="A2341">
        <v>58490</v>
      </c>
      <c r="B2341" t="s">
        <v>37</v>
      </c>
      <c r="C2341" t="s">
        <v>38</v>
      </c>
      <c r="D2341" t="s">
        <v>495</v>
      </c>
      <c r="E2341" t="s">
        <v>40</v>
      </c>
      <c r="G2341" s="4">
        <v>43946.078773148148</v>
      </c>
      <c r="H2341" s="4">
        <v>43946.078923611111</v>
      </c>
      <c r="I2341" t="s">
        <v>313</v>
      </c>
      <c r="J2341" s="5">
        <v>13</v>
      </c>
      <c r="K2341" t="s">
        <v>38</v>
      </c>
      <c r="M2341">
        <v>58491</v>
      </c>
      <c r="N2341" t="s">
        <v>496</v>
      </c>
      <c r="O2341" t="s">
        <v>497</v>
      </c>
      <c r="P2341" t="s">
        <v>38</v>
      </c>
      <c r="Q2341" t="s">
        <v>313</v>
      </c>
      <c r="R2341">
        <v>13</v>
      </c>
      <c r="S2341" t="s">
        <v>45</v>
      </c>
      <c r="T2341" t="str" s="2">
        <f>=HYPERLINK("http://demo.enginatics.com:80/ecc/user/applications/log/58490.log","http://demo.enginatics.com:80/ecc/user/applications/log/58490.log")</f>
        <v>"http://demo.enginatics.com:80/ecc/user/applications/log/58490.log")</v>
      </c>
      <c r="U2341">
        <v>58492</v>
      </c>
      <c r="V2341" t="s">
        <v>38</v>
      </c>
      <c r="W2341" t="s">
        <v>313</v>
      </c>
      <c r="X2341">
        <v>13</v>
      </c>
      <c r="Y2341">
        <v>0</v>
      </c>
      <c r="Z2341" t="s">
        <v>46</v>
      </c>
      <c r="AA2341">
        <v>58493</v>
      </c>
      <c r="AB2341" t="s">
        <v>1940</v>
      </c>
      <c r="AC2341" t="s">
        <v>97</v>
      </c>
      <c r="AD2341" t="s">
        <v>38</v>
      </c>
      <c r="AE2341" t="s">
        <v>49</v>
      </c>
      <c r="AF2341" t="s">
        <v>313</v>
      </c>
      <c r="AG2341">
        <v>13</v>
      </c>
      <c r="AH2341">
        <v>12</v>
      </c>
      <c r="AI2341" t="s">
        <v>51</v>
      </c>
      <c r="AJ2341" t="s">
        <v>51</v>
      </c>
      <c r="AK2341" t="s">
        <v>51</v>
      </c>
    </row>
    <row r="2342" spans="1:37" x14ac:dyDescent="0.2">
      <c r="A2342">
        <v>58480</v>
      </c>
      <c r="B2342" t="s">
        <v>37</v>
      </c>
      <c r="C2342" t="s">
        <v>38</v>
      </c>
      <c r="D2342" t="s">
        <v>499</v>
      </c>
      <c r="E2342" t="s">
        <v>40</v>
      </c>
      <c r="G2342" s="4">
        <v>43946.068599537037</v>
      </c>
      <c r="H2342" s="4">
        <v>43946.068634259259</v>
      </c>
      <c r="I2342" t="s">
        <v>85</v>
      </c>
      <c r="J2342" s="5">
        <v>3</v>
      </c>
      <c r="K2342" t="s">
        <v>38</v>
      </c>
      <c r="M2342">
        <v>58487</v>
      </c>
      <c r="N2342" t="s">
        <v>500</v>
      </c>
      <c r="O2342" t="s">
        <v>501</v>
      </c>
      <c r="P2342" t="s">
        <v>38</v>
      </c>
      <c r="Q2342" t="s">
        <v>50</v>
      </c>
      <c r="R2342">
        <v>0</v>
      </c>
      <c r="S2342" t="s">
        <v>45</v>
      </c>
      <c r="T2342" t="str" s="2">
        <f>=HYPERLINK("http://demo.enginatics.com:80/ecc/user/applications/log/58480.log","http://demo.enginatics.com:80/ecc/user/applications/log/58480.log")</f>
        <v>"http://demo.enginatics.com:80/ecc/user/applications/log/58480.log")</v>
      </c>
      <c r="U2342">
        <v>58488</v>
      </c>
      <c r="V2342" t="s">
        <v>38</v>
      </c>
      <c r="W2342" t="s">
        <v>50</v>
      </c>
      <c r="X2342">
        <v>0</v>
      </c>
      <c r="Y2342">
        <v>0</v>
      </c>
      <c r="Z2342" t="s">
        <v>46</v>
      </c>
      <c r="AA2342">
        <v>58489</v>
      </c>
      <c r="AB2342" t="s">
        <v>1941</v>
      </c>
      <c r="AC2342" t="s">
        <v>68</v>
      </c>
      <c r="AD2342" t="s">
        <v>38</v>
      </c>
      <c r="AE2342" t="s">
        <v>49</v>
      </c>
      <c r="AF2342" t="s">
        <v>50</v>
      </c>
      <c r="AG2342">
        <v>0</v>
      </c>
      <c r="AH2342">
        <v>0</v>
      </c>
      <c r="AI2342" t="s">
        <v>51</v>
      </c>
      <c r="AJ2342" t="s">
        <v>51</v>
      </c>
      <c r="AK2342" t="s">
        <v>51</v>
      </c>
    </row>
    <row r="2343" spans="1:37" x14ac:dyDescent="0.2">
      <c r="A2343">
        <v>58480</v>
      </c>
      <c r="B2343" t="s">
        <v>37</v>
      </c>
      <c r="C2343" t="s">
        <v>38</v>
      </c>
      <c r="D2343" t="s">
        <v>499</v>
      </c>
      <c r="E2343" t="s">
        <v>40</v>
      </c>
      <c r="G2343" s="4">
        <v>43946.068599537037</v>
      </c>
      <c r="H2343" s="4">
        <v>43946.068634259259</v>
      </c>
      <c r="I2343" t="s">
        <v>85</v>
      </c>
      <c r="J2343" s="5">
        <v>3</v>
      </c>
      <c r="K2343" t="s">
        <v>38</v>
      </c>
      <c r="M2343">
        <v>58484</v>
      </c>
      <c r="N2343" t="s">
        <v>503</v>
      </c>
      <c r="O2343" t="s">
        <v>504</v>
      </c>
      <c r="P2343" t="s">
        <v>38</v>
      </c>
      <c r="Q2343" t="s">
        <v>85</v>
      </c>
      <c r="R2343">
        <v>3</v>
      </c>
      <c r="S2343" t="s">
        <v>45</v>
      </c>
      <c r="T2343" t="str" s="2">
        <f>=HYPERLINK("http://demo.enginatics.com:80/ecc/user/applications/log/58480.log","http://demo.enginatics.com:80/ecc/user/applications/log/58480.log")</f>
        <v>"http://demo.enginatics.com:80/ecc/user/applications/log/58480.log")</v>
      </c>
      <c r="U2343">
        <v>58485</v>
      </c>
      <c r="V2343" t="s">
        <v>38</v>
      </c>
      <c r="W2343" t="s">
        <v>85</v>
      </c>
      <c r="X2343">
        <v>3</v>
      </c>
      <c r="Y2343">
        <v>0</v>
      </c>
      <c r="Z2343" t="s">
        <v>46</v>
      </c>
      <c r="AA2343">
        <v>58486</v>
      </c>
      <c r="AB2343" t="s">
        <v>505</v>
      </c>
      <c r="AC2343" t="s">
        <v>68</v>
      </c>
      <c r="AD2343" t="s">
        <v>38</v>
      </c>
      <c r="AE2343" t="s">
        <v>49</v>
      </c>
      <c r="AF2343" t="s">
        <v>85</v>
      </c>
      <c r="AG2343">
        <v>3</v>
      </c>
      <c r="AH2343">
        <v>1</v>
      </c>
      <c r="AI2343" t="s">
        <v>51</v>
      </c>
      <c r="AJ2343" t="s">
        <v>51</v>
      </c>
      <c r="AK2343" t="s">
        <v>51</v>
      </c>
    </row>
    <row r="2344" spans="1:37" x14ac:dyDescent="0.2">
      <c r="A2344">
        <v>58480</v>
      </c>
      <c r="B2344" t="s">
        <v>37</v>
      </c>
      <c r="C2344" t="s">
        <v>38</v>
      </c>
      <c r="D2344" t="s">
        <v>499</v>
      </c>
      <c r="E2344" t="s">
        <v>40</v>
      </c>
      <c r="G2344" s="4">
        <v>43946.068599537037</v>
      </c>
      <c r="H2344" s="4">
        <v>43946.068634259259</v>
      </c>
      <c r="I2344" t="s">
        <v>85</v>
      </c>
      <c r="J2344" s="5">
        <v>3</v>
      </c>
      <c r="K2344" t="s">
        <v>38</v>
      </c>
      <c r="M2344">
        <v>58481</v>
      </c>
      <c r="N2344" t="s">
        <v>506</v>
      </c>
      <c r="O2344" t="s">
        <v>507</v>
      </c>
      <c r="P2344" t="s">
        <v>38</v>
      </c>
      <c r="Q2344" t="s">
        <v>50</v>
      </c>
      <c r="R2344">
        <v>0</v>
      </c>
      <c r="S2344" t="s">
        <v>45</v>
      </c>
      <c r="T2344" t="str" s="2">
        <f>=HYPERLINK("http://demo.enginatics.com:80/ecc/user/applications/log/58480.log","http://demo.enginatics.com:80/ecc/user/applications/log/58480.log")</f>
        <v>"http://demo.enginatics.com:80/ecc/user/applications/log/58480.log")</v>
      </c>
      <c r="U2344">
        <v>58482</v>
      </c>
      <c r="V2344" t="s">
        <v>38</v>
      </c>
      <c r="W2344" t="s">
        <v>50</v>
      </c>
      <c r="X2344">
        <v>0</v>
      </c>
      <c r="Y2344">
        <v>0</v>
      </c>
      <c r="Z2344" t="s">
        <v>46</v>
      </c>
      <c r="AA2344">
        <v>58483</v>
      </c>
      <c r="AB2344" t="s">
        <v>1942</v>
      </c>
      <c r="AC2344" t="s">
        <v>68</v>
      </c>
      <c r="AD2344" t="s">
        <v>38</v>
      </c>
      <c r="AE2344" t="s">
        <v>49</v>
      </c>
      <c r="AF2344" t="s">
        <v>50</v>
      </c>
      <c r="AG2344">
        <v>0</v>
      </c>
      <c r="AH2344">
        <v>0</v>
      </c>
      <c r="AI2344" t="s">
        <v>51</v>
      </c>
      <c r="AJ2344" t="s">
        <v>51</v>
      </c>
      <c r="AK2344" t="s">
        <v>51</v>
      </c>
    </row>
    <row r="2345" spans="1:37" x14ac:dyDescent="0.2">
      <c r="A2345">
        <v>58452</v>
      </c>
      <c r="B2345" t="s">
        <v>37</v>
      </c>
      <c r="C2345" t="s">
        <v>38</v>
      </c>
      <c r="D2345" t="s">
        <v>509</v>
      </c>
      <c r="E2345" t="s">
        <v>40</v>
      </c>
      <c r="G2345" s="4">
        <v>43946.058969907407</v>
      </c>
      <c r="H2345" s="4">
        <v>43946.059224537037</v>
      </c>
      <c r="I2345" t="s">
        <v>911</v>
      </c>
      <c r="J2345" s="5">
        <v>22.00000000000000000000000000000000000003</v>
      </c>
      <c r="K2345" t="s">
        <v>38</v>
      </c>
      <c r="M2345">
        <v>58475</v>
      </c>
      <c r="N2345" t="s">
        <v>511</v>
      </c>
      <c r="O2345" t="s">
        <v>512</v>
      </c>
      <c r="P2345" t="s">
        <v>38</v>
      </c>
      <c r="Q2345" t="s">
        <v>85</v>
      </c>
      <c r="R2345">
        <v>3</v>
      </c>
      <c r="S2345" t="s">
        <v>45</v>
      </c>
      <c r="T2345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45">
        <v>58476</v>
      </c>
      <c r="V2345" t="s">
        <v>38</v>
      </c>
      <c r="W2345" t="s">
        <v>85</v>
      </c>
      <c r="X2345">
        <v>3</v>
      </c>
      <c r="Y2345">
        <v>2</v>
      </c>
      <c r="Z2345" t="s">
        <v>46</v>
      </c>
      <c r="AA2345">
        <v>58479</v>
      </c>
      <c r="AB2345" t="s">
        <v>1943</v>
      </c>
      <c r="AC2345" t="s">
        <v>97</v>
      </c>
      <c r="AD2345" t="s">
        <v>38</v>
      </c>
      <c r="AE2345" t="s">
        <v>49</v>
      </c>
      <c r="AF2345" t="s">
        <v>50</v>
      </c>
      <c r="AG2345">
        <v>0</v>
      </c>
      <c r="AH2345">
        <v>0</v>
      </c>
      <c r="AI2345" t="s">
        <v>51</v>
      </c>
      <c r="AJ2345" t="s">
        <v>51</v>
      </c>
      <c r="AK2345" t="s">
        <v>51</v>
      </c>
    </row>
    <row r="2346" spans="1:37" x14ac:dyDescent="0.2">
      <c r="A2346">
        <v>58452</v>
      </c>
      <c r="B2346" t="s">
        <v>37</v>
      </c>
      <c r="C2346" t="s">
        <v>38</v>
      </c>
      <c r="D2346" t="s">
        <v>509</v>
      </c>
      <c r="E2346" t="s">
        <v>40</v>
      </c>
      <c r="G2346" s="4">
        <v>43946.058969907407</v>
      </c>
      <c r="H2346" s="4">
        <v>43946.059224537037</v>
      </c>
      <c r="I2346" t="s">
        <v>911</v>
      </c>
      <c r="J2346" s="5">
        <v>22.00000000000000000000000000000000000003</v>
      </c>
      <c r="K2346" t="s">
        <v>38</v>
      </c>
      <c r="M2346">
        <v>58475</v>
      </c>
      <c r="N2346" t="s">
        <v>511</v>
      </c>
      <c r="O2346" t="s">
        <v>512</v>
      </c>
      <c r="P2346" t="s">
        <v>38</v>
      </c>
      <c r="Q2346" t="s">
        <v>85</v>
      </c>
      <c r="R2346">
        <v>3</v>
      </c>
      <c r="S2346" t="s">
        <v>45</v>
      </c>
      <c r="T2346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46">
        <v>58476</v>
      </c>
      <c r="V2346" t="s">
        <v>38</v>
      </c>
      <c r="W2346" t="s">
        <v>85</v>
      </c>
      <c r="X2346">
        <v>3</v>
      </c>
      <c r="Y2346">
        <v>2</v>
      </c>
      <c r="Z2346" t="s">
        <v>46</v>
      </c>
      <c r="AA2346">
        <v>58478</v>
      </c>
      <c r="AB2346" t="s">
        <v>514</v>
      </c>
      <c r="AC2346" t="s">
        <v>97</v>
      </c>
      <c r="AD2346" t="s">
        <v>38</v>
      </c>
      <c r="AE2346" t="s">
        <v>49</v>
      </c>
      <c r="AF2346" t="s">
        <v>50</v>
      </c>
      <c r="AG2346">
        <v>0</v>
      </c>
      <c r="AH2346">
        <v>0</v>
      </c>
      <c r="AI2346" t="s">
        <v>51</v>
      </c>
      <c r="AJ2346" t="s">
        <v>51</v>
      </c>
      <c r="AK2346" t="s">
        <v>51</v>
      </c>
    </row>
    <row r="2347" spans="1:37" x14ac:dyDescent="0.2">
      <c r="A2347">
        <v>58452</v>
      </c>
      <c r="B2347" t="s">
        <v>37</v>
      </c>
      <c r="C2347" t="s">
        <v>38</v>
      </c>
      <c r="D2347" t="s">
        <v>509</v>
      </c>
      <c r="E2347" t="s">
        <v>40</v>
      </c>
      <c r="G2347" s="4">
        <v>43946.058969907407</v>
      </c>
      <c r="H2347" s="4">
        <v>43946.059224537037</v>
      </c>
      <c r="I2347" t="s">
        <v>911</v>
      </c>
      <c r="J2347" s="5">
        <v>22.00000000000000000000000000000000000003</v>
      </c>
      <c r="K2347" t="s">
        <v>38</v>
      </c>
      <c r="M2347">
        <v>58475</v>
      </c>
      <c r="N2347" t="s">
        <v>511</v>
      </c>
      <c r="O2347" t="s">
        <v>512</v>
      </c>
      <c r="P2347" t="s">
        <v>38</v>
      </c>
      <c r="Q2347" t="s">
        <v>85</v>
      </c>
      <c r="R2347">
        <v>3</v>
      </c>
      <c r="S2347" t="s">
        <v>45</v>
      </c>
      <c r="T2347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47">
        <v>58476</v>
      </c>
      <c r="V2347" t="s">
        <v>38</v>
      </c>
      <c r="W2347" t="s">
        <v>85</v>
      </c>
      <c r="X2347">
        <v>3</v>
      </c>
      <c r="Y2347">
        <v>2</v>
      </c>
      <c r="Z2347" t="s">
        <v>46</v>
      </c>
      <c r="AA2347">
        <v>58477</v>
      </c>
      <c r="AB2347" t="s">
        <v>1944</v>
      </c>
      <c r="AC2347" t="s">
        <v>56</v>
      </c>
      <c r="AD2347" t="s">
        <v>38</v>
      </c>
      <c r="AE2347" t="s">
        <v>49</v>
      </c>
      <c r="AF2347" t="s">
        <v>50</v>
      </c>
      <c r="AG2347">
        <v>0</v>
      </c>
      <c r="AH2347">
        <v>0</v>
      </c>
      <c r="AI2347" t="s">
        <v>51</v>
      </c>
      <c r="AJ2347" t="s">
        <v>51</v>
      </c>
      <c r="AK2347" t="s">
        <v>51</v>
      </c>
    </row>
    <row r="2348" spans="1:37" x14ac:dyDescent="0.2">
      <c r="A2348">
        <v>58452</v>
      </c>
      <c r="B2348" t="s">
        <v>37</v>
      </c>
      <c r="C2348" t="s">
        <v>38</v>
      </c>
      <c r="D2348" t="s">
        <v>509</v>
      </c>
      <c r="E2348" t="s">
        <v>40</v>
      </c>
      <c r="G2348" s="4">
        <v>43946.058969907407</v>
      </c>
      <c r="H2348" s="4">
        <v>43946.059224537037</v>
      </c>
      <c r="I2348" t="s">
        <v>911</v>
      </c>
      <c r="J2348" s="5">
        <v>22.00000000000000000000000000000000000003</v>
      </c>
      <c r="K2348" t="s">
        <v>38</v>
      </c>
      <c r="M2348">
        <v>58471</v>
      </c>
      <c r="N2348" t="s">
        <v>516</v>
      </c>
      <c r="O2348" t="s">
        <v>517</v>
      </c>
      <c r="P2348" t="s">
        <v>38</v>
      </c>
      <c r="Q2348" t="s">
        <v>85</v>
      </c>
      <c r="R2348">
        <v>3</v>
      </c>
      <c r="S2348" t="s">
        <v>45</v>
      </c>
      <c r="T2348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48">
        <v>58472</v>
      </c>
      <c r="V2348" t="s">
        <v>38</v>
      </c>
      <c r="W2348" t="s">
        <v>85</v>
      </c>
      <c r="X2348">
        <v>3</v>
      </c>
      <c r="Y2348">
        <v>2</v>
      </c>
      <c r="Z2348" t="s">
        <v>46</v>
      </c>
      <c r="AA2348">
        <v>58474</v>
      </c>
      <c r="AB2348" t="s">
        <v>518</v>
      </c>
      <c r="AC2348" t="s">
        <v>97</v>
      </c>
      <c r="AD2348" t="s">
        <v>38</v>
      </c>
      <c r="AE2348" t="s">
        <v>49</v>
      </c>
      <c r="AF2348" t="s">
        <v>50</v>
      </c>
      <c r="AG2348">
        <v>0</v>
      </c>
      <c r="AH2348">
        <v>0</v>
      </c>
      <c r="AI2348" t="s">
        <v>51</v>
      </c>
      <c r="AJ2348" t="s">
        <v>51</v>
      </c>
      <c r="AK2348" t="s">
        <v>51</v>
      </c>
    </row>
    <row r="2349" spans="1:37" x14ac:dyDescent="0.2">
      <c r="A2349">
        <v>58452</v>
      </c>
      <c r="B2349" t="s">
        <v>37</v>
      </c>
      <c r="C2349" t="s">
        <v>38</v>
      </c>
      <c r="D2349" t="s">
        <v>509</v>
      </c>
      <c r="E2349" t="s">
        <v>40</v>
      </c>
      <c r="G2349" s="4">
        <v>43946.058969907407</v>
      </c>
      <c r="H2349" s="4">
        <v>43946.059224537037</v>
      </c>
      <c r="I2349" t="s">
        <v>911</v>
      </c>
      <c r="J2349" s="5">
        <v>22.00000000000000000000000000000000000003</v>
      </c>
      <c r="K2349" t="s">
        <v>38</v>
      </c>
      <c r="M2349">
        <v>58471</v>
      </c>
      <c r="N2349" t="s">
        <v>516</v>
      </c>
      <c r="O2349" t="s">
        <v>517</v>
      </c>
      <c r="P2349" t="s">
        <v>38</v>
      </c>
      <c r="Q2349" t="s">
        <v>85</v>
      </c>
      <c r="R2349">
        <v>3</v>
      </c>
      <c r="S2349" t="s">
        <v>45</v>
      </c>
      <c r="T2349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49">
        <v>58472</v>
      </c>
      <c r="V2349" t="s">
        <v>38</v>
      </c>
      <c r="W2349" t="s">
        <v>85</v>
      </c>
      <c r="X2349">
        <v>3</v>
      </c>
      <c r="Y2349">
        <v>2</v>
      </c>
      <c r="Z2349" t="s">
        <v>46</v>
      </c>
      <c r="AA2349">
        <v>58473</v>
      </c>
      <c r="AB2349" t="s">
        <v>519</v>
      </c>
      <c r="AC2349" t="s">
        <v>56</v>
      </c>
      <c r="AD2349" t="s">
        <v>38</v>
      </c>
      <c r="AE2349" t="s">
        <v>49</v>
      </c>
      <c r="AF2349" t="s">
        <v>50</v>
      </c>
      <c r="AG2349">
        <v>0</v>
      </c>
      <c r="AH2349">
        <v>0</v>
      </c>
      <c r="AI2349" t="s">
        <v>51</v>
      </c>
      <c r="AJ2349" t="s">
        <v>51</v>
      </c>
      <c r="AK2349" t="s">
        <v>51</v>
      </c>
    </row>
    <row r="2350" spans="1:37" x14ac:dyDescent="0.2">
      <c r="A2350">
        <v>58452</v>
      </c>
      <c r="B2350" t="s">
        <v>37</v>
      </c>
      <c r="C2350" t="s">
        <v>38</v>
      </c>
      <c r="D2350" t="s">
        <v>509</v>
      </c>
      <c r="E2350" t="s">
        <v>40</v>
      </c>
      <c r="G2350" s="4">
        <v>43946.058969907407</v>
      </c>
      <c r="H2350" s="4">
        <v>43946.059224537037</v>
      </c>
      <c r="I2350" t="s">
        <v>911</v>
      </c>
      <c r="J2350" s="5">
        <v>22.00000000000000000000000000000000000003</v>
      </c>
      <c r="K2350" t="s">
        <v>38</v>
      </c>
      <c r="M2350">
        <v>58468</v>
      </c>
      <c r="N2350" t="s">
        <v>520</v>
      </c>
      <c r="O2350" t="s">
        <v>521</v>
      </c>
      <c r="P2350" t="s">
        <v>38</v>
      </c>
      <c r="Q2350" t="s">
        <v>44</v>
      </c>
      <c r="R2350">
        <v>4</v>
      </c>
      <c r="S2350" t="s">
        <v>45</v>
      </c>
      <c r="T2350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0">
        <v>58469</v>
      </c>
      <c r="V2350" t="s">
        <v>38</v>
      </c>
      <c r="W2350" t="s">
        <v>44</v>
      </c>
      <c r="X2350">
        <v>4</v>
      </c>
      <c r="Y2350">
        <v>0</v>
      </c>
      <c r="Z2350" t="s">
        <v>46</v>
      </c>
      <c r="AA2350">
        <v>58470</v>
      </c>
      <c r="AB2350" t="s">
        <v>522</v>
      </c>
      <c r="AC2350" t="s">
        <v>97</v>
      </c>
      <c r="AD2350" t="s">
        <v>38</v>
      </c>
      <c r="AE2350" t="s">
        <v>523</v>
      </c>
      <c r="AF2350" t="s">
        <v>85</v>
      </c>
      <c r="AG2350">
        <v>3</v>
      </c>
      <c r="AH2350">
        <v>0</v>
      </c>
      <c r="AI2350" t="s">
        <v>524</v>
      </c>
      <c r="AJ2350" t="s">
        <v>51</v>
      </c>
      <c r="AK2350" t="s">
        <v>524</v>
      </c>
    </row>
    <row r="2351" spans="1:37" x14ac:dyDescent="0.2">
      <c r="A2351">
        <v>58452</v>
      </c>
      <c r="B2351" t="s">
        <v>37</v>
      </c>
      <c r="C2351" t="s">
        <v>38</v>
      </c>
      <c r="D2351" t="s">
        <v>509</v>
      </c>
      <c r="E2351" t="s">
        <v>40</v>
      </c>
      <c r="G2351" s="4">
        <v>43946.058969907407</v>
      </c>
      <c r="H2351" s="4">
        <v>43946.059224537037</v>
      </c>
      <c r="I2351" t="s">
        <v>911</v>
      </c>
      <c r="J2351" s="5">
        <v>22.00000000000000000000000000000000000003</v>
      </c>
      <c r="K2351" t="s">
        <v>38</v>
      </c>
      <c r="M2351">
        <v>58465</v>
      </c>
      <c r="N2351" t="s">
        <v>525</v>
      </c>
      <c r="O2351" t="s">
        <v>526</v>
      </c>
      <c r="P2351" t="s">
        <v>38</v>
      </c>
      <c r="Q2351" t="s">
        <v>50</v>
      </c>
      <c r="R2351">
        <v>0</v>
      </c>
      <c r="S2351" t="s">
        <v>45</v>
      </c>
      <c r="T2351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1">
        <v>58466</v>
      </c>
      <c r="V2351" t="s">
        <v>38</v>
      </c>
      <c r="W2351" t="s">
        <v>50</v>
      </c>
      <c r="X2351">
        <v>0</v>
      </c>
      <c r="Y2351">
        <v>0</v>
      </c>
      <c r="Z2351" t="s">
        <v>46</v>
      </c>
      <c r="AA2351">
        <v>58467</v>
      </c>
      <c r="AB2351" t="s">
        <v>527</v>
      </c>
      <c r="AC2351" t="s">
        <v>97</v>
      </c>
      <c r="AD2351" t="s">
        <v>38</v>
      </c>
      <c r="AE2351" t="s">
        <v>49</v>
      </c>
      <c r="AF2351" t="s">
        <v>50</v>
      </c>
      <c r="AG2351">
        <v>0</v>
      </c>
      <c r="AH2351">
        <v>0</v>
      </c>
      <c r="AI2351" t="s">
        <v>51</v>
      </c>
      <c r="AJ2351" t="s">
        <v>51</v>
      </c>
      <c r="AK2351" t="s">
        <v>51</v>
      </c>
    </row>
    <row r="2352" spans="1:37" x14ac:dyDescent="0.2">
      <c r="A2352">
        <v>58452</v>
      </c>
      <c r="B2352" t="s">
        <v>37</v>
      </c>
      <c r="C2352" t="s">
        <v>38</v>
      </c>
      <c r="D2352" t="s">
        <v>509</v>
      </c>
      <c r="E2352" t="s">
        <v>40</v>
      </c>
      <c r="G2352" s="4">
        <v>43946.058969907407</v>
      </c>
      <c r="H2352" s="4">
        <v>43946.059224537037</v>
      </c>
      <c r="I2352" t="s">
        <v>911</v>
      </c>
      <c r="J2352" s="5">
        <v>22.00000000000000000000000000000000000003</v>
      </c>
      <c r="K2352" t="s">
        <v>38</v>
      </c>
      <c r="M2352">
        <v>58458</v>
      </c>
      <c r="N2352" t="s">
        <v>528</v>
      </c>
      <c r="O2352" t="s">
        <v>529</v>
      </c>
      <c r="P2352" t="s">
        <v>38</v>
      </c>
      <c r="Q2352" t="s">
        <v>247</v>
      </c>
      <c r="R2352">
        <v>7</v>
      </c>
      <c r="S2352" t="s">
        <v>45</v>
      </c>
      <c r="T2352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2">
        <v>58459</v>
      </c>
      <c r="V2352" t="s">
        <v>38</v>
      </c>
      <c r="W2352" t="s">
        <v>78</v>
      </c>
      <c r="X2352">
        <v>5</v>
      </c>
      <c r="Y2352">
        <v>1</v>
      </c>
      <c r="Z2352" t="s">
        <v>46</v>
      </c>
      <c r="AA2352">
        <v>58464</v>
      </c>
      <c r="AB2352" t="s">
        <v>530</v>
      </c>
      <c r="AC2352" t="s">
        <v>56</v>
      </c>
      <c r="AD2352" t="s">
        <v>38</v>
      </c>
      <c r="AE2352" t="s">
        <v>49</v>
      </c>
      <c r="AF2352" t="s">
        <v>50</v>
      </c>
      <c r="AG2352">
        <v>0</v>
      </c>
      <c r="AH2352">
        <v>0</v>
      </c>
      <c r="AI2352" t="s">
        <v>51</v>
      </c>
      <c r="AJ2352" t="s">
        <v>51</v>
      </c>
      <c r="AK2352" t="s">
        <v>51</v>
      </c>
    </row>
    <row r="2353" spans="1:37" x14ac:dyDescent="0.2">
      <c r="A2353">
        <v>58452</v>
      </c>
      <c r="B2353" t="s">
        <v>37</v>
      </c>
      <c r="C2353" t="s">
        <v>38</v>
      </c>
      <c r="D2353" t="s">
        <v>509</v>
      </c>
      <c r="E2353" t="s">
        <v>40</v>
      </c>
      <c r="G2353" s="4">
        <v>43946.058969907407</v>
      </c>
      <c r="H2353" s="4">
        <v>43946.059224537037</v>
      </c>
      <c r="I2353" t="s">
        <v>911</v>
      </c>
      <c r="J2353" s="5">
        <v>22.00000000000000000000000000000000000003</v>
      </c>
      <c r="K2353" t="s">
        <v>38</v>
      </c>
      <c r="M2353">
        <v>58458</v>
      </c>
      <c r="N2353" t="s">
        <v>528</v>
      </c>
      <c r="O2353" t="s">
        <v>529</v>
      </c>
      <c r="P2353" t="s">
        <v>38</v>
      </c>
      <c r="Q2353" t="s">
        <v>247</v>
      </c>
      <c r="R2353">
        <v>7</v>
      </c>
      <c r="S2353" t="s">
        <v>45</v>
      </c>
      <c r="T2353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3">
        <v>58459</v>
      </c>
      <c r="V2353" t="s">
        <v>38</v>
      </c>
      <c r="W2353" t="s">
        <v>78</v>
      </c>
      <c r="X2353">
        <v>5</v>
      </c>
      <c r="Y2353">
        <v>1</v>
      </c>
      <c r="Z2353" t="s">
        <v>46</v>
      </c>
      <c r="AA2353">
        <v>58463</v>
      </c>
      <c r="AB2353" t="s">
        <v>1945</v>
      </c>
      <c r="AC2353" t="s">
        <v>68</v>
      </c>
      <c r="AD2353" t="s">
        <v>38</v>
      </c>
      <c r="AE2353" t="s">
        <v>49</v>
      </c>
      <c r="AF2353" t="s">
        <v>50</v>
      </c>
      <c r="AG2353">
        <v>0</v>
      </c>
      <c r="AH2353">
        <v>0</v>
      </c>
      <c r="AI2353" t="s">
        <v>51</v>
      </c>
      <c r="AJ2353" t="s">
        <v>51</v>
      </c>
      <c r="AK2353" t="s">
        <v>51</v>
      </c>
    </row>
    <row r="2354" spans="1:37" x14ac:dyDescent="0.2">
      <c r="A2354">
        <v>58452</v>
      </c>
      <c r="B2354" t="s">
        <v>37</v>
      </c>
      <c r="C2354" t="s">
        <v>38</v>
      </c>
      <c r="D2354" t="s">
        <v>509</v>
      </c>
      <c r="E2354" t="s">
        <v>40</v>
      </c>
      <c r="G2354" s="4">
        <v>43946.058969907407</v>
      </c>
      <c r="H2354" s="4">
        <v>43946.059224537037</v>
      </c>
      <c r="I2354" t="s">
        <v>911</v>
      </c>
      <c r="J2354" s="5">
        <v>22.00000000000000000000000000000000000003</v>
      </c>
      <c r="K2354" t="s">
        <v>38</v>
      </c>
      <c r="M2354">
        <v>58458</v>
      </c>
      <c r="N2354" t="s">
        <v>528</v>
      </c>
      <c r="O2354" t="s">
        <v>529</v>
      </c>
      <c r="P2354" t="s">
        <v>38</v>
      </c>
      <c r="Q2354" t="s">
        <v>247</v>
      </c>
      <c r="R2354">
        <v>7</v>
      </c>
      <c r="S2354" t="s">
        <v>45</v>
      </c>
      <c r="T2354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4">
        <v>58459</v>
      </c>
      <c r="V2354" t="s">
        <v>38</v>
      </c>
      <c r="W2354" t="s">
        <v>78</v>
      </c>
      <c r="X2354">
        <v>5</v>
      </c>
      <c r="Y2354">
        <v>1</v>
      </c>
      <c r="Z2354" t="s">
        <v>46</v>
      </c>
      <c r="AA2354">
        <v>58462</v>
      </c>
      <c r="AB2354" t="s">
        <v>532</v>
      </c>
      <c r="AC2354" t="s">
        <v>56</v>
      </c>
      <c r="AD2354" t="s">
        <v>38</v>
      </c>
      <c r="AE2354" t="s">
        <v>533</v>
      </c>
      <c r="AF2354" t="s">
        <v>44</v>
      </c>
      <c r="AG2354">
        <v>4</v>
      </c>
      <c r="AH2354">
        <v>0</v>
      </c>
      <c r="AI2354" t="s">
        <v>534</v>
      </c>
      <c r="AJ2354" t="s">
        <v>51</v>
      </c>
      <c r="AK2354" t="s">
        <v>534</v>
      </c>
    </row>
    <row r="2355" spans="1:37" x14ac:dyDescent="0.2">
      <c r="A2355">
        <v>58452</v>
      </c>
      <c r="B2355" t="s">
        <v>37</v>
      </c>
      <c r="C2355" t="s">
        <v>38</v>
      </c>
      <c r="D2355" t="s">
        <v>509</v>
      </c>
      <c r="E2355" t="s">
        <v>40</v>
      </c>
      <c r="G2355" s="4">
        <v>43946.058969907407</v>
      </c>
      <c r="H2355" s="4">
        <v>43946.059224537037</v>
      </c>
      <c r="I2355" t="s">
        <v>911</v>
      </c>
      <c r="J2355" s="5">
        <v>22.00000000000000000000000000000000000003</v>
      </c>
      <c r="K2355" t="s">
        <v>38</v>
      </c>
      <c r="M2355">
        <v>58458</v>
      </c>
      <c r="N2355" t="s">
        <v>528</v>
      </c>
      <c r="O2355" t="s">
        <v>529</v>
      </c>
      <c r="P2355" t="s">
        <v>38</v>
      </c>
      <c r="Q2355" t="s">
        <v>247</v>
      </c>
      <c r="R2355">
        <v>7</v>
      </c>
      <c r="S2355" t="s">
        <v>45</v>
      </c>
      <c r="T2355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5">
        <v>58459</v>
      </c>
      <c r="V2355" t="s">
        <v>38</v>
      </c>
      <c r="W2355" t="s">
        <v>78</v>
      </c>
      <c r="X2355">
        <v>5</v>
      </c>
      <c r="Y2355">
        <v>1</v>
      </c>
      <c r="Z2355" t="s">
        <v>46</v>
      </c>
      <c r="AA2355">
        <v>58461</v>
      </c>
      <c r="AB2355" t="s">
        <v>535</v>
      </c>
      <c r="AC2355" t="s">
        <v>97</v>
      </c>
      <c r="AD2355" t="s">
        <v>38</v>
      </c>
      <c r="AE2355" t="s">
        <v>49</v>
      </c>
      <c r="AF2355" t="s">
        <v>50</v>
      </c>
      <c r="AG2355">
        <v>0</v>
      </c>
      <c r="AH2355">
        <v>0</v>
      </c>
      <c r="AI2355" t="s">
        <v>51</v>
      </c>
      <c r="AJ2355" t="s">
        <v>51</v>
      </c>
      <c r="AK2355" t="s">
        <v>51</v>
      </c>
    </row>
    <row r="2356" spans="1:37" x14ac:dyDescent="0.2">
      <c r="A2356">
        <v>58452</v>
      </c>
      <c r="B2356" t="s">
        <v>37</v>
      </c>
      <c r="C2356" t="s">
        <v>38</v>
      </c>
      <c r="D2356" t="s">
        <v>509</v>
      </c>
      <c r="E2356" t="s">
        <v>40</v>
      </c>
      <c r="G2356" s="4">
        <v>43946.058969907407</v>
      </c>
      <c r="H2356" s="4">
        <v>43946.059224537037</v>
      </c>
      <c r="I2356" t="s">
        <v>911</v>
      </c>
      <c r="J2356" s="5">
        <v>22.00000000000000000000000000000000000003</v>
      </c>
      <c r="K2356" t="s">
        <v>38</v>
      </c>
      <c r="M2356">
        <v>58458</v>
      </c>
      <c r="N2356" t="s">
        <v>528</v>
      </c>
      <c r="O2356" t="s">
        <v>529</v>
      </c>
      <c r="P2356" t="s">
        <v>38</v>
      </c>
      <c r="Q2356" t="s">
        <v>247</v>
      </c>
      <c r="R2356">
        <v>7</v>
      </c>
      <c r="S2356" t="s">
        <v>45</v>
      </c>
      <c r="T2356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6">
        <v>58459</v>
      </c>
      <c r="V2356" t="s">
        <v>38</v>
      </c>
      <c r="W2356" t="s">
        <v>78</v>
      </c>
      <c r="X2356">
        <v>5</v>
      </c>
      <c r="Y2356">
        <v>1</v>
      </c>
      <c r="Z2356" t="s">
        <v>46</v>
      </c>
      <c r="AA2356">
        <v>58460</v>
      </c>
      <c r="AB2356" t="s">
        <v>536</v>
      </c>
      <c r="AC2356" t="s">
        <v>56</v>
      </c>
      <c r="AD2356" t="s">
        <v>38</v>
      </c>
      <c r="AE2356" t="s">
        <v>49</v>
      </c>
      <c r="AF2356" t="s">
        <v>50</v>
      </c>
      <c r="AG2356">
        <v>0</v>
      </c>
      <c r="AH2356">
        <v>0</v>
      </c>
      <c r="AI2356" t="s">
        <v>51</v>
      </c>
      <c r="AJ2356" t="s">
        <v>51</v>
      </c>
      <c r="AK2356" t="s">
        <v>51</v>
      </c>
    </row>
    <row r="2357" spans="1:37" x14ac:dyDescent="0.2">
      <c r="A2357">
        <v>58452</v>
      </c>
      <c r="B2357" t="s">
        <v>37</v>
      </c>
      <c r="C2357" t="s">
        <v>38</v>
      </c>
      <c r="D2357" t="s">
        <v>509</v>
      </c>
      <c r="E2357" t="s">
        <v>40</v>
      </c>
      <c r="G2357" s="4">
        <v>43946.058969907407</v>
      </c>
      <c r="H2357" s="4">
        <v>43946.059224537037</v>
      </c>
      <c r="I2357" t="s">
        <v>911</v>
      </c>
      <c r="J2357" s="5">
        <v>22.00000000000000000000000000000000000003</v>
      </c>
      <c r="K2357" t="s">
        <v>38</v>
      </c>
      <c r="M2357">
        <v>58453</v>
      </c>
      <c r="N2357" t="s">
        <v>537</v>
      </c>
      <c r="O2357" t="s">
        <v>538</v>
      </c>
      <c r="P2357" t="s">
        <v>38</v>
      </c>
      <c r="Q2357" t="s">
        <v>78</v>
      </c>
      <c r="R2357">
        <v>5</v>
      </c>
      <c r="S2357" t="s">
        <v>45</v>
      </c>
      <c r="T2357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7">
        <v>58454</v>
      </c>
      <c r="V2357" t="s">
        <v>38</v>
      </c>
      <c r="W2357" t="s">
        <v>78</v>
      </c>
      <c r="X2357">
        <v>5</v>
      </c>
      <c r="Y2357">
        <v>3</v>
      </c>
      <c r="Z2357" t="s">
        <v>46</v>
      </c>
      <c r="AA2357">
        <v>58457</v>
      </c>
      <c r="AB2357" t="s">
        <v>539</v>
      </c>
      <c r="AC2357" t="s">
        <v>56</v>
      </c>
      <c r="AD2357" t="s">
        <v>38</v>
      </c>
      <c r="AE2357" t="s">
        <v>540</v>
      </c>
      <c r="AF2357" t="s">
        <v>88</v>
      </c>
      <c r="AG2357">
        <v>2</v>
      </c>
      <c r="AH2357">
        <v>0</v>
      </c>
      <c r="AI2357" t="s">
        <v>541</v>
      </c>
      <c r="AJ2357" t="s">
        <v>51</v>
      </c>
      <c r="AK2357" t="s">
        <v>541</v>
      </c>
    </row>
    <row r="2358" spans="1:37" x14ac:dyDescent="0.2">
      <c r="A2358">
        <v>58452</v>
      </c>
      <c r="B2358" t="s">
        <v>37</v>
      </c>
      <c r="C2358" t="s">
        <v>38</v>
      </c>
      <c r="D2358" t="s">
        <v>509</v>
      </c>
      <c r="E2358" t="s">
        <v>40</v>
      </c>
      <c r="G2358" s="4">
        <v>43946.058969907407</v>
      </c>
      <c r="H2358" s="4">
        <v>43946.059224537037</v>
      </c>
      <c r="I2358" t="s">
        <v>911</v>
      </c>
      <c r="J2358" s="5">
        <v>22.00000000000000000000000000000000000003</v>
      </c>
      <c r="K2358" t="s">
        <v>38</v>
      </c>
      <c r="M2358">
        <v>58453</v>
      </c>
      <c r="N2358" t="s">
        <v>537</v>
      </c>
      <c r="O2358" t="s">
        <v>538</v>
      </c>
      <c r="P2358" t="s">
        <v>38</v>
      </c>
      <c r="Q2358" t="s">
        <v>78</v>
      </c>
      <c r="R2358">
        <v>5</v>
      </c>
      <c r="S2358" t="s">
        <v>45</v>
      </c>
      <c r="T2358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8">
        <v>58454</v>
      </c>
      <c r="V2358" t="s">
        <v>38</v>
      </c>
      <c r="W2358" t="s">
        <v>78</v>
      </c>
      <c r="X2358">
        <v>5</v>
      </c>
      <c r="Y2358">
        <v>3</v>
      </c>
      <c r="Z2358" t="s">
        <v>46</v>
      </c>
      <c r="AA2358">
        <v>58456</v>
      </c>
      <c r="AB2358" t="s">
        <v>542</v>
      </c>
      <c r="AC2358" t="s">
        <v>97</v>
      </c>
      <c r="AD2358" t="s">
        <v>38</v>
      </c>
      <c r="AE2358" t="s">
        <v>49</v>
      </c>
      <c r="AF2358" t="s">
        <v>50</v>
      </c>
      <c r="AG2358">
        <v>0</v>
      </c>
      <c r="AH2358">
        <v>0</v>
      </c>
      <c r="AI2358" t="s">
        <v>51</v>
      </c>
      <c r="AJ2358" t="s">
        <v>51</v>
      </c>
      <c r="AK2358" t="s">
        <v>51</v>
      </c>
    </row>
    <row r="2359" spans="1:37" x14ac:dyDescent="0.2">
      <c r="A2359">
        <v>58452</v>
      </c>
      <c r="B2359" t="s">
        <v>37</v>
      </c>
      <c r="C2359" t="s">
        <v>38</v>
      </c>
      <c r="D2359" t="s">
        <v>509</v>
      </c>
      <c r="E2359" t="s">
        <v>40</v>
      </c>
      <c r="G2359" s="4">
        <v>43946.058969907407</v>
      </c>
      <c r="H2359" s="4">
        <v>43946.059224537037</v>
      </c>
      <c r="I2359" t="s">
        <v>911</v>
      </c>
      <c r="J2359" s="5">
        <v>22.00000000000000000000000000000000000003</v>
      </c>
      <c r="K2359" t="s">
        <v>38</v>
      </c>
      <c r="M2359">
        <v>58453</v>
      </c>
      <c r="N2359" t="s">
        <v>537</v>
      </c>
      <c r="O2359" t="s">
        <v>538</v>
      </c>
      <c r="P2359" t="s">
        <v>38</v>
      </c>
      <c r="Q2359" t="s">
        <v>78</v>
      </c>
      <c r="R2359">
        <v>5</v>
      </c>
      <c r="S2359" t="s">
        <v>45</v>
      </c>
      <c r="T2359" t="str" s="2">
        <f>=HYPERLINK("http://demo.enginatics.com:80/ecc/user/applications/log/58452.log","http://demo.enginatics.com:80/ecc/user/applications/log/58452.log")</f>
        <v>"http://demo.enginatics.com:80/ecc/user/applications/log/58452.log")</v>
      </c>
      <c r="U2359">
        <v>58454</v>
      </c>
      <c r="V2359" t="s">
        <v>38</v>
      </c>
      <c r="W2359" t="s">
        <v>78</v>
      </c>
      <c r="X2359">
        <v>5</v>
      </c>
      <c r="Y2359">
        <v>3</v>
      </c>
      <c r="Z2359" t="s">
        <v>46</v>
      </c>
      <c r="AA2359">
        <v>58455</v>
      </c>
      <c r="AB2359" t="s">
        <v>543</v>
      </c>
      <c r="AC2359" t="s">
        <v>56</v>
      </c>
      <c r="AD2359" t="s">
        <v>38</v>
      </c>
      <c r="AE2359" t="s">
        <v>49</v>
      </c>
      <c r="AF2359" t="s">
        <v>50</v>
      </c>
      <c r="AG2359">
        <v>0</v>
      </c>
      <c r="AH2359">
        <v>0</v>
      </c>
      <c r="AI2359" t="s">
        <v>51</v>
      </c>
      <c r="AJ2359" t="s">
        <v>51</v>
      </c>
      <c r="AK2359" t="s">
        <v>51</v>
      </c>
    </row>
    <row r="2360" spans="1:37" x14ac:dyDescent="0.2">
      <c r="A2360">
        <v>58443</v>
      </c>
      <c r="B2360" t="s">
        <v>37</v>
      </c>
      <c r="C2360" t="s">
        <v>38</v>
      </c>
      <c r="D2360" t="s">
        <v>544</v>
      </c>
      <c r="E2360" t="s">
        <v>40</v>
      </c>
      <c r="G2360" s="4">
        <v>43946.057800925926</v>
      </c>
      <c r="H2360" s="4">
        <v>43946.057824074074</v>
      </c>
      <c r="I2360" t="s">
        <v>88</v>
      </c>
      <c r="J2360" s="5">
        <v>2</v>
      </c>
      <c r="K2360" t="s">
        <v>38</v>
      </c>
      <c r="M2360">
        <v>58448</v>
      </c>
      <c r="N2360" t="s">
        <v>545</v>
      </c>
      <c r="O2360" t="s">
        <v>546</v>
      </c>
      <c r="P2360" t="s">
        <v>38</v>
      </c>
      <c r="Q2360" t="s">
        <v>50</v>
      </c>
      <c r="R2360">
        <v>.9999999999999999999999999999999999999996</v>
      </c>
      <c r="S2360" t="s">
        <v>45</v>
      </c>
      <c r="T2360" t="str" s="2">
        <f>=HYPERLINK("http://demo.enginatics.com:80/ecc/user/applications/log/58443.log","http://demo.enginatics.com:80/ecc/user/applications/log/58443.log")</f>
        <v>"http://demo.enginatics.com:80/ecc/user/applications/log/58443.log")</v>
      </c>
      <c r="U2360">
        <v>58449</v>
      </c>
      <c r="V2360" t="s">
        <v>38</v>
      </c>
      <c r="W2360" t="s">
        <v>50</v>
      </c>
      <c r="X2360">
        <v>.9999999999999999999999999999999999999996</v>
      </c>
      <c r="Y2360">
        <v>0</v>
      </c>
      <c r="Z2360" t="s">
        <v>46</v>
      </c>
      <c r="AA2360">
        <v>58451</v>
      </c>
      <c r="AB2360" t="s">
        <v>547</v>
      </c>
      <c r="AC2360" t="s">
        <v>56</v>
      </c>
      <c r="AD2360" t="s">
        <v>38</v>
      </c>
      <c r="AE2360" t="s">
        <v>49</v>
      </c>
      <c r="AF2360" t="s">
        <v>50</v>
      </c>
      <c r="AG2360">
        <v>0</v>
      </c>
      <c r="AH2360">
        <v>0</v>
      </c>
      <c r="AI2360" t="s">
        <v>51</v>
      </c>
      <c r="AJ2360" t="s">
        <v>51</v>
      </c>
      <c r="AK2360" t="s">
        <v>51</v>
      </c>
    </row>
    <row r="2361" spans="1:37" x14ac:dyDescent="0.2">
      <c r="A2361">
        <v>58443</v>
      </c>
      <c r="B2361" t="s">
        <v>37</v>
      </c>
      <c r="C2361" t="s">
        <v>38</v>
      </c>
      <c r="D2361" t="s">
        <v>544</v>
      </c>
      <c r="E2361" t="s">
        <v>40</v>
      </c>
      <c r="G2361" s="4">
        <v>43946.057800925926</v>
      </c>
      <c r="H2361" s="4">
        <v>43946.057824074074</v>
      </c>
      <c r="I2361" t="s">
        <v>88</v>
      </c>
      <c r="J2361" s="5">
        <v>2</v>
      </c>
      <c r="K2361" t="s">
        <v>38</v>
      </c>
      <c r="M2361">
        <v>58448</v>
      </c>
      <c r="N2361" t="s">
        <v>545</v>
      </c>
      <c r="O2361" t="s">
        <v>546</v>
      </c>
      <c r="P2361" t="s">
        <v>38</v>
      </c>
      <c r="Q2361" t="s">
        <v>50</v>
      </c>
      <c r="R2361">
        <v>.9999999999999999999999999999999999999996</v>
      </c>
      <c r="S2361" t="s">
        <v>45</v>
      </c>
      <c r="T2361" t="str" s="2">
        <f>=HYPERLINK("http://demo.enginatics.com:80/ecc/user/applications/log/58443.log","http://demo.enginatics.com:80/ecc/user/applications/log/58443.log")</f>
        <v>"http://demo.enginatics.com:80/ecc/user/applications/log/58443.log")</v>
      </c>
      <c r="U2361">
        <v>58449</v>
      </c>
      <c r="V2361" t="s">
        <v>38</v>
      </c>
      <c r="W2361" t="s">
        <v>50</v>
      </c>
      <c r="X2361">
        <v>.9999999999999999999999999999999999999996</v>
      </c>
      <c r="Y2361">
        <v>0</v>
      </c>
      <c r="Z2361" t="s">
        <v>46</v>
      </c>
      <c r="AA2361">
        <v>58450</v>
      </c>
      <c r="AB2361" t="s">
        <v>548</v>
      </c>
      <c r="AC2361" t="s">
        <v>68</v>
      </c>
      <c r="AD2361" t="s">
        <v>38</v>
      </c>
      <c r="AE2361" t="s">
        <v>49</v>
      </c>
      <c r="AF2361" t="s">
        <v>50</v>
      </c>
      <c r="AG2361">
        <v>.9999999999999999999999999999999999999996</v>
      </c>
      <c r="AH2361">
        <v>0</v>
      </c>
      <c r="AI2361" t="s">
        <v>51</v>
      </c>
      <c r="AJ2361" t="s">
        <v>51</v>
      </c>
      <c r="AK2361" t="s">
        <v>51</v>
      </c>
    </row>
    <row r="2362" spans="1:37" x14ac:dyDescent="0.2">
      <c r="A2362">
        <v>58443</v>
      </c>
      <c r="B2362" t="s">
        <v>37</v>
      </c>
      <c r="C2362" t="s">
        <v>38</v>
      </c>
      <c r="D2362" t="s">
        <v>544</v>
      </c>
      <c r="E2362" t="s">
        <v>40</v>
      </c>
      <c r="G2362" s="4">
        <v>43946.057800925926</v>
      </c>
      <c r="H2362" s="4">
        <v>43946.057824074074</v>
      </c>
      <c r="I2362" t="s">
        <v>88</v>
      </c>
      <c r="J2362" s="5">
        <v>2</v>
      </c>
      <c r="K2362" t="s">
        <v>38</v>
      </c>
      <c r="M2362">
        <v>58444</v>
      </c>
      <c r="N2362" t="s">
        <v>549</v>
      </c>
      <c r="O2362" t="s">
        <v>550</v>
      </c>
      <c r="P2362" t="s">
        <v>38</v>
      </c>
      <c r="Q2362" t="s">
        <v>50</v>
      </c>
      <c r="R2362">
        <v>.9999999999999999999999999999999999999996</v>
      </c>
      <c r="S2362" t="s">
        <v>45</v>
      </c>
      <c r="T2362" t="str" s="2">
        <f>=HYPERLINK("http://demo.enginatics.com:80/ecc/user/applications/log/58443.log","http://demo.enginatics.com:80/ecc/user/applications/log/58443.log")</f>
        <v>"http://demo.enginatics.com:80/ecc/user/applications/log/58443.log")</v>
      </c>
      <c r="U2362">
        <v>58445</v>
      </c>
      <c r="V2362" t="s">
        <v>38</v>
      </c>
      <c r="W2362" t="s">
        <v>50</v>
      </c>
      <c r="X2362">
        <v>.9999999999999999999999999999999999999996</v>
      </c>
      <c r="Y2362">
        <v>0</v>
      </c>
      <c r="Z2362" t="s">
        <v>46</v>
      </c>
      <c r="AA2362">
        <v>58447</v>
      </c>
      <c r="AB2362" t="s">
        <v>551</v>
      </c>
      <c r="AC2362" t="s">
        <v>56</v>
      </c>
      <c r="AD2362" t="s">
        <v>38</v>
      </c>
      <c r="AE2362" t="s">
        <v>49</v>
      </c>
      <c r="AF2362" t="s">
        <v>50</v>
      </c>
      <c r="AG2362">
        <v>0</v>
      </c>
      <c r="AH2362">
        <v>0</v>
      </c>
      <c r="AI2362" t="s">
        <v>51</v>
      </c>
      <c r="AJ2362" t="s">
        <v>51</v>
      </c>
      <c r="AK2362" t="s">
        <v>51</v>
      </c>
    </row>
    <row r="2363" spans="1:37" x14ac:dyDescent="0.2">
      <c r="A2363">
        <v>58443</v>
      </c>
      <c r="B2363" t="s">
        <v>37</v>
      </c>
      <c r="C2363" t="s">
        <v>38</v>
      </c>
      <c r="D2363" t="s">
        <v>544</v>
      </c>
      <c r="E2363" t="s">
        <v>40</v>
      </c>
      <c r="G2363" s="4">
        <v>43946.057800925926</v>
      </c>
      <c r="H2363" s="4">
        <v>43946.057824074074</v>
      </c>
      <c r="I2363" t="s">
        <v>88</v>
      </c>
      <c r="J2363" s="5">
        <v>2</v>
      </c>
      <c r="K2363" t="s">
        <v>38</v>
      </c>
      <c r="M2363">
        <v>58444</v>
      </c>
      <c r="N2363" t="s">
        <v>549</v>
      </c>
      <c r="O2363" t="s">
        <v>550</v>
      </c>
      <c r="P2363" t="s">
        <v>38</v>
      </c>
      <c r="Q2363" t="s">
        <v>50</v>
      </c>
      <c r="R2363">
        <v>.9999999999999999999999999999999999999996</v>
      </c>
      <c r="S2363" t="s">
        <v>45</v>
      </c>
      <c r="T2363" t="str" s="2">
        <f>=HYPERLINK("http://demo.enginatics.com:80/ecc/user/applications/log/58443.log","http://demo.enginatics.com:80/ecc/user/applications/log/58443.log")</f>
        <v>"http://demo.enginatics.com:80/ecc/user/applications/log/58443.log")</v>
      </c>
      <c r="U2363">
        <v>58445</v>
      </c>
      <c r="V2363" t="s">
        <v>38</v>
      </c>
      <c r="W2363" t="s">
        <v>50</v>
      </c>
      <c r="X2363">
        <v>.9999999999999999999999999999999999999996</v>
      </c>
      <c r="Y2363">
        <v>0</v>
      </c>
      <c r="Z2363" t="s">
        <v>46</v>
      </c>
      <c r="AA2363">
        <v>58446</v>
      </c>
      <c r="AB2363" t="s">
        <v>552</v>
      </c>
      <c r="AC2363" t="s">
        <v>68</v>
      </c>
      <c r="AD2363" t="s">
        <v>38</v>
      </c>
      <c r="AE2363" t="s">
        <v>49</v>
      </c>
      <c r="AF2363" t="s">
        <v>50</v>
      </c>
      <c r="AG2363">
        <v>0</v>
      </c>
      <c r="AH2363">
        <v>0</v>
      </c>
      <c r="AI2363" t="s">
        <v>51</v>
      </c>
      <c r="AJ2363" t="s">
        <v>51</v>
      </c>
      <c r="AK2363" t="s">
        <v>51</v>
      </c>
    </row>
    <row r="2364" spans="1:37" x14ac:dyDescent="0.2">
      <c r="A2364">
        <v>58424</v>
      </c>
      <c r="B2364" t="s">
        <v>37</v>
      </c>
      <c r="C2364" t="s">
        <v>38</v>
      </c>
      <c r="D2364" t="s">
        <v>553</v>
      </c>
      <c r="E2364" t="s">
        <v>584</v>
      </c>
      <c r="G2364" s="4">
        <v>43946.043275462963</v>
      </c>
      <c r="H2364" s="4">
        <v>43946.043310185185</v>
      </c>
      <c r="I2364" t="s">
        <v>85</v>
      </c>
      <c r="J2364" s="5">
        <v>3</v>
      </c>
      <c r="K2364" t="s">
        <v>38</v>
      </c>
      <c r="M2364">
        <v>58440</v>
      </c>
      <c r="N2364" t="s">
        <v>584</v>
      </c>
      <c r="O2364" t="s">
        <v>585</v>
      </c>
      <c r="P2364" t="s">
        <v>38</v>
      </c>
      <c r="Q2364" t="s">
        <v>50</v>
      </c>
      <c r="R2364">
        <v>.9999999999999999999999999999999999999996</v>
      </c>
      <c r="S2364" t="s">
        <v>45</v>
      </c>
      <c r="T2364" t="str" s="2">
        <f>=HYPERLINK("http://demo.enginatics.com:80/ecc/user/applications/log/58424.log","http://demo.enginatics.com:80/ecc/user/applications/log/58424.log")</f>
        <v>"http://demo.enginatics.com:80/ecc/user/applications/log/58424.log")</v>
      </c>
      <c r="U2364">
        <v>58441</v>
      </c>
      <c r="V2364" t="s">
        <v>38</v>
      </c>
      <c r="W2364" t="s">
        <v>50</v>
      </c>
      <c r="X2364">
        <v>.9999999999999999999999999999999999999996</v>
      </c>
      <c r="Y2364">
        <v>0</v>
      </c>
      <c r="Z2364" t="s">
        <v>46</v>
      </c>
      <c r="AA2364">
        <v>58442</v>
      </c>
      <c r="AB2364" t="s">
        <v>586</v>
      </c>
      <c r="AC2364" t="s">
        <v>48</v>
      </c>
      <c r="AD2364" t="s">
        <v>38</v>
      </c>
      <c r="AE2364" t="s">
        <v>49</v>
      </c>
      <c r="AF2364" t="s">
        <v>50</v>
      </c>
      <c r="AG2364">
        <v>.9999999999999999999999999999999999999996</v>
      </c>
      <c r="AH2364">
        <v>0</v>
      </c>
      <c r="AI2364" t="s">
        <v>51</v>
      </c>
      <c r="AJ2364" t="s">
        <v>51</v>
      </c>
      <c r="AK2364" t="s">
        <v>51</v>
      </c>
    </row>
    <row r="2365" spans="1:37" x14ac:dyDescent="0.2">
      <c r="A2365">
        <v>58417</v>
      </c>
      <c r="B2365" t="s">
        <v>37</v>
      </c>
      <c r="C2365" t="s">
        <v>38</v>
      </c>
      <c r="D2365" t="s">
        <v>553</v>
      </c>
      <c r="E2365" t="s">
        <v>569</v>
      </c>
      <c r="G2365" s="4">
        <v>43946.043275462963</v>
      </c>
      <c r="H2365" s="4">
        <v>43946.043298611111</v>
      </c>
      <c r="I2365" t="s">
        <v>88</v>
      </c>
      <c r="J2365" s="5">
        <v>2</v>
      </c>
      <c r="K2365" t="s">
        <v>38</v>
      </c>
      <c r="M2365">
        <v>58437</v>
      </c>
      <c r="N2365" t="s">
        <v>569</v>
      </c>
      <c r="O2365" t="s">
        <v>570</v>
      </c>
      <c r="P2365" t="s">
        <v>38</v>
      </c>
      <c r="Q2365" t="s">
        <v>50</v>
      </c>
      <c r="R2365">
        <v>.9999999999999999999999999999999999999996</v>
      </c>
      <c r="S2365" t="s">
        <v>45</v>
      </c>
      <c r="T2365" t="str" s="2">
        <f>=HYPERLINK("http://demo.enginatics.com:80/ecc/user/applications/log/58417.log","http://demo.enginatics.com:80/ecc/user/applications/log/58417.log")</f>
        <v>"http://demo.enginatics.com:80/ecc/user/applications/log/58417.log")</v>
      </c>
      <c r="U2365">
        <v>58438</v>
      </c>
      <c r="V2365" t="s">
        <v>38</v>
      </c>
      <c r="W2365" t="s">
        <v>50</v>
      </c>
      <c r="X2365">
        <v>0</v>
      </c>
      <c r="Y2365">
        <v>0</v>
      </c>
      <c r="Z2365" t="s">
        <v>46</v>
      </c>
      <c r="AA2365">
        <v>58439</v>
      </c>
      <c r="AB2365" t="s">
        <v>571</v>
      </c>
      <c r="AC2365" t="s">
        <v>48</v>
      </c>
      <c r="AD2365" t="s">
        <v>38</v>
      </c>
      <c r="AE2365" t="s">
        <v>49</v>
      </c>
      <c r="AF2365" t="s">
        <v>50</v>
      </c>
      <c r="AG2365">
        <v>0</v>
      </c>
      <c r="AH2365">
        <v>0</v>
      </c>
      <c r="AI2365" t="s">
        <v>51</v>
      </c>
      <c r="AJ2365" t="s">
        <v>51</v>
      </c>
      <c r="AK2365" t="s">
        <v>51</v>
      </c>
    </row>
    <row r="2366" spans="1:37" x14ac:dyDescent="0.2">
      <c r="A2366">
        <v>58416</v>
      </c>
      <c r="B2366" t="s">
        <v>37</v>
      </c>
      <c r="C2366" t="s">
        <v>38</v>
      </c>
      <c r="D2366" t="s">
        <v>553</v>
      </c>
      <c r="E2366" t="s">
        <v>590</v>
      </c>
      <c r="G2366" s="4">
        <v>43946.043275462963</v>
      </c>
      <c r="H2366" s="4">
        <v>43946.043287037037</v>
      </c>
      <c r="I2366" t="s">
        <v>50</v>
      </c>
      <c r="J2366" s="5">
        <v>.9999999999999999999999999999999999999996</v>
      </c>
      <c r="K2366" t="s">
        <v>38</v>
      </c>
      <c r="M2366">
        <v>58434</v>
      </c>
      <c r="N2366" t="s">
        <v>590</v>
      </c>
      <c r="O2366" t="s">
        <v>591</v>
      </c>
      <c r="P2366" t="s">
        <v>38</v>
      </c>
      <c r="Q2366" t="s">
        <v>50</v>
      </c>
      <c r="R2366">
        <v>0</v>
      </c>
      <c r="S2366" t="s">
        <v>45</v>
      </c>
      <c r="T2366" t="str" s="2">
        <f>=HYPERLINK("http://demo.enginatics.com:80/ecc/user/applications/log/58416.log","http://demo.enginatics.com:80/ecc/user/applications/log/58416.log")</f>
        <v>"http://demo.enginatics.com:80/ecc/user/applications/log/58416.log")</v>
      </c>
      <c r="U2366">
        <v>58435</v>
      </c>
      <c r="V2366" t="s">
        <v>38</v>
      </c>
      <c r="W2366" t="s">
        <v>50</v>
      </c>
      <c r="X2366">
        <v>0</v>
      </c>
      <c r="Y2366">
        <v>0</v>
      </c>
      <c r="Z2366" t="s">
        <v>46</v>
      </c>
      <c r="AA2366">
        <v>58436</v>
      </c>
      <c r="AB2366" t="s">
        <v>592</v>
      </c>
      <c r="AC2366" t="s">
        <v>48</v>
      </c>
      <c r="AD2366" t="s">
        <v>38</v>
      </c>
      <c r="AE2366" t="s">
        <v>49</v>
      </c>
      <c r="AF2366" t="s">
        <v>50</v>
      </c>
      <c r="AG2366">
        <v>0</v>
      </c>
      <c r="AH2366">
        <v>0</v>
      </c>
      <c r="AI2366" t="s">
        <v>51</v>
      </c>
      <c r="AJ2366" t="s">
        <v>51</v>
      </c>
      <c r="AK2366" t="s">
        <v>51</v>
      </c>
    </row>
    <row r="2367" spans="1:37" x14ac:dyDescent="0.2">
      <c r="A2367">
        <v>58414</v>
      </c>
      <c r="B2367" t="s">
        <v>37</v>
      </c>
      <c r="C2367" t="s">
        <v>38</v>
      </c>
      <c r="D2367" t="s">
        <v>553</v>
      </c>
      <c r="E2367" t="s">
        <v>593</v>
      </c>
      <c r="G2367" s="4">
        <v>43946.043275462963</v>
      </c>
      <c r="H2367" s="4">
        <v>43946.043310185185</v>
      </c>
      <c r="I2367" t="s">
        <v>85</v>
      </c>
      <c r="J2367" s="5">
        <v>3</v>
      </c>
      <c r="K2367" t="s">
        <v>38</v>
      </c>
      <c r="M2367">
        <v>58431</v>
      </c>
      <c r="N2367" t="s">
        <v>593</v>
      </c>
      <c r="O2367" t="s">
        <v>594</v>
      </c>
      <c r="P2367" t="s">
        <v>38</v>
      </c>
      <c r="Q2367" t="s">
        <v>88</v>
      </c>
      <c r="R2367">
        <v>2</v>
      </c>
      <c r="S2367" t="s">
        <v>45</v>
      </c>
      <c r="T2367" t="str" s="2">
        <f>=HYPERLINK("http://demo.enginatics.com:80/ecc/user/applications/log/58414.log","http://demo.enginatics.com:80/ecc/user/applications/log/58414.log")</f>
        <v>"http://demo.enginatics.com:80/ecc/user/applications/log/58414.log")</v>
      </c>
      <c r="U2367">
        <v>58432</v>
      </c>
      <c r="V2367" t="s">
        <v>38</v>
      </c>
      <c r="W2367" t="s">
        <v>88</v>
      </c>
      <c r="X2367">
        <v>2</v>
      </c>
      <c r="Y2367">
        <v>0</v>
      </c>
      <c r="Z2367" t="s">
        <v>46</v>
      </c>
      <c r="AA2367">
        <v>58433</v>
      </c>
      <c r="AB2367" t="s">
        <v>1946</v>
      </c>
      <c r="AC2367" t="s">
        <v>48</v>
      </c>
      <c r="AD2367" t="s">
        <v>38</v>
      </c>
      <c r="AE2367" t="s">
        <v>49</v>
      </c>
      <c r="AF2367" t="s">
        <v>88</v>
      </c>
      <c r="AG2367">
        <v>2</v>
      </c>
      <c r="AH2367">
        <v>1</v>
      </c>
      <c r="AI2367" t="s">
        <v>51</v>
      </c>
      <c r="AJ2367" t="s">
        <v>51</v>
      </c>
      <c r="AK2367" t="s">
        <v>51</v>
      </c>
    </row>
    <row r="2368" spans="1:37" x14ac:dyDescent="0.2">
      <c r="A2368">
        <v>58410</v>
      </c>
      <c r="B2368" t="s">
        <v>37</v>
      </c>
      <c r="C2368" t="s">
        <v>38</v>
      </c>
      <c r="D2368" t="s">
        <v>553</v>
      </c>
      <c r="E2368" t="s">
        <v>578</v>
      </c>
      <c r="G2368" s="4">
        <v>43946.043263888889</v>
      </c>
      <c r="H2368" s="4">
        <v>43946.043287037037</v>
      </c>
      <c r="I2368" t="s">
        <v>88</v>
      </c>
      <c r="J2368" s="5">
        <v>2</v>
      </c>
      <c r="K2368" t="s">
        <v>38</v>
      </c>
      <c r="M2368">
        <v>58428</v>
      </c>
      <c r="N2368" t="s">
        <v>578</v>
      </c>
      <c r="O2368" t="s">
        <v>579</v>
      </c>
      <c r="P2368" t="s">
        <v>38</v>
      </c>
      <c r="Q2368" t="s">
        <v>50</v>
      </c>
      <c r="R2368">
        <v>0</v>
      </c>
      <c r="S2368" t="s">
        <v>45</v>
      </c>
      <c r="T2368" t="str" s="2">
        <f>=HYPERLINK("http://demo.enginatics.com:80/ecc/user/applications/log/58410.log","http://demo.enginatics.com:80/ecc/user/applications/log/58410.log")</f>
        <v>"http://demo.enginatics.com:80/ecc/user/applications/log/58410.log")</v>
      </c>
      <c r="U2368">
        <v>58429</v>
      </c>
      <c r="V2368" t="s">
        <v>38</v>
      </c>
      <c r="W2368" t="s">
        <v>50</v>
      </c>
      <c r="X2368">
        <v>0</v>
      </c>
      <c r="Y2368">
        <v>0</v>
      </c>
      <c r="Z2368" t="s">
        <v>46</v>
      </c>
      <c r="AA2368">
        <v>58430</v>
      </c>
      <c r="AB2368" t="s">
        <v>580</v>
      </c>
      <c r="AC2368" t="s">
        <v>48</v>
      </c>
      <c r="AD2368" t="s">
        <v>38</v>
      </c>
      <c r="AE2368" t="s">
        <v>49</v>
      </c>
      <c r="AF2368" t="s">
        <v>50</v>
      </c>
      <c r="AG2368">
        <v>0</v>
      </c>
      <c r="AH2368">
        <v>0</v>
      </c>
      <c r="AI2368" t="s">
        <v>51</v>
      </c>
      <c r="AJ2368" t="s">
        <v>51</v>
      </c>
      <c r="AK2368" t="s">
        <v>51</v>
      </c>
    </row>
    <row r="2369" spans="1:37" x14ac:dyDescent="0.2">
      <c r="A2369">
        <v>58406</v>
      </c>
      <c r="B2369" t="s">
        <v>37</v>
      </c>
      <c r="C2369" t="s">
        <v>38</v>
      </c>
      <c r="D2369" t="s">
        <v>553</v>
      </c>
      <c r="E2369" t="s">
        <v>557</v>
      </c>
      <c r="G2369" s="4">
        <v>43946.043252314815</v>
      </c>
      <c r="H2369" s="4">
        <v>43946.043287037037</v>
      </c>
      <c r="I2369" t="s">
        <v>85</v>
      </c>
      <c r="J2369" s="5">
        <v>3</v>
      </c>
      <c r="K2369" t="s">
        <v>38</v>
      </c>
      <c r="M2369">
        <v>58425</v>
      </c>
      <c r="N2369" t="s">
        <v>557</v>
      </c>
      <c r="O2369" t="s">
        <v>558</v>
      </c>
      <c r="P2369" t="s">
        <v>38</v>
      </c>
      <c r="Q2369" t="s">
        <v>50</v>
      </c>
      <c r="R2369">
        <v>0</v>
      </c>
      <c r="S2369" t="s">
        <v>45</v>
      </c>
      <c r="T2369" t="str" s="2">
        <f>=HYPERLINK("http://demo.enginatics.com:80/ecc/user/applications/log/58406.log","http://demo.enginatics.com:80/ecc/user/applications/log/58406.log")</f>
        <v>"http://demo.enginatics.com:80/ecc/user/applications/log/58406.log")</v>
      </c>
      <c r="U2369">
        <v>58426</v>
      </c>
      <c r="V2369" t="s">
        <v>38</v>
      </c>
      <c r="W2369" t="s">
        <v>50</v>
      </c>
      <c r="X2369">
        <v>0</v>
      </c>
      <c r="Y2369">
        <v>0</v>
      </c>
      <c r="Z2369" t="s">
        <v>46</v>
      </c>
      <c r="AA2369">
        <v>58427</v>
      </c>
      <c r="AB2369" t="s">
        <v>559</v>
      </c>
      <c r="AC2369" t="s">
        <v>48</v>
      </c>
      <c r="AD2369" t="s">
        <v>38</v>
      </c>
      <c r="AE2369" t="s">
        <v>49</v>
      </c>
      <c r="AF2369" t="s">
        <v>50</v>
      </c>
      <c r="AG2369">
        <v>0</v>
      </c>
      <c r="AH2369">
        <v>0</v>
      </c>
      <c r="AI2369" t="s">
        <v>51</v>
      </c>
      <c r="AJ2369" t="s">
        <v>51</v>
      </c>
      <c r="AK2369" t="s">
        <v>51</v>
      </c>
    </row>
    <row r="2370" spans="1:37" x14ac:dyDescent="0.2">
      <c r="A2370">
        <v>58404</v>
      </c>
      <c r="B2370" t="s">
        <v>37</v>
      </c>
      <c r="C2370" t="s">
        <v>38</v>
      </c>
      <c r="D2370" t="s">
        <v>553</v>
      </c>
      <c r="E2370" t="s">
        <v>575</v>
      </c>
      <c r="G2370" s="4">
        <v>43946.043252314815</v>
      </c>
      <c r="H2370" s="4">
        <v>43946.043287037037</v>
      </c>
      <c r="I2370" t="s">
        <v>85</v>
      </c>
      <c r="J2370" s="5">
        <v>3</v>
      </c>
      <c r="K2370" t="s">
        <v>38</v>
      </c>
      <c r="M2370">
        <v>58418</v>
      </c>
      <c r="N2370" t="s">
        <v>575</v>
      </c>
      <c r="O2370" t="s">
        <v>576</v>
      </c>
      <c r="P2370" t="s">
        <v>38</v>
      </c>
      <c r="Q2370" t="s">
        <v>50</v>
      </c>
      <c r="R2370">
        <v>.9999999999999999999999999999999999999996</v>
      </c>
      <c r="S2370" t="s">
        <v>45</v>
      </c>
      <c r="T2370" t="str" s="2">
        <f>=HYPERLINK("http://demo.enginatics.com:80/ecc/user/applications/log/58404.log","http://demo.enginatics.com:80/ecc/user/applications/log/58404.log")</f>
        <v>"http://demo.enginatics.com:80/ecc/user/applications/log/58404.log")</v>
      </c>
      <c r="U2370">
        <v>58420</v>
      </c>
      <c r="V2370" t="s">
        <v>38</v>
      </c>
      <c r="W2370" t="s">
        <v>50</v>
      </c>
      <c r="X2370">
        <v>.9999999999999999999999999999999999999996</v>
      </c>
      <c r="Y2370">
        <v>0</v>
      </c>
      <c r="Z2370" t="s">
        <v>46</v>
      </c>
      <c r="AA2370">
        <v>58423</v>
      </c>
      <c r="AB2370" t="s">
        <v>577</v>
      </c>
      <c r="AC2370" t="s">
        <v>48</v>
      </c>
      <c r="AD2370" t="s">
        <v>38</v>
      </c>
      <c r="AE2370" t="s">
        <v>49</v>
      </c>
      <c r="AF2370" t="s">
        <v>50</v>
      </c>
      <c r="AG2370">
        <v>.9999999999999999999999999999999999999996</v>
      </c>
      <c r="AH2370">
        <v>0</v>
      </c>
      <c r="AI2370" t="s">
        <v>51</v>
      </c>
      <c r="AJ2370" t="s">
        <v>51</v>
      </c>
      <c r="AK2370" t="s">
        <v>51</v>
      </c>
    </row>
    <row r="2371" spans="1:37" x14ac:dyDescent="0.2">
      <c r="A2371">
        <v>58403</v>
      </c>
      <c r="B2371" t="s">
        <v>37</v>
      </c>
      <c r="C2371" t="s">
        <v>38</v>
      </c>
      <c r="D2371" t="s">
        <v>553</v>
      </c>
      <c r="E2371" t="s">
        <v>587</v>
      </c>
      <c r="G2371" s="4">
        <v>43946.043252314815</v>
      </c>
      <c r="H2371" s="4">
        <v>43946.043287037037</v>
      </c>
      <c r="I2371" t="s">
        <v>85</v>
      </c>
      <c r="J2371" s="5">
        <v>3</v>
      </c>
      <c r="K2371" t="s">
        <v>38</v>
      </c>
      <c r="M2371">
        <v>58419</v>
      </c>
      <c r="N2371" t="s">
        <v>587</v>
      </c>
      <c r="O2371" t="s">
        <v>588</v>
      </c>
      <c r="P2371" t="s">
        <v>38</v>
      </c>
      <c r="Q2371" t="s">
        <v>50</v>
      </c>
      <c r="R2371">
        <v>.9999999999999999999999999999999999999996</v>
      </c>
      <c r="S2371" t="s">
        <v>45</v>
      </c>
      <c r="T2371" t="str" s="2">
        <f>=HYPERLINK("http://demo.enginatics.com:80/ecc/user/applications/log/58403.log","http://demo.enginatics.com:80/ecc/user/applications/log/58403.log")</f>
        <v>"http://demo.enginatics.com:80/ecc/user/applications/log/58403.log")</v>
      </c>
      <c r="U2371">
        <v>58421</v>
      </c>
      <c r="V2371" t="s">
        <v>38</v>
      </c>
      <c r="W2371" t="s">
        <v>50</v>
      </c>
      <c r="X2371">
        <v>.9999999999999999999999999999999999999996</v>
      </c>
      <c r="Y2371">
        <v>0</v>
      </c>
      <c r="Z2371" t="s">
        <v>46</v>
      </c>
      <c r="AA2371">
        <v>58422</v>
      </c>
      <c r="AB2371" t="s">
        <v>589</v>
      </c>
      <c r="AC2371" t="s">
        <v>48</v>
      </c>
      <c r="AD2371" t="s">
        <v>38</v>
      </c>
      <c r="AE2371" t="s">
        <v>49</v>
      </c>
      <c r="AF2371" t="s">
        <v>50</v>
      </c>
      <c r="AG2371">
        <v>.9999999999999999999999999999999999999996</v>
      </c>
      <c r="AH2371">
        <v>0</v>
      </c>
      <c r="AI2371" t="s">
        <v>51</v>
      </c>
      <c r="AJ2371" t="s">
        <v>51</v>
      </c>
      <c r="AK2371" t="s">
        <v>51</v>
      </c>
    </row>
    <row r="2372" spans="1:37" x14ac:dyDescent="0.2">
      <c r="A2372">
        <v>58401</v>
      </c>
      <c r="B2372" t="s">
        <v>37</v>
      </c>
      <c r="C2372" t="s">
        <v>38</v>
      </c>
      <c r="D2372" t="s">
        <v>553</v>
      </c>
      <c r="E2372" t="s">
        <v>572</v>
      </c>
      <c r="G2372" s="4">
        <v>43946.043252314815</v>
      </c>
      <c r="H2372" s="4">
        <v>43946.043275462963</v>
      </c>
      <c r="I2372" t="s">
        <v>88</v>
      </c>
      <c r="J2372" s="5">
        <v>2</v>
      </c>
      <c r="K2372" t="s">
        <v>38</v>
      </c>
      <c r="M2372">
        <v>58412</v>
      </c>
      <c r="N2372" t="s">
        <v>572</v>
      </c>
      <c r="O2372" t="s">
        <v>573</v>
      </c>
      <c r="P2372" t="s">
        <v>38</v>
      </c>
      <c r="Q2372" t="s">
        <v>50</v>
      </c>
      <c r="R2372">
        <v>.9999999999999999999999999999999999999996</v>
      </c>
      <c r="S2372" t="s">
        <v>45</v>
      </c>
      <c r="T2372" t="str" s="2">
        <f>=HYPERLINK("http://demo.enginatics.com:80/ecc/user/applications/log/58401.log","http://demo.enginatics.com:80/ecc/user/applications/log/58401.log")</f>
        <v>"http://demo.enginatics.com:80/ecc/user/applications/log/58401.log")</v>
      </c>
      <c r="U2372">
        <v>58413</v>
      </c>
      <c r="V2372" t="s">
        <v>38</v>
      </c>
      <c r="W2372" t="s">
        <v>50</v>
      </c>
      <c r="X2372">
        <v>0</v>
      </c>
      <c r="Y2372">
        <v>0</v>
      </c>
      <c r="Z2372" t="s">
        <v>46</v>
      </c>
      <c r="AA2372">
        <v>58415</v>
      </c>
      <c r="AB2372" t="s">
        <v>574</v>
      </c>
      <c r="AC2372" t="s">
        <v>48</v>
      </c>
      <c r="AD2372" t="s">
        <v>38</v>
      </c>
      <c r="AE2372" t="s">
        <v>49</v>
      </c>
      <c r="AF2372" t="s">
        <v>50</v>
      </c>
      <c r="AG2372">
        <v>0</v>
      </c>
      <c r="AH2372">
        <v>0</v>
      </c>
      <c r="AI2372" t="s">
        <v>51</v>
      </c>
      <c r="AJ2372" t="s">
        <v>51</v>
      </c>
      <c r="AK2372" t="s">
        <v>51</v>
      </c>
    </row>
    <row r="2373" spans="1:37" x14ac:dyDescent="0.2">
      <c r="A2373">
        <v>58391</v>
      </c>
      <c r="B2373" t="s">
        <v>37</v>
      </c>
      <c r="C2373" t="s">
        <v>38</v>
      </c>
      <c r="D2373" t="s">
        <v>553</v>
      </c>
      <c r="E2373" t="s">
        <v>566</v>
      </c>
      <c r="G2373" s="4">
        <v>43946.043229166667</v>
      </c>
      <c r="H2373" s="4">
        <v>43946.043275462963</v>
      </c>
      <c r="I2373" t="s">
        <v>44</v>
      </c>
      <c r="J2373" s="5">
        <v>4</v>
      </c>
      <c r="K2373" t="s">
        <v>38</v>
      </c>
      <c r="M2373">
        <v>58408</v>
      </c>
      <c r="N2373" t="s">
        <v>566</v>
      </c>
      <c r="O2373" t="s">
        <v>567</v>
      </c>
      <c r="P2373" t="s">
        <v>38</v>
      </c>
      <c r="Q2373" t="s">
        <v>50</v>
      </c>
      <c r="R2373">
        <v>.9999999999999999999999999999999999999996</v>
      </c>
      <c r="S2373" t="s">
        <v>45</v>
      </c>
      <c r="T2373" t="str" s="2">
        <f>=HYPERLINK("http://demo.enginatics.com:80/ecc/user/applications/log/58391.log","http://demo.enginatics.com:80/ecc/user/applications/log/58391.log")</f>
        <v>"http://demo.enginatics.com:80/ecc/user/applications/log/58391.log")</v>
      </c>
      <c r="U2373">
        <v>58409</v>
      </c>
      <c r="V2373" t="s">
        <v>38</v>
      </c>
      <c r="W2373" t="s">
        <v>50</v>
      </c>
      <c r="X2373">
        <v>.9999999999999999999999999999999999999996</v>
      </c>
      <c r="Y2373">
        <v>0</v>
      </c>
      <c r="Z2373" t="s">
        <v>46</v>
      </c>
      <c r="AA2373">
        <v>58411</v>
      </c>
      <c r="AB2373" t="s">
        <v>568</v>
      </c>
      <c r="AC2373" t="s">
        <v>48</v>
      </c>
      <c r="AD2373" t="s">
        <v>38</v>
      </c>
      <c r="AE2373" t="s">
        <v>49</v>
      </c>
      <c r="AF2373" t="s">
        <v>50</v>
      </c>
      <c r="AG2373">
        <v>.9999999999999999999999999999999999999996</v>
      </c>
      <c r="AH2373">
        <v>0</v>
      </c>
      <c r="AI2373" t="s">
        <v>51</v>
      </c>
      <c r="AJ2373" t="s">
        <v>51</v>
      </c>
      <c r="AK2373" t="s">
        <v>51</v>
      </c>
    </row>
    <row r="2374" spans="1:37" x14ac:dyDescent="0.2">
      <c r="A2374">
        <v>58390</v>
      </c>
      <c r="B2374" t="s">
        <v>37</v>
      </c>
      <c r="C2374" t="s">
        <v>38</v>
      </c>
      <c r="D2374" t="s">
        <v>553</v>
      </c>
      <c r="E2374" t="s">
        <v>560</v>
      </c>
      <c r="G2374" s="4">
        <v>43946.043229166667</v>
      </c>
      <c r="H2374" s="4">
        <v>43946.043263888889</v>
      </c>
      <c r="I2374" t="s">
        <v>85</v>
      </c>
      <c r="J2374" s="5">
        <v>3</v>
      </c>
      <c r="K2374" t="s">
        <v>38</v>
      </c>
      <c r="M2374">
        <v>58400</v>
      </c>
      <c r="N2374" t="s">
        <v>560</v>
      </c>
      <c r="O2374" t="s">
        <v>561</v>
      </c>
      <c r="P2374" t="s">
        <v>38</v>
      </c>
      <c r="Q2374" t="s">
        <v>88</v>
      </c>
      <c r="R2374">
        <v>2</v>
      </c>
      <c r="S2374" t="s">
        <v>45</v>
      </c>
      <c r="T2374" t="str" s="2">
        <f>=HYPERLINK("http://demo.enginatics.com:80/ecc/user/applications/log/58390.log","http://demo.enginatics.com:80/ecc/user/applications/log/58390.log")</f>
        <v>"http://demo.enginatics.com:80/ecc/user/applications/log/58390.log")</v>
      </c>
      <c r="U2374">
        <v>58402</v>
      </c>
      <c r="V2374" t="s">
        <v>38</v>
      </c>
      <c r="W2374" t="s">
        <v>50</v>
      </c>
      <c r="X2374">
        <v>.9999999999999999999999999999999999999996</v>
      </c>
      <c r="Y2374">
        <v>0</v>
      </c>
      <c r="Z2374" t="s">
        <v>46</v>
      </c>
      <c r="AA2374">
        <v>58407</v>
      </c>
      <c r="AB2374" t="s">
        <v>562</v>
      </c>
      <c r="AC2374" t="s">
        <v>48</v>
      </c>
      <c r="AD2374" t="s">
        <v>38</v>
      </c>
      <c r="AE2374" t="s">
        <v>49</v>
      </c>
      <c r="AF2374" t="s">
        <v>50</v>
      </c>
      <c r="AG2374">
        <v>0</v>
      </c>
      <c r="AH2374">
        <v>0</v>
      </c>
      <c r="AI2374" t="s">
        <v>51</v>
      </c>
      <c r="AJ2374" t="s">
        <v>51</v>
      </c>
      <c r="AK2374" t="s">
        <v>51</v>
      </c>
    </row>
    <row r="2375" spans="1:37" x14ac:dyDescent="0.2">
      <c r="A2375">
        <v>58389</v>
      </c>
      <c r="B2375" t="s">
        <v>37</v>
      </c>
      <c r="C2375" t="s">
        <v>38</v>
      </c>
      <c r="D2375" t="s">
        <v>553</v>
      </c>
      <c r="E2375" t="s">
        <v>563</v>
      </c>
      <c r="G2375" s="4">
        <v>43946.043229166667</v>
      </c>
      <c r="H2375" s="4">
        <v>43946.043263888889</v>
      </c>
      <c r="I2375" t="s">
        <v>85</v>
      </c>
      <c r="J2375" s="5">
        <v>3</v>
      </c>
      <c r="K2375" t="s">
        <v>38</v>
      </c>
      <c r="M2375">
        <v>58398</v>
      </c>
      <c r="N2375" t="s">
        <v>563</v>
      </c>
      <c r="O2375" t="s">
        <v>564</v>
      </c>
      <c r="P2375" t="s">
        <v>38</v>
      </c>
      <c r="Q2375" t="s">
        <v>88</v>
      </c>
      <c r="R2375">
        <v>2</v>
      </c>
      <c r="S2375" t="s">
        <v>45</v>
      </c>
      <c r="T2375" t="str" s="2">
        <f>=HYPERLINK("http://demo.enginatics.com:80/ecc/user/applications/log/58389.log","http://demo.enginatics.com:80/ecc/user/applications/log/58389.log")</f>
        <v>"http://demo.enginatics.com:80/ecc/user/applications/log/58389.log")</v>
      </c>
      <c r="U2375">
        <v>58399</v>
      </c>
      <c r="V2375" t="s">
        <v>38</v>
      </c>
      <c r="W2375" t="s">
        <v>88</v>
      </c>
      <c r="X2375">
        <v>2</v>
      </c>
      <c r="Y2375">
        <v>0</v>
      </c>
      <c r="Z2375" t="s">
        <v>46</v>
      </c>
      <c r="AA2375">
        <v>58405</v>
      </c>
      <c r="AB2375" t="s">
        <v>565</v>
      </c>
      <c r="AC2375" t="s">
        <v>48</v>
      </c>
      <c r="AD2375" t="s">
        <v>38</v>
      </c>
      <c r="AE2375" t="s">
        <v>49</v>
      </c>
      <c r="AF2375" t="s">
        <v>50</v>
      </c>
      <c r="AG2375">
        <v>.9999999999999999999999999999999999999996</v>
      </c>
      <c r="AH2375">
        <v>0</v>
      </c>
      <c r="AI2375" t="s">
        <v>51</v>
      </c>
      <c r="AJ2375" t="s">
        <v>51</v>
      </c>
      <c r="AK2375" t="s">
        <v>51</v>
      </c>
    </row>
    <row r="2376" spans="1:37" x14ac:dyDescent="0.2">
      <c r="A2376">
        <v>58388</v>
      </c>
      <c r="B2376" t="s">
        <v>37</v>
      </c>
      <c r="C2376" t="s">
        <v>38</v>
      </c>
      <c r="D2376" t="s">
        <v>553</v>
      </c>
      <c r="E2376" t="s">
        <v>554</v>
      </c>
      <c r="G2376" s="4">
        <v>43946.043229166667</v>
      </c>
      <c r="H2376" s="4">
        <v>43946.043240740741</v>
      </c>
      <c r="I2376" t="s">
        <v>50</v>
      </c>
      <c r="J2376" s="5">
        <v>.9999999999999999999999999999999999999996</v>
      </c>
      <c r="K2376" t="s">
        <v>38</v>
      </c>
      <c r="M2376">
        <v>58393</v>
      </c>
      <c r="N2376" t="s">
        <v>554</v>
      </c>
      <c r="O2376" t="s">
        <v>555</v>
      </c>
      <c r="P2376" t="s">
        <v>38</v>
      </c>
      <c r="Q2376" t="s">
        <v>50</v>
      </c>
      <c r="R2376">
        <v>.9999999999999999999999999999999999999996</v>
      </c>
      <c r="S2376" t="s">
        <v>45</v>
      </c>
      <c r="T2376" t="str" s="2">
        <f>=HYPERLINK("http://demo.enginatics.com:80/ecc/user/applications/log/58388.log","http://demo.enginatics.com:80/ecc/user/applications/log/58388.log")</f>
        <v>"http://demo.enginatics.com:80/ecc/user/applications/log/58388.log")</v>
      </c>
      <c r="U2376">
        <v>58395</v>
      </c>
      <c r="V2376" t="s">
        <v>38</v>
      </c>
      <c r="W2376" t="s">
        <v>50</v>
      </c>
      <c r="X2376">
        <v>.9999999999999999999999999999999999999996</v>
      </c>
      <c r="Y2376">
        <v>0</v>
      </c>
      <c r="Z2376" t="s">
        <v>46</v>
      </c>
      <c r="AA2376">
        <v>58397</v>
      </c>
      <c r="AB2376" t="s">
        <v>556</v>
      </c>
      <c r="AC2376" t="s">
        <v>48</v>
      </c>
      <c r="AD2376" t="s">
        <v>38</v>
      </c>
      <c r="AE2376" t="s">
        <v>49</v>
      </c>
      <c r="AF2376" t="s">
        <v>50</v>
      </c>
      <c r="AG2376">
        <v>.9999999999999999999999999999999999999996</v>
      </c>
      <c r="AH2376">
        <v>0</v>
      </c>
      <c r="AI2376" t="s">
        <v>51</v>
      </c>
      <c r="AJ2376" t="s">
        <v>51</v>
      </c>
      <c r="AK2376" t="s">
        <v>51</v>
      </c>
    </row>
    <row r="2377" spans="1:37" x14ac:dyDescent="0.2">
      <c r="A2377">
        <v>58387</v>
      </c>
      <c r="B2377" t="s">
        <v>37</v>
      </c>
      <c r="C2377" t="s">
        <v>38</v>
      </c>
      <c r="D2377" t="s">
        <v>553</v>
      </c>
      <c r="E2377" t="s">
        <v>581</v>
      </c>
      <c r="G2377" s="4">
        <v>43946.043229166667</v>
      </c>
      <c r="H2377" s="4">
        <v>43946.043240740741</v>
      </c>
      <c r="I2377" t="s">
        <v>50</v>
      </c>
      <c r="J2377" s="5">
        <v>.9999999999999999999999999999999999999996</v>
      </c>
      <c r="K2377" t="s">
        <v>38</v>
      </c>
      <c r="M2377">
        <v>58392</v>
      </c>
      <c r="N2377" t="s">
        <v>581</v>
      </c>
      <c r="O2377" t="s">
        <v>582</v>
      </c>
      <c r="P2377" t="s">
        <v>38</v>
      </c>
      <c r="Q2377" t="s">
        <v>50</v>
      </c>
      <c r="R2377">
        <v>.9999999999999999999999999999999999999996</v>
      </c>
      <c r="S2377" t="s">
        <v>45</v>
      </c>
      <c r="T2377" t="str" s="2">
        <f>=HYPERLINK("http://demo.enginatics.com:80/ecc/user/applications/log/58387.log","http://demo.enginatics.com:80/ecc/user/applications/log/58387.log")</f>
        <v>"http://demo.enginatics.com:80/ecc/user/applications/log/58387.log")</v>
      </c>
      <c r="U2377">
        <v>58394</v>
      </c>
      <c r="V2377" t="s">
        <v>38</v>
      </c>
      <c r="W2377" t="s">
        <v>50</v>
      </c>
      <c r="X2377">
        <v>.9999999999999999999999999999999999999996</v>
      </c>
      <c r="Y2377">
        <v>0</v>
      </c>
      <c r="Z2377" t="s">
        <v>46</v>
      </c>
      <c r="AA2377">
        <v>58396</v>
      </c>
      <c r="AB2377" t="s">
        <v>583</v>
      </c>
      <c r="AC2377" t="s">
        <v>48</v>
      </c>
      <c r="AD2377" t="s">
        <v>38</v>
      </c>
      <c r="AE2377" t="s">
        <v>49</v>
      </c>
      <c r="AF2377" t="s">
        <v>50</v>
      </c>
      <c r="AG2377">
        <v>.9999999999999999999999999999999999999996</v>
      </c>
      <c r="AH2377">
        <v>0</v>
      </c>
      <c r="AI2377" t="s">
        <v>51</v>
      </c>
      <c r="AJ2377" t="s">
        <v>51</v>
      </c>
      <c r="AK2377" t="s">
        <v>51</v>
      </c>
    </row>
    <row r="2378" spans="1:37" x14ac:dyDescent="0.2">
      <c r="A2378">
        <v>58383</v>
      </c>
      <c r="B2378" t="s">
        <v>37</v>
      </c>
      <c r="C2378" t="s">
        <v>38</v>
      </c>
      <c r="D2378" t="s">
        <v>553</v>
      </c>
      <c r="E2378" t="s">
        <v>596</v>
      </c>
      <c r="G2378" s="4">
        <v>43946.043171296296</v>
      </c>
      <c r="H2378" s="4">
        <v>43946.043217592593</v>
      </c>
      <c r="I2378" t="s">
        <v>44</v>
      </c>
      <c r="J2378" s="5">
        <v>4</v>
      </c>
      <c r="K2378" t="s">
        <v>38</v>
      </c>
      <c r="M2378">
        <v>58384</v>
      </c>
      <c r="N2378" t="s">
        <v>596</v>
      </c>
      <c r="O2378" t="s">
        <v>597</v>
      </c>
      <c r="P2378" t="s">
        <v>38</v>
      </c>
      <c r="Q2378" t="s">
        <v>44</v>
      </c>
      <c r="R2378">
        <v>4</v>
      </c>
      <c r="S2378" t="s">
        <v>45</v>
      </c>
      <c r="T2378" t="str" s="2">
        <f>=HYPERLINK("http://demo.enginatics.com:80/ecc/user/applications/log/58383.log","http://demo.enginatics.com:80/ecc/user/applications/log/58383.log")</f>
        <v>"http://demo.enginatics.com:80/ecc/user/applications/log/58383.log")</v>
      </c>
      <c r="U2378">
        <v>58385</v>
      </c>
      <c r="V2378" t="s">
        <v>38</v>
      </c>
      <c r="W2378" t="s">
        <v>44</v>
      </c>
      <c r="X2378">
        <v>4</v>
      </c>
      <c r="Y2378">
        <v>0</v>
      </c>
      <c r="Z2378" t="s">
        <v>46</v>
      </c>
      <c r="AA2378">
        <v>58386</v>
      </c>
      <c r="AB2378" t="s">
        <v>1947</v>
      </c>
      <c r="AC2378" t="s">
        <v>48</v>
      </c>
      <c r="AD2378" t="s">
        <v>38</v>
      </c>
      <c r="AE2378" t="s">
        <v>49</v>
      </c>
      <c r="AF2378" t="s">
        <v>44</v>
      </c>
      <c r="AG2378">
        <v>4</v>
      </c>
      <c r="AH2378">
        <v>3</v>
      </c>
      <c r="AI2378" t="s">
        <v>51</v>
      </c>
      <c r="AJ2378" t="s">
        <v>51</v>
      </c>
      <c r="AK2378" t="s">
        <v>51</v>
      </c>
    </row>
    <row r="2379" spans="1:37" x14ac:dyDescent="0.2">
      <c r="A2379">
        <v>58379</v>
      </c>
      <c r="B2379" t="s">
        <v>37</v>
      </c>
      <c r="C2379" t="s">
        <v>38</v>
      </c>
      <c r="D2379" t="s">
        <v>83</v>
      </c>
      <c r="E2379" t="s">
        <v>599</v>
      </c>
      <c r="G2379" s="4">
        <v>43946.042696759259</v>
      </c>
      <c r="H2379" s="4">
        <v>43946.042731481481</v>
      </c>
      <c r="I2379" t="s">
        <v>85</v>
      </c>
      <c r="J2379" s="5">
        <v>3</v>
      </c>
      <c r="K2379" t="s">
        <v>38</v>
      </c>
      <c r="M2379">
        <v>58380</v>
      </c>
      <c r="N2379" t="s">
        <v>599</v>
      </c>
      <c r="O2379" t="s">
        <v>600</v>
      </c>
      <c r="P2379" t="s">
        <v>38</v>
      </c>
      <c r="Q2379" t="s">
        <v>85</v>
      </c>
      <c r="R2379">
        <v>3</v>
      </c>
      <c r="S2379" t="s">
        <v>45</v>
      </c>
      <c r="T2379" t="str" s="2">
        <f>=HYPERLINK("http://demo.enginatics.com:80/ecc/user/applications/log/58379.log","http://demo.enginatics.com:80/ecc/user/applications/log/58379.log")</f>
        <v>"http://demo.enginatics.com:80/ecc/user/applications/log/58379.log")</v>
      </c>
      <c r="U2379">
        <v>58381</v>
      </c>
      <c r="V2379" t="s">
        <v>38</v>
      </c>
      <c r="W2379" t="s">
        <v>85</v>
      </c>
      <c r="X2379">
        <v>3</v>
      </c>
      <c r="Y2379">
        <v>0</v>
      </c>
      <c r="Z2379" t="s">
        <v>46</v>
      </c>
      <c r="AA2379">
        <v>58382</v>
      </c>
      <c r="AB2379" t="s">
        <v>1948</v>
      </c>
      <c r="AC2379" t="s">
        <v>68</v>
      </c>
      <c r="AD2379" t="s">
        <v>38</v>
      </c>
      <c r="AE2379" t="s">
        <v>49</v>
      </c>
      <c r="AF2379" t="s">
        <v>85</v>
      </c>
      <c r="AG2379">
        <v>3</v>
      </c>
      <c r="AH2379">
        <v>2</v>
      </c>
      <c r="AI2379" t="s">
        <v>51</v>
      </c>
      <c r="AJ2379" t="s">
        <v>51</v>
      </c>
      <c r="AK2379" t="s">
        <v>51</v>
      </c>
    </row>
    <row r="2380" spans="1:37" x14ac:dyDescent="0.2">
      <c r="A2380">
        <v>58375</v>
      </c>
      <c r="B2380" t="s">
        <v>37</v>
      </c>
      <c r="C2380" t="s">
        <v>38</v>
      </c>
      <c r="D2380" t="s">
        <v>602</v>
      </c>
      <c r="E2380" t="s">
        <v>603</v>
      </c>
      <c r="G2380" s="4">
        <v>43946.031990740741</v>
      </c>
      <c r="H2380" s="4">
        <v>43946.032037037037</v>
      </c>
      <c r="I2380" t="s">
        <v>44</v>
      </c>
      <c r="J2380" s="5">
        <v>4</v>
      </c>
      <c r="K2380" t="s">
        <v>38</v>
      </c>
      <c r="M2380">
        <v>58376</v>
      </c>
      <c r="N2380" t="s">
        <v>603</v>
      </c>
      <c r="O2380" t="s">
        <v>604</v>
      </c>
      <c r="P2380" t="s">
        <v>38</v>
      </c>
      <c r="Q2380" t="s">
        <v>44</v>
      </c>
      <c r="R2380">
        <v>4</v>
      </c>
      <c r="S2380" t="s">
        <v>45</v>
      </c>
      <c r="T2380" t="str" s="2">
        <f>=HYPERLINK("http://demo.enginatics.com:80/ecc/user/applications/log/58375.log","http://demo.enginatics.com:80/ecc/user/applications/log/58375.log")</f>
        <v>"http://demo.enginatics.com:80/ecc/user/applications/log/58375.log")</v>
      </c>
      <c r="U2380">
        <v>58377</v>
      </c>
      <c r="V2380" t="s">
        <v>38</v>
      </c>
      <c r="W2380" t="s">
        <v>44</v>
      </c>
      <c r="X2380">
        <v>4</v>
      </c>
      <c r="Y2380">
        <v>0</v>
      </c>
      <c r="Z2380" t="s">
        <v>46</v>
      </c>
      <c r="AA2380">
        <v>58378</v>
      </c>
      <c r="AB2380" t="s">
        <v>605</v>
      </c>
      <c r="AC2380" t="s">
        <v>68</v>
      </c>
      <c r="AD2380" t="s">
        <v>38</v>
      </c>
      <c r="AE2380" t="s">
        <v>49</v>
      </c>
      <c r="AF2380" t="s">
        <v>44</v>
      </c>
      <c r="AG2380">
        <v>4</v>
      </c>
      <c r="AH2380">
        <v>3</v>
      </c>
      <c r="AI2380" t="s">
        <v>51</v>
      </c>
      <c r="AJ2380" t="s">
        <v>51</v>
      </c>
      <c r="AK2380" t="s">
        <v>51</v>
      </c>
    </row>
    <row r="2381" spans="1:37" x14ac:dyDescent="0.2">
      <c r="A2381">
        <v>58370</v>
      </c>
      <c r="B2381" t="s">
        <v>37</v>
      </c>
      <c r="C2381" t="s">
        <v>38</v>
      </c>
      <c r="D2381" t="s">
        <v>606</v>
      </c>
      <c r="E2381" t="s">
        <v>607</v>
      </c>
      <c r="G2381" s="4">
        <v>43946.029444444444</v>
      </c>
      <c r="H2381" s="4">
        <v>43946.029444444444</v>
      </c>
      <c r="I2381" t="s">
        <v>50</v>
      </c>
      <c r="J2381" s="5">
        <v>0</v>
      </c>
      <c r="K2381" t="s">
        <v>38</v>
      </c>
      <c r="M2381">
        <v>58371</v>
      </c>
      <c r="N2381" t="s">
        <v>607</v>
      </c>
      <c r="O2381" t="s">
        <v>608</v>
      </c>
      <c r="P2381" t="s">
        <v>38</v>
      </c>
      <c r="Q2381" t="s">
        <v>50</v>
      </c>
      <c r="R2381">
        <v>0</v>
      </c>
      <c r="S2381" t="s">
        <v>45</v>
      </c>
      <c r="T2381" t="str" s="2">
        <f>=HYPERLINK("http://demo.enginatics.com:80/ecc/user/applications/log/58370.log","http://demo.enginatics.com:80/ecc/user/applications/log/58370.log")</f>
        <v>"http://demo.enginatics.com:80/ecc/user/applications/log/58370.log")</v>
      </c>
      <c r="U2381">
        <v>58372</v>
      </c>
      <c r="V2381" t="s">
        <v>38</v>
      </c>
      <c r="W2381" t="s">
        <v>50</v>
      </c>
      <c r="X2381">
        <v>0</v>
      </c>
      <c r="Y2381">
        <v>0</v>
      </c>
      <c r="Z2381" t="s">
        <v>46</v>
      </c>
      <c r="AA2381">
        <v>58374</v>
      </c>
      <c r="AB2381" t="s">
        <v>609</v>
      </c>
      <c r="AC2381" t="s">
        <v>48</v>
      </c>
      <c r="AD2381" t="s">
        <v>38</v>
      </c>
      <c r="AE2381" t="s">
        <v>49</v>
      </c>
      <c r="AF2381" t="s">
        <v>50</v>
      </c>
      <c r="AG2381">
        <v>0</v>
      </c>
      <c r="AH2381">
        <v>0</v>
      </c>
      <c r="AI2381" t="s">
        <v>51</v>
      </c>
      <c r="AJ2381" t="s">
        <v>51</v>
      </c>
      <c r="AK2381" t="s">
        <v>51</v>
      </c>
    </row>
    <row r="2382" spans="1:37" x14ac:dyDescent="0.2">
      <c r="A2382">
        <v>58370</v>
      </c>
      <c r="B2382" t="s">
        <v>37</v>
      </c>
      <c r="C2382" t="s">
        <v>38</v>
      </c>
      <c r="D2382" t="s">
        <v>606</v>
      </c>
      <c r="E2382" t="s">
        <v>607</v>
      </c>
      <c r="G2382" s="4">
        <v>43946.029444444444</v>
      </c>
      <c r="H2382" s="4">
        <v>43946.029444444444</v>
      </c>
      <c r="I2382" t="s">
        <v>50</v>
      </c>
      <c r="J2382" s="5">
        <v>0</v>
      </c>
      <c r="K2382" t="s">
        <v>38</v>
      </c>
      <c r="M2382">
        <v>58371</v>
      </c>
      <c r="N2382" t="s">
        <v>607</v>
      </c>
      <c r="O2382" t="s">
        <v>608</v>
      </c>
      <c r="P2382" t="s">
        <v>38</v>
      </c>
      <c r="Q2382" t="s">
        <v>50</v>
      </c>
      <c r="R2382">
        <v>0</v>
      </c>
      <c r="S2382" t="s">
        <v>45</v>
      </c>
      <c r="T2382" t="str" s="2">
        <f>=HYPERLINK("http://demo.enginatics.com:80/ecc/user/applications/log/58370.log","http://demo.enginatics.com:80/ecc/user/applications/log/58370.log")</f>
        <v>"http://demo.enginatics.com:80/ecc/user/applications/log/58370.log")</v>
      </c>
      <c r="U2382">
        <v>58372</v>
      </c>
      <c r="V2382" t="s">
        <v>38</v>
      </c>
      <c r="W2382" t="s">
        <v>50</v>
      </c>
      <c r="X2382">
        <v>0</v>
      </c>
      <c r="Y2382">
        <v>0</v>
      </c>
      <c r="Z2382" t="s">
        <v>46</v>
      </c>
      <c r="AA2382">
        <v>58373</v>
      </c>
      <c r="AB2382" t="s">
        <v>610</v>
      </c>
      <c r="AC2382" t="s">
        <v>56</v>
      </c>
      <c r="AD2382" t="s">
        <v>38</v>
      </c>
      <c r="AE2382" t="s">
        <v>49</v>
      </c>
      <c r="AF2382" t="s">
        <v>50</v>
      </c>
      <c r="AG2382">
        <v>0</v>
      </c>
      <c r="AH2382">
        <v>0</v>
      </c>
      <c r="AI2382" t="s">
        <v>51</v>
      </c>
      <c r="AJ2382" t="s">
        <v>51</v>
      </c>
      <c r="AK2382" t="s">
        <v>51</v>
      </c>
    </row>
    <row r="2383" spans="1:37" x14ac:dyDescent="0.2">
      <c r="A2383">
        <v>58365</v>
      </c>
      <c r="B2383" t="s">
        <v>37</v>
      </c>
      <c r="C2383" t="s">
        <v>38</v>
      </c>
      <c r="D2383" t="s">
        <v>606</v>
      </c>
      <c r="E2383" t="s">
        <v>611</v>
      </c>
      <c r="G2383" s="4">
        <v>43946.029363425926</v>
      </c>
      <c r="H2383" s="4">
        <v>43946.029375</v>
      </c>
      <c r="I2383" t="s">
        <v>50</v>
      </c>
      <c r="J2383" s="5">
        <v>.9999999999999999999999999999999999999996</v>
      </c>
      <c r="K2383" t="s">
        <v>38</v>
      </c>
      <c r="M2383">
        <v>58366</v>
      </c>
      <c r="N2383" t="s">
        <v>611</v>
      </c>
      <c r="O2383" t="s">
        <v>612</v>
      </c>
      <c r="P2383" t="s">
        <v>38</v>
      </c>
      <c r="Q2383" t="s">
        <v>50</v>
      </c>
      <c r="R2383">
        <v>.9999999999999999999999999999999999999996</v>
      </c>
      <c r="S2383" t="s">
        <v>45</v>
      </c>
      <c r="T2383" t="str" s="2">
        <f>=HYPERLINK("http://demo.enginatics.com:80/ecc/user/applications/log/58365.log","http://demo.enginatics.com:80/ecc/user/applications/log/58365.log")</f>
        <v>"http://demo.enginatics.com:80/ecc/user/applications/log/58365.log")</v>
      </c>
      <c r="U2383">
        <v>58367</v>
      </c>
      <c r="V2383" t="s">
        <v>38</v>
      </c>
      <c r="W2383" t="s">
        <v>50</v>
      </c>
      <c r="X2383">
        <v>.9999999999999999999999999999999999999996</v>
      </c>
      <c r="Y2383">
        <v>0</v>
      </c>
      <c r="Z2383" t="s">
        <v>46</v>
      </c>
      <c r="AA2383">
        <v>58369</v>
      </c>
      <c r="AB2383" t="s">
        <v>613</v>
      </c>
      <c r="AC2383" t="s">
        <v>48</v>
      </c>
      <c r="AD2383" t="s">
        <v>38</v>
      </c>
      <c r="AE2383" t="s">
        <v>49</v>
      </c>
      <c r="AF2383" t="s">
        <v>50</v>
      </c>
      <c r="AG2383">
        <v>0</v>
      </c>
      <c r="AH2383">
        <v>0</v>
      </c>
      <c r="AI2383" t="s">
        <v>51</v>
      </c>
      <c r="AJ2383" t="s">
        <v>51</v>
      </c>
      <c r="AK2383" t="s">
        <v>51</v>
      </c>
    </row>
    <row r="2384" spans="1:37" x14ac:dyDescent="0.2">
      <c r="A2384">
        <v>58365</v>
      </c>
      <c r="B2384" t="s">
        <v>37</v>
      </c>
      <c r="C2384" t="s">
        <v>38</v>
      </c>
      <c r="D2384" t="s">
        <v>606</v>
      </c>
      <c r="E2384" t="s">
        <v>611</v>
      </c>
      <c r="G2384" s="4">
        <v>43946.029363425926</v>
      </c>
      <c r="H2384" s="4">
        <v>43946.029375</v>
      </c>
      <c r="I2384" t="s">
        <v>50</v>
      </c>
      <c r="J2384" s="5">
        <v>.9999999999999999999999999999999999999996</v>
      </c>
      <c r="K2384" t="s">
        <v>38</v>
      </c>
      <c r="M2384">
        <v>58366</v>
      </c>
      <c r="N2384" t="s">
        <v>611</v>
      </c>
      <c r="O2384" t="s">
        <v>612</v>
      </c>
      <c r="P2384" t="s">
        <v>38</v>
      </c>
      <c r="Q2384" t="s">
        <v>50</v>
      </c>
      <c r="R2384">
        <v>.9999999999999999999999999999999999999996</v>
      </c>
      <c r="S2384" t="s">
        <v>45</v>
      </c>
      <c r="T2384" t="str" s="2">
        <f>=HYPERLINK("http://demo.enginatics.com:80/ecc/user/applications/log/58365.log","http://demo.enginatics.com:80/ecc/user/applications/log/58365.log")</f>
        <v>"http://demo.enginatics.com:80/ecc/user/applications/log/58365.log")</v>
      </c>
      <c r="U2384">
        <v>58367</v>
      </c>
      <c r="V2384" t="s">
        <v>38</v>
      </c>
      <c r="W2384" t="s">
        <v>50</v>
      </c>
      <c r="X2384">
        <v>.9999999999999999999999999999999999999996</v>
      </c>
      <c r="Y2384">
        <v>0</v>
      </c>
      <c r="Z2384" t="s">
        <v>46</v>
      </c>
      <c r="AA2384">
        <v>58368</v>
      </c>
      <c r="AB2384" t="s">
        <v>614</v>
      </c>
      <c r="AC2384" t="s">
        <v>56</v>
      </c>
      <c r="AD2384" t="s">
        <v>38</v>
      </c>
      <c r="AE2384" t="s">
        <v>49</v>
      </c>
      <c r="AF2384" t="s">
        <v>50</v>
      </c>
      <c r="AG2384">
        <v>0</v>
      </c>
      <c r="AH2384">
        <v>0</v>
      </c>
      <c r="AI2384" t="s">
        <v>51</v>
      </c>
      <c r="AJ2384" t="s">
        <v>51</v>
      </c>
      <c r="AK2384" t="s">
        <v>51</v>
      </c>
    </row>
    <row r="2385" spans="1:37" x14ac:dyDescent="0.2">
      <c r="A2385">
        <v>58360</v>
      </c>
      <c r="B2385" t="s">
        <v>37</v>
      </c>
      <c r="C2385" t="s">
        <v>38</v>
      </c>
      <c r="D2385" t="s">
        <v>606</v>
      </c>
      <c r="E2385" t="s">
        <v>615</v>
      </c>
      <c r="G2385" s="4">
        <v>43946.029293981481</v>
      </c>
      <c r="H2385" s="4">
        <v>43946.029293981481</v>
      </c>
      <c r="I2385" t="s">
        <v>50</v>
      </c>
      <c r="J2385" s="5">
        <v>0</v>
      </c>
      <c r="K2385" t="s">
        <v>38</v>
      </c>
      <c r="M2385">
        <v>58361</v>
      </c>
      <c r="N2385" t="s">
        <v>615</v>
      </c>
      <c r="O2385" t="s">
        <v>616</v>
      </c>
      <c r="P2385" t="s">
        <v>38</v>
      </c>
      <c r="Q2385" t="s">
        <v>50</v>
      </c>
      <c r="R2385">
        <v>0</v>
      </c>
      <c r="S2385" t="s">
        <v>45</v>
      </c>
      <c r="T2385" t="str" s="2">
        <f>=HYPERLINK("http://demo.enginatics.com:80/ecc/user/applications/log/58360.log","http://demo.enginatics.com:80/ecc/user/applications/log/58360.log")</f>
        <v>"http://demo.enginatics.com:80/ecc/user/applications/log/58360.log")</v>
      </c>
      <c r="U2385">
        <v>58362</v>
      </c>
      <c r="V2385" t="s">
        <v>38</v>
      </c>
      <c r="W2385" t="s">
        <v>50</v>
      </c>
      <c r="X2385">
        <v>0</v>
      </c>
      <c r="Y2385">
        <v>0</v>
      </c>
      <c r="Z2385" t="s">
        <v>46</v>
      </c>
      <c r="AA2385">
        <v>58364</v>
      </c>
      <c r="AB2385" t="s">
        <v>617</v>
      </c>
      <c r="AC2385" t="s">
        <v>48</v>
      </c>
      <c r="AD2385" t="s">
        <v>38</v>
      </c>
      <c r="AE2385" t="s">
        <v>49</v>
      </c>
      <c r="AF2385" t="s">
        <v>50</v>
      </c>
      <c r="AG2385">
        <v>0</v>
      </c>
      <c r="AH2385">
        <v>0</v>
      </c>
      <c r="AI2385" t="s">
        <v>51</v>
      </c>
      <c r="AJ2385" t="s">
        <v>51</v>
      </c>
      <c r="AK2385" t="s">
        <v>51</v>
      </c>
    </row>
    <row r="2386" spans="1:37" x14ac:dyDescent="0.2">
      <c r="A2386">
        <v>58360</v>
      </c>
      <c r="B2386" t="s">
        <v>37</v>
      </c>
      <c r="C2386" t="s">
        <v>38</v>
      </c>
      <c r="D2386" t="s">
        <v>606</v>
      </c>
      <c r="E2386" t="s">
        <v>615</v>
      </c>
      <c r="G2386" s="4">
        <v>43946.029293981481</v>
      </c>
      <c r="H2386" s="4">
        <v>43946.029293981481</v>
      </c>
      <c r="I2386" t="s">
        <v>50</v>
      </c>
      <c r="J2386" s="5">
        <v>0</v>
      </c>
      <c r="K2386" t="s">
        <v>38</v>
      </c>
      <c r="M2386">
        <v>58361</v>
      </c>
      <c r="N2386" t="s">
        <v>615</v>
      </c>
      <c r="O2386" t="s">
        <v>616</v>
      </c>
      <c r="P2386" t="s">
        <v>38</v>
      </c>
      <c r="Q2386" t="s">
        <v>50</v>
      </c>
      <c r="R2386">
        <v>0</v>
      </c>
      <c r="S2386" t="s">
        <v>45</v>
      </c>
      <c r="T2386" t="str" s="2">
        <f>=HYPERLINK("http://demo.enginatics.com:80/ecc/user/applications/log/58360.log","http://demo.enginatics.com:80/ecc/user/applications/log/58360.log")</f>
        <v>"http://demo.enginatics.com:80/ecc/user/applications/log/58360.log")</v>
      </c>
      <c r="U2386">
        <v>58362</v>
      </c>
      <c r="V2386" t="s">
        <v>38</v>
      </c>
      <c r="W2386" t="s">
        <v>50</v>
      </c>
      <c r="X2386">
        <v>0</v>
      </c>
      <c r="Y2386">
        <v>0</v>
      </c>
      <c r="Z2386" t="s">
        <v>46</v>
      </c>
      <c r="AA2386">
        <v>58363</v>
      </c>
      <c r="AB2386" t="s">
        <v>618</v>
      </c>
      <c r="AC2386" t="s">
        <v>56</v>
      </c>
      <c r="AD2386" t="s">
        <v>38</v>
      </c>
      <c r="AE2386" t="s">
        <v>49</v>
      </c>
      <c r="AF2386" t="s">
        <v>50</v>
      </c>
      <c r="AG2386">
        <v>0</v>
      </c>
      <c r="AH2386">
        <v>0</v>
      </c>
      <c r="AI2386" t="s">
        <v>51</v>
      </c>
      <c r="AJ2386" t="s">
        <v>51</v>
      </c>
      <c r="AK2386" t="s">
        <v>51</v>
      </c>
    </row>
    <row r="2387" spans="1:37" x14ac:dyDescent="0.2">
      <c r="A2387">
        <v>58355</v>
      </c>
      <c r="B2387" t="s">
        <v>37</v>
      </c>
      <c r="C2387" t="s">
        <v>38</v>
      </c>
      <c r="D2387" t="s">
        <v>606</v>
      </c>
      <c r="E2387" t="s">
        <v>619</v>
      </c>
      <c r="G2387" s="4">
        <v>43946.029178240741</v>
      </c>
      <c r="H2387" s="4">
        <v>43946.029178240741</v>
      </c>
      <c r="I2387" t="s">
        <v>50</v>
      </c>
      <c r="J2387" s="5">
        <v>0</v>
      </c>
      <c r="K2387" t="s">
        <v>38</v>
      </c>
      <c r="M2387">
        <v>58356</v>
      </c>
      <c r="N2387" t="s">
        <v>619</v>
      </c>
      <c r="O2387" t="s">
        <v>620</v>
      </c>
      <c r="P2387" t="s">
        <v>38</v>
      </c>
      <c r="Q2387" t="s">
        <v>50</v>
      </c>
      <c r="R2387">
        <v>0</v>
      </c>
      <c r="S2387" t="s">
        <v>45</v>
      </c>
      <c r="T2387" t="str" s="2">
        <f>=HYPERLINK("http://demo.enginatics.com:80/ecc/user/applications/log/58355.log","http://demo.enginatics.com:80/ecc/user/applications/log/58355.log")</f>
        <v>"http://demo.enginatics.com:80/ecc/user/applications/log/58355.log")</v>
      </c>
      <c r="U2387">
        <v>58357</v>
      </c>
      <c r="V2387" t="s">
        <v>38</v>
      </c>
      <c r="W2387" t="s">
        <v>50</v>
      </c>
      <c r="X2387">
        <v>0</v>
      </c>
      <c r="Y2387">
        <v>0</v>
      </c>
      <c r="Z2387" t="s">
        <v>46</v>
      </c>
      <c r="AA2387">
        <v>58359</v>
      </c>
      <c r="AB2387" t="s">
        <v>621</v>
      </c>
      <c r="AC2387" t="s">
        <v>48</v>
      </c>
      <c r="AD2387" t="s">
        <v>38</v>
      </c>
      <c r="AE2387" t="s">
        <v>49</v>
      </c>
      <c r="AF2387" t="s">
        <v>50</v>
      </c>
      <c r="AG2387">
        <v>0</v>
      </c>
      <c r="AH2387">
        <v>0</v>
      </c>
      <c r="AI2387" t="s">
        <v>51</v>
      </c>
      <c r="AJ2387" t="s">
        <v>51</v>
      </c>
      <c r="AK2387" t="s">
        <v>51</v>
      </c>
    </row>
    <row r="2388" spans="1:37" x14ac:dyDescent="0.2">
      <c r="A2388">
        <v>58355</v>
      </c>
      <c r="B2388" t="s">
        <v>37</v>
      </c>
      <c r="C2388" t="s">
        <v>38</v>
      </c>
      <c r="D2388" t="s">
        <v>606</v>
      </c>
      <c r="E2388" t="s">
        <v>619</v>
      </c>
      <c r="G2388" s="4">
        <v>43946.029178240741</v>
      </c>
      <c r="H2388" s="4">
        <v>43946.029178240741</v>
      </c>
      <c r="I2388" t="s">
        <v>50</v>
      </c>
      <c r="J2388" s="5">
        <v>0</v>
      </c>
      <c r="K2388" t="s">
        <v>38</v>
      </c>
      <c r="M2388">
        <v>58356</v>
      </c>
      <c r="N2388" t="s">
        <v>619</v>
      </c>
      <c r="O2388" t="s">
        <v>620</v>
      </c>
      <c r="P2388" t="s">
        <v>38</v>
      </c>
      <c r="Q2388" t="s">
        <v>50</v>
      </c>
      <c r="R2388">
        <v>0</v>
      </c>
      <c r="S2388" t="s">
        <v>45</v>
      </c>
      <c r="T2388" t="str" s="2">
        <f>=HYPERLINK("http://demo.enginatics.com:80/ecc/user/applications/log/58355.log","http://demo.enginatics.com:80/ecc/user/applications/log/58355.log")</f>
        <v>"http://demo.enginatics.com:80/ecc/user/applications/log/58355.log")</v>
      </c>
      <c r="U2388">
        <v>58357</v>
      </c>
      <c r="V2388" t="s">
        <v>38</v>
      </c>
      <c r="W2388" t="s">
        <v>50</v>
      </c>
      <c r="X2388">
        <v>0</v>
      </c>
      <c r="Y2388">
        <v>0</v>
      </c>
      <c r="Z2388" t="s">
        <v>46</v>
      </c>
      <c r="AA2388">
        <v>58358</v>
      </c>
      <c r="AB2388" t="s">
        <v>622</v>
      </c>
      <c r="AC2388" t="s">
        <v>56</v>
      </c>
      <c r="AD2388" t="s">
        <v>38</v>
      </c>
      <c r="AE2388" t="s">
        <v>49</v>
      </c>
      <c r="AF2388" t="s">
        <v>50</v>
      </c>
      <c r="AG2388">
        <v>0</v>
      </c>
      <c r="AH2388">
        <v>0</v>
      </c>
      <c r="AI2388" t="s">
        <v>51</v>
      </c>
      <c r="AJ2388" t="s">
        <v>51</v>
      </c>
      <c r="AK2388" t="s">
        <v>51</v>
      </c>
    </row>
    <row r="2389" spans="1:37" x14ac:dyDescent="0.2">
      <c r="A2389">
        <v>58336</v>
      </c>
      <c r="B2389" t="s">
        <v>37</v>
      </c>
      <c r="C2389" t="s">
        <v>38</v>
      </c>
      <c r="D2389" t="s">
        <v>623</v>
      </c>
      <c r="E2389" t="s">
        <v>624</v>
      </c>
      <c r="G2389" s="4">
        <v>43946.024837962963</v>
      </c>
      <c r="H2389" s="4">
        <v>43946.024837962963</v>
      </c>
      <c r="I2389" t="s">
        <v>50</v>
      </c>
      <c r="J2389" s="5">
        <v>0</v>
      </c>
      <c r="K2389" t="s">
        <v>38</v>
      </c>
      <c r="M2389">
        <v>58337</v>
      </c>
      <c r="N2389" t="s">
        <v>624</v>
      </c>
      <c r="O2389" t="s">
        <v>623</v>
      </c>
      <c r="P2389" t="s">
        <v>38</v>
      </c>
      <c r="Q2389" t="s">
        <v>50</v>
      </c>
      <c r="R2389">
        <v>0</v>
      </c>
      <c r="S2389" t="s">
        <v>45</v>
      </c>
      <c r="T2389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89">
        <v>58338</v>
      </c>
      <c r="V2389" t="s">
        <v>38</v>
      </c>
      <c r="W2389" t="s">
        <v>50</v>
      </c>
      <c r="X2389">
        <v>0</v>
      </c>
      <c r="Y2389">
        <v>0</v>
      </c>
      <c r="Z2389" t="s">
        <v>46</v>
      </c>
      <c r="AA2389">
        <v>58354</v>
      </c>
      <c r="AB2389" t="s">
        <v>625</v>
      </c>
      <c r="AC2389" t="s">
        <v>56</v>
      </c>
      <c r="AD2389" t="s">
        <v>38</v>
      </c>
      <c r="AE2389" t="s">
        <v>49</v>
      </c>
      <c r="AF2389" t="s">
        <v>50</v>
      </c>
      <c r="AG2389">
        <v>0</v>
      </c>
      <c r="AH2389">
        <v>0</v>
      </c>
      <c r="AI2389" t="s">
        <v>51</v>
      </c>
      <c r="AJ2389" t="s">
        <v>51</v>
      </c>
      <c r="AK2389" t="s">
        <v>51</v>
      </c>
    </row>
    <row r="2390" spans="1:37" x14ac:dyDescent="0.2">
      <c r="A2390">
        <v>58336</v>
      </c>
      <c r="B2390" t="s">
        <v>37</v>
      </c>
      <c r="C2390" t="s">
        <v>38</v>
      </c>
      <c r="D2390" t="s">
        <v>623</v>
      </c>
      <c r="E2390" t="s">
        <v>624</v>
      </c>
      <c r="G2390" s="4">
        <v>43946.024837962963</v>
      </c>
      <c r="H2390" s="4">
        <v>43946.024837962963</v>
      </c>
      <c r="I2390" t="s">
        <v>50</v>
      </c>
      <c r="J2390" s="5">
        <v>0</v>
      </c>
      <c r="K2390" t="s">
        <v>38</v>
      </c>
      <c r="M2390">
        <v>58337</v>
      </c>
      <c r="N2390" t="s">
        <v>624</v>
      </c>
      <c r="O2390" t="s">
        <v>623</v>
      </c>
      <c r="P2390" t="s">
        <v>38</v>
      </c>
      <c r="Q2390" t="s">
        <v>50</v>
      </c>
      <c r="R2390">
        <v>0</v>
      </c>
      <c r="S2390" t="s">
        <v>45</v>
      </c>
      <c r="T2390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0">
        <v>58338</v>
      </c>
      <c r="V2390" t="s">
        <v>38</v>
      </c>
      <c r="W2390" t="s">
        <v>50</v>
      </c>
      <c r="X2390">
        <v>0</v>
      </c>
      <c r="Y2390">
        <v>0</v>
      </c>
      <c r="Z2390" t="s">
        <v>46</v>
      </c>
      <c r="AA2390">
        <v>58353</v>
      </c>
      <c r="AB2390" t="s">
        <v>626</v>
      </c>
      <c r="AC2390" t="s">
        <v>56</v>
      </c>
      <c r="AD2390" t="s">
        <v>38</v>
      </c>
      <c r="AE2390" t="s">
        <v>49</v>
      </c>
      <c r="AF2390" t="s">
        <v>50</v>
      </c>
      <c r="AG2390">
        <v>0</v>
      </c>
      <c r="AH2390">
        <v>0</v>
      </c>
      <c r="AI2390" t="s">
        <v>51</v>
      </c>
      <c r="AJ2390" t="s">
        <v>51</v>
      </c>
      <c r="AK2390" t="s">
        <v>51</v>
      </c>
    </row>
    <row r="2391" spans="1:37" x14ac:dyDescent="0.2">
      <c r="A2391">
        <v>58336</v>
      </c>
      <c r="B2391" t="s">
        <v>37</v>
      </c>
      <c r="C2391" t="s">
        <v>38</v>
      </c>
      <c r="D2391" t="s">
        <v>623</v>
      </c>
      <c r="E2391" t="s">
        <v>624</v>
      </c>
      <c r="G2391" s="4">
        <v>43946.024837962963</v>
      </c>
      <c r="H2391" s="4">
        <v>43946.024837962963</v>
      </c>
      <c r="I2391" t="s">
        <v>50</v>
      </c>
      <c r="J2391" s="5">
        <v>0</v>
      </c>
      <c r="K2391" t="s">
        <v>38</v>
      </c>
      <c r="M2391">
        <v>58337</v>
      </c>
      <c r="N2391" t="s">
        <v>624</v>
      </c>
      <c r="O2391" t="s">
        <v>623</v>
      </c>
      <c r="P2391" t="s">
        <v>38</v>
      </c>
      <c r="Q2391" t="s">
        <v>50</v>
      </c>
      <c r="R2391">
        <v>0</v>
      </c>
      <c r="S2391" t="s">
        <v>45</v>
      </c>
      <c r="T2391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1">
        <v>58338</v>
      </c>
      <c r="V2391" t="s">
        <v>38</v>
      </c>
      <c r="W2391" t="s">
        <v>50</v>
      </c>
      <c r="X2391">
        <v>0</v>
      </c>
      <c r="Y2391">
        <v>0</v>
      </c>
      <c r="Z2391" t="s">
        <v>46</v>
      </c>
      <c r="AA2391">
        <v>58352</v>
      </c>
      <c r="AB2391" t="s">
        <v>627</v>
      </c>
      <c r="AC2391" t="s">
        <v>56</v>
      </c>
      <c r="AD2391" t="s">
        <v>38</v>
      </c>
      <c r="AE2391" t="s">
        <v>49</v>
      </c>
      <c r="AF2391" t="s">
        <v>50</v>
      </c>
      <c r="AG2391">
        <v>0</v>
      </c>
      <c r="AH2391">
        <v>0</v>
      </c>
      <c r="AI2391" t="s">
        <v>51</v>
      </c>
      <c r="AJ2391" t="s">
        <v>51</v>
      </c>
      <c r="AK2391" t="s">
        <v>51</v>
      </c>
    </row>
    <row r="2392" spans="1:37" x14ac:dyDescent="0.2">
      <c r="A2392">
        <v>58336</v>
      </c>
      <c r="B2392" t="s">
        <v>37</v>
      </c>
      <c r="C2392" t="s">
        <v>38</v>
      </c>
      <c r="D2392" t="s">
        <v>623</v>
      </c>
      <c r="E2392" t="s">
        <v>624</v>
      </c>
      <c r="G2392" s="4">
        <v>43946.024837962963</v>
      </c>
      <c r="H2392" s="4">
        <v>43946.024837962963</v>
      </c>
      <c r="I2392" t="s">
        <v>50</v>
      </c>
      <c r="J2392" s="5">
        <v>0</v>
      </c>
      <c r="K2392" t="s">
        <v>38</v>
      </c>
      <c r="M2392">
        <v>58337</v>
      </c>
      <c r="N2392" t="s">
        <v>624</v>
      </c>
      <c r="O2392" t="s">
        <v>623</v>
      </c>
      <c r="P2392" t="s">
        <v>38</v>
      </c>
      <c r="Q2392" t="s">
        <v>50</v>
      </c>
      <c r="R2392">
        <v>0</v>
      </c>
      <c r="S2392" t="s">
        <v>45</v>
      </c>
      <c r="T2392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2">
        <v>58338</v>
      </c>
      <c r="V2392" t="s">
        <v>38</v>
      </c>
      <c r="W2392" t="s">
        <v>50</v>
      </c>
      <c r="X2392">
        <v>0</v>
      </c>
      <c r="Y2392">
        <v>0</v>
      </c>
      <c r="Z2392" t="s">
        <v>46</v>
      </c>
      <c r="AA2392">
        <v>58351</v>
      </c>
      <c r="AB2392" t="s">
        <v>628</v>
      </c>
      <c r="AC2392" t="s">
        <v>56</v>
      </c>
      <c r="AD2392" t="s">
        <v>38</v>
      </c>
      <c r="AE2392" t="s">
        <v>49</v>
      </c>
      <c r="AF2392" t="s">
        <v>50</v>
      </c>
      <c r="AG2392">
        <v>0</v>
      </c>
      <c r="AH2392">
        <v>0</v>
      </c>
      <c r="AI2392" t="s">
        <v>51</v>
      </c>
      <c r="AJ2392" t="s">
        <v>51</v>
      </c>
      <c r="AK2392" t="s">
        <v>51</v>
      </c>
    </row>
    <row r="2393" spans="1:37" x14ac:dyDescent="0.2">
      <c r="A2393">
        <v>58336</v>
      </c>
      <c r="B2393" t="s">
        <v>37</v>
      </c>
      <c r="C2393" t="s">
        <v>38</v>
      </c>
      <c r="D2393" t="s">
        <v>623</v>
      </c>
      <c r="E2393" t="s">
        <v>624</v>
      </c>
      <c r="G2393" s="4">
        <v>43946.024837962963</v>
      </c>
      <c r="H2393" s="4">
        <v>43946.024837962963</v>
      </c>
      <c r="I2393" t="s">
        <v>50</v>
      </c>
      <c r="J2393" s="5">
        <v>0</v>
      </c>
      <c r="K2393" t="s">
        <v>38</v>
      </c>
      <c r="M2393">
        <v>58337</v>
      </c>
      <c r="N2393" t="s">
        <v>624</v>
      </c>
      <c r="O2393" t="s">
        <v>623</v>
      </c>
      <c r="P2393" t="s">
        <v>38</v>
      </c>
      <c r="Q2393" t="s">
        <v>50</v>
      </c>
      <c r="R2393">
        <v>0</v>
      </c>
      <c r="S2393" t="s">
        <v>45</v>
      </c>
      <c r="T2393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3">
        <v>58338</v>
      </c>
      <c r="V2393" t="s">
        <v>38</v>
      </c>
      <c r="W2393" t="s">
        <v>50</v>
      </c>
      <c r="X2393">
        <v>0</v>
      </c>
      <c r="Y2393">
        <v>0</v>
      </c>
      <c r="Z2393" t="s">
        <v>46</v>
      </c>
      <c r="AA2393">
        <v>58350</v>
      </c>
      <c r="AB2393" t="s">
        <v>629</v>
      </c>
      <c r="AC2393" t="s">
        <v>56</v>
      </c>
      <c r="AD2393" t="s">
        <v>38</v>
      </c>
      <c r="AE2393" t="s">
        <v>49</v>
      </c>
      <c r="AF2393" t="s">
        <v>50</v>
      </c>
      <c r="AG2393">
        <v>0</v>
      </c>
      <c r="AH2393">
        <v>0</v>
      </c>
      <c r="AI2393" t="s">
        <v>51</v>
      </c>
      <c r="AJ2393" t="s">
        <v>51</v>
      </c>
      <c r="AK2393" t="s">
        <v>51</v>
      </c>
    </row>
    <row r="2394" spans="1:37" x14ac:dyDescent="0.2">
      <c r="A2394">
        <v>58336</v>
      </c>
      <c r="B2394" t="s">
        <v>37</v>
      </c>
      <c r="C2394" t="s">
        <v>38</v>
      </c>
      <c r="D2394" t="s">
        <v>623</v>
      </c>
      <c r="E2394" t="s">
        <v>624</v>
      </c>
      <c r="G2394" s="4">
        <v>43946.024837962963</v>
      </c>
      <c r="H2394" s="4">
        <v>43946.024837962963</v>
      </c>
      <c r="I2394" t="s">
        <v>50</v>
      </c>
      <c r="J2394" s="5">
        <v>0</v>
      </c>
      <c r="K2394" t="s">
        <v>38</v>
      </c>
      <c r="M2394">
        <v>58337</v>
      </c>
      <c r="N2394" t="s">
        <v>624</v>
      </c>
      <c r="O2394" t="s">
        <v>623</v>
      </c>
      <c r="P2394" t="s">
        <v>38</v>
      </c>
      <c r="Q2394" t="s">
        <v>50</v>
      </c>
      <c r="R2394">
        <v>0</v>
      </c>
      <c r="S2394" t="s">
        <v>45</v>
      </c>
      <c r="T2394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4">
        <v>58338</v>
      </c>
      <c r="V2394" t="s">
        <v>38</v>
      </c>
      <c r="W2394" t="s">
        <v>50</v>
      </c>
      <c r="X2394">
        <v>0</v>
      </c>
      <c r="Y2394">
        <v>0</v>
      </c>
      <c r="Z2394" t="s">
        <v>46</v>
      </c>
      <c r="AA2394">
        <v>58349</v>
      </c>
      <c r="AB2394" t="s">
        <v>630</v>
      </c>
      <c r="AC2394" t="s">
        <v>56</v>
      </c>
      <c r="AD2394" t="s">
        <v>38</v>
      </c>
      <c r="AE2394" t="s">
        <v>49</v>
      </c>
      <c r="AF2394" t="s">
        <v>50</v>
      </c>
      <c r="AG2394">
        <v>0</v>
      </c>
      <c r="AH2394">
        <v>0</v>
      </c>
      <c r="AI2394" t="s">
        <v>51</v>
      </c>
      <c r="AJ2394" t="s">
        <v>51</v>
      </c>
      <c r="AK2394" t="s">
        <v>51</v>
      </c>
    </row>
    <row r="2395" spans="1:37" x14ac:dyDescent="0.2">
      <c r="A2395">
        <v>58336</v>
      </c>
      <c r="B2395" t="s">
        <v>37</v>
      </c>
      <c r="C2395" t="s">
        <v>38</v>
      </c>
      <c r="D2395" t="s">
        <v>623</v>
      </c>
      <c r="E2395" t="s">
        <v>624</v>
      </c>
      <c r="G2395" s="4">
        <v>43946.024837962963</v>
      </c>
      <c r="H2395" s="4">
        <v>43946.024837962963</v>
      </c>
      <c r="I2395" t="s">
        <v>50</v>
      </c>
      <c r="J2395" s="5">
        <v>0</v>
      </c>
      <c r="K2395" t="s">
        <v>38</v>
      </c>
      <c r="M2395">
        <v>58337</v>
      </c>
      <c r="N2395" t="s">
        <v>624</v>
      </c>
      <c r="O2395" t="s">
        <v>623</v>
      </c>
      <c r="P2395" t="s">
        <v>38</v>
      </c>
      <c r="Q2395" t="s">
        <v>50</v>
      </c>
      <c r="R2395">
        <v>0</v>
      </c>
      <c r="S2395" t="s">
        <v>45</v>
      </c>
      <c r="T2395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5">
        <v>58338</v>
      </c>
      <c r="V2395" t="s">
        <v>38</v>
      </c>
      <c r="W2395" t="s">
        <v>50</v>
      </c>
      <c r="X2395">
        <v>0</v>
      </c>
      <c r="Y2395">
        <v>0</v>
      </c>
      <c r="Z2395" t="s">
        <v>46</v>
      </c>
      <c r="AA2395">
        <v>58348</v>
      </c>
      <c r="AB2395" t="s">
        <v>631</v>
      </c>
      <c r="AC2395" t="s">
        <v>56</v>
      </c>
      <c r="AD2395" t="s">
        <v>38</v>
      </c>
      <c r="AE2395" t="s">
        <v>49</v>
      </c>
      <c r="AF2395" t="s">
        <v>50</v>
      </c>
      <c r="AG2395">
        <v>0</v>
      </c>
      <c r="AH2395">
        <v>0</v>
      </c>
      <c r="AI2395" t="s">
        <v>51</v>
      </c>
      <c r="AJ2395" t="s">
        <v>51</v>
      </c>
      <c r="AK2395" t="s">
        <v>51</v>
      </c>
    </row>
    <row r="2396" spans="1:37" x14ac:dyDescent="0.2">
      <c r="A2396">
        <v>58336</v>
      </c>
      <c r="B2396" t="s">
        <v>37</v>
      </c>
      <c r="C2396" t="s">
        <v>38</v>
      </c>
      <c r="D2396" t="s">
        <v>623</v>
      </c>
      <c r="E2396" t="s">
        <v>624</v>
      </c>
      <c r="G2396" s="4">
        <v>43946.024837962963</v>
      </c>
      <c r="H2396" s="4">
        <v>43946.024837962963</v>
      </c>
      <c r="I2396" t="s">
        <v>50</v>
      </c>
      <c r="J2396" s="5">
        <v>0</v>
      </c>
      <c r="K2396" t="s">
        <v>38</v>
      </c>
      <c r="M2396">
        <v>58337</v>
      </c>
      <c r="N2396" t="s">
        <v>624</v>
      </c>
      <c r="O2396" t="s">
        <v>623</v>
      </c>
      <c r="P2396" t="s">
        <v>38</v>
      </c>
      <c r="Q2396" t="s">
        <v>50</v>
      </c>
      <c r="R2396">
        <v>0</v>
      </c>
      <c r="S2396" t="s">
        <v>45</v>
      </c>
      <c r="T2396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6">
        <v>58338</v>
      </c>
      <c r="V2396" t="s">
        <v>38</v>
      </c>
      <c r="W2396" t="s">
        <v>50</v>
      </c>
      <c r="X2396">
        <v>0</v>
      </c>
      <c r="Y2396">
        <v>0</v>
      </c>
      <c r="Z2396" t="s">
        <v>46</v>
      </c>
      <c r="AA2396">
        <v>58347</v>
      </c>
      <c r="AB2396" t="s">
        <v>632</v>
      </c>
      <c r="AC2396" t="s">
        <v>56</v>
      </c>
      <c r="AD2396" t="s">
        <v>38</v>
      </c>
      <c r="AE2396" t="s">
        <v>49</v>
      </c>
      <c r="AF2396" t="s">
        <v>50</v>
      </c>
      <c r="AG2396">
        <v>0</v>
      </c>
      <c r="AH2396">
        <v>0</v>
      </c>
      <c r="AI2396" t="s">
        <v>51</v>
      </c>
      <c r="AJ2396" t="s">
        <v>51</v>
      </c>
      <c r="AK2396" t="s">
        <v>51</v>
      </c>
    </row>
    <row r="2397" spans="1:37" x14ac:dyDescent="0.2">
      <c r="A2397">
        <v>58336</v>
      </c>
      <c r="B2397" t="s">
        <v>37</v>
      </c>
      <c r="C2397" t="s">
        <v>38</v>
      </c>
      <c r="D2397" t="s">
        <v>623</v>
      </c>
      <c r="E2397" t="s">
        <v>624</v>
      </c>
      <c r="G2397" s="4">
        <v>43946.024837962963</v>
      </c>
      <c r="H2397" s="4">
        <v>43946.024837962963</v>
      </c>
      <c r="I2397" t="s">
        <v>50</v>
      </c>
      <c r="J2397" s="5">
        <v>0</v>
      </c>
      <c r="K2397" t="s">
        <v>38</v>
      </c>
      <c r="M2397">
        <v>58337</v>
      </c>
      <c r="N2397" t="s">
        <v>624</v>
      </c>
      <c r="O2397" t="s">
        <v>623</v>
      </c>
      <c r="P2397" t="s">
        <v>38</v>
      </c>
      <c r="Q2397" t="s">
        <v>50</v>
      </c>
      <c r="R2397">
        <v>0</v>
      </c>
      <c r="S2397" t="s">
        <v>45</v>
      </c>
      <c r="T2397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7">
        <v>58338</v>
      </c>
      <c r="V2397" t="s">
        <v>38</v>
      </c>
      <c r="W2397" t="s">
        <v>50</v>
      </c>
      <c r="X2397">
        <v>0</v>
      </c>
      <c r="Y2397">
        <v>0</v>
      </c>
      <c r="Z2397" t="s">
        <v>46</v>
      </c>
      <c r="AA2397">
        <v>58346</v>
      </c>
      <c r="AB2397" t="s">
        <v>1949</v>
      </c>
      <c r="AC2397" t="s">
        <v>103</v>
      </c>
      <c r="AD2397" t="s">
        <v>38</v>
      </c>
      <c r="AE2397" t="s">
        <v>49</v>
      </c>
      <c r="AF2397" t="s">
        <v>50</v>
      </c>
      <c r="AG2397">
        <v>0</v>
      </c>
      <c r="AH2397">
        <v>0</v>
      </c>
      <c r="AI2397" t="s">
        <v>51</v>
      </c>
      <c r="AJ2397" t="s">
        <v>51</v>
      </c>
      <c r="AK2397" t="s">
        <v>51</v>
      </c>
    </row>
    <row r="2398" spans="1:37" x14ac:dyDescent="0.2">
      <c r="A2398">
        <v>58336</v>
      </c>
      <c r="B2398" t="s">
        <v>37</v>
      </c>
      <c r="C2398" t="s">
        <v>38</v>
      </c>
      <c r="D2398" t="s">
        <v>623</v>
      </c>
      <c r="E2398" t="s">
        <v>624</v>
      </c>
      <c r="G2398" s="4">
        <v>43946.024837962963</v>
      </c>
      <c r="H2398" s="4">
        <v>43946.024837962963</v>
      </c>
      <c r="I2398" t="s">
        <v>50</v>
      </c>
      <c r="J2398" s="5">
        <v>0</v>
      </c>
      <c r="K2398" t="s">
        <v>38</v>
      </c>
      <c r="M2398">
        <v>58337</v>
      </c>
      <c r="N2398" t="s">
        <v>624</v>
      </c>
      <c r="O2398" t="s">
        <v>623</v>
      </c>
      <c r="P2398" t="s">
        <v>38</v>
      </c>
      <c r="Q2398" t="s">
        <v>50</v>
      </c>
      <c r="R2398">
        <v>0</v>
      </c>
      <c r="S2398" t="s">
        <v>45</v>
      </c>
      <c r="T2398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8">
        <v>58338</v>
      </c>
      <c r="V2398" t="s">
        <v>38</v>
      </c>
      <c r="W2398" t="s">
        <v>50</v>
      </c>
      <c r="X2398">
        <v>0</v>
      </c>
      <c r="Y2398">
        <v>0</v>
      </c>
      <c r="Z2398" t="s">
        <v>46</v>
      </c>
      <c r="AA2398">
        <v>58345</v>
      </c>
      <c r="AB2398" t="s">
        <v>1950</v>
      </c>
      <c r="AC2398" t="s">
        <v>103</v>
      </c>
      <c r="AD2398" t="s">
        <v>38</v>
      </c>
      <c r="AE2398" t="s">
        <v>49</v>
      </c>
      <c r="AF2398" t="s">
        <v>50</v>
      </c>
      <c r="AG2398">
        <v>0</v>
      </c>
      <c r="AH2398">
        <v>0</v>
      </c>
      <c r="AI2398" t="s">
        <v>51</v>
      </c>
      <c r="AJ2398" t="s">
        <v>51</v>
      </c>
      <c r="AK2398" t="s">
        <v>51</v>
      </c>
    </row>
    <row r="2399" spans="1:37" x14ac:dyDescent="0.2">
      <c r="A2399">
        <v>58336</v>
      </c>
      <c r="B2399" t="s">
        <v>37</v>
      </c>
      <c r="C2399" t="s">
        <v>38</v>
      </c>
      <c r="D2399" t="s">
        <v>623</v>
      </c>
      <c r="E2399" t="s">
        <v>624</v>
      </c>
      <c r="G2399" s="4">
        <v>43946.024837962963</v>
      </c>
      <c r="H2399" s="4">
        <v>43946.024837962963</v>
      </c>
      <c r="I2399" t="s">
        <v>50</v>
      </c>
      <c r="J2399" s="5">
        <v>0</v>
      </c>
      <c r="K2399" t="s">
        <v>38</v>
      </c>
      <c r="M2399">
        <v>58337</v>
      </c>
      <c r="N2399" t="s">
        <v>624</v>
      </c>
      <c r="O2399" t="s">
        <v>623</v>
      </c>
      <c r="P2399" t="s">
        <v>38</v>
      </c>
      <c r="Q2399" t="s">
        <v>50</v>
      </c>
      <c r="R2399">
        <v>0</v>
      </c>
      <c r="S2399" t="s">
        <v>45</v>
      </c>
      <c r="T2399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399">
        <v>58338</v>
      </c>
      <c r="V2399" t="s">
        <v>38</v>
      </c>
      <c r="W2399" t="s">
        <v>50</v>
      </c>
      <c r="X2399">
        <v>0</v>
      </c>
      <c r="Y2399">
        <v>0</v>
      </c>
      <c r="Z2399" t="s">
        <v>46</v>
      </c>
      <c r="AA2399">
        <v>58344</v>
      </c>
      <c r="AB2399" t="s">
        <v>1951</v>
      </c>
      <c r="AC2399" t="s">
        <v>103</v>
      </c>
      <c r="AD2399" t="s">
        <v>38</v>
      </c>
      <c r="AE2399" t="s">
        <v>49</v>
      </c>
      <c r="AF2399" t="s">
        <v>50</v>
      </c>
      <c r="AG2399">
        <v>0</v>
      </c>
      <c r="AH2399">
        <v>0</v>
      </c>
      <c r="AI2399" t="s">
        <v>51</v>
      </c>
      <c r="AJ2399" t="s">
        <v>51</v>
      </c>
      <c r="AK2399" t="s">
        <v>51</v>
      </c>
    </row>
    <row r="2400" spans="1:37" x14ac:dyDescent="0.2">
      <c r="A2400">
        <v>58336</v>
      </c>
      <c r="B2400" t="s">
        <v>37</v>
      </c>
      <c r="C2400" t="s">
        <v>38</v>
      </c>
      <c r="D2400" t="s">
        <v>623</v>
      </c>
      <c r="E2400" t="s">
        <v>624</v>
      </c>
      <c r="G2400" s="4">
        <v>43946.024837962963</v>
      </c>
      <c r="H2400" s="4">
        <v>43946.024837962963</v>
      </c>
      <c r="I2400" t="s">
        <v>50</v>
      </c>
      <c r="J2400" s="5">
        <v>0</v>
      </c>
      <c r="K2400" t="s">
        <v>38</v>
      </c>
      <c r="M2400">
        <v>58337</v>
      </c>
      <c r="N2400" t="s">
        <v>624</v>
      </c>
      <c r="O2400" t="s">
        <v>623</v>
      </c>
      <c r="P2400" t="s">
        <v>38</v>
      </c>
      <c r="Q2400" t="s">
        <v>50</v>
      </c>
      <c r="R2400">
        <v>0</v>
      </c>
      <c r="S2400" t="s">
        <v>45</v>
      </c>
      <c r="T2400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400">
        <v>58338</v>
      </c>
      <c r="V2400" t="s">
        <v>38</v>
      </c>
      <c r="W2400" t="s">
        <v>50</v>
      </c>
      <c r="X2400">
        <v>0</v>
      </c>
      <c r="Y2400">
        <v>0</v>
      </c>
      <c r="Z2400" t="s">
        <v>46</v>
      </c>
      <c r="AA2400">
        <v>58343</v>
      </c>
      <c r="AB2400" t="s">
        <v>1952</v>
      </c>
      <c r="AC2400" t="s">
        <v>103</v>
      </c>
      <c r="AD2400" t="s">
        <v>38</v>
      </c>
      <c r="AE2400" t="s">
        <v>49</v>
      </c>
      <c r="AF2400" t="s">
        <v>50</v>
      </c>
      <c r="AG2400">
        <v>0</v>
      </c>
      <c r="AH2400">
        <v>0</v>
      </c>
      <c r="AI2400" t="s">
        <v>51</v>
      </c>
      <c r="AJ2400" t="s">
        <v>51</v>
      </c>
      <c r="AK2400" t="s">
        <v>51</v>
      </c>
    </row>
    <row r="2401" spans="1:37" x14ac:dyDescent="0.2">
      <c r="A2401">
        <v>58336</v>
      </c>
      <c r="B2401" t="s">
        <v>37</v>
      </c>
      <c r="C2401" t="s">
        <v>38</v>
      </c>
      <c r="D2401" t="s">
        <v>623</v>
      </c>
      <c r="E2401" t="s">
        <v>624</v>
      </c>
      <c r="G2401" s="4">
        <v>43946.024837962963</v>
      </c>
      <c r="H2401" s="4">
        <v>43946.024837962963</v>
      </c>
      <c r="I2401" t="s">
        <v>50</v>
      </c>
      <c r="J2401" s="5">
        <v>0</v>
      </c>
      <c r="K2401" t="s">
        <v>38</v>
      </c>
      <c r="M2401">
        <v>58337</v>
      </c>
      <c r="N2401" t="s">
        <v>624</v>
      </c>
      <c r="O2401" t="s">
        <v>623</v>
      </c>
      <c r="P2401" t="s">
        <v>38</v>
      </c>
      <c r="Q2401" t="s">
        <v>50</v>
      </c>
      <c r="R2401">
        <v>0</v>
      </c>
      <c r="S2401" t="s">
        <v>45</v>
      </c>
      <c r="T2401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401">
        <v>58338</v>
      </c>
      <c r="V2401" t="s">
        <v>38</v>
      </c>
      <c r="W2401" t="s">
        <v>50</v>
      </c>
      <c r="X2401">
        <v>0</v>
      </c>
      <c r="Y2401">
        <v>0</v>
      </c>
      <c r="Z2401" t="s">
        <v>46</v>
      </c>
      <c r="AA2401">
        <v>58342</v>
      </c>
      <c r="AB2401" t="s">
        <v>1953</v>
      </c>
      <c r="AC2401" t="s">
        <v>103</v>
      </c>
      <c r="AD2401" t="s">
        <v>38</v>
      </c>
      <c r="AE2401" t="s">
        <v>49</v>
      </c>
      <c r="AF2401" t="s">
        <v>50</v>
      </c>
      <c r="AG2401">
        <v>0</v>
      </c>
      <c r="AH2401">
        <v>0</v>
      </c>
      <c r="AI2401" t="s">
        <v>51</v>
      </c>
      <c r="AJ2401" t="s">
        <v>51</v>
      </c>
      <c r="AK2401" t="s">
        <v>51</v>
      </c>
    </row>
    <row r="2402" spans="1:37" x14ac:dyDescent="0.2">
      <c r="A2402">
        <v>58336</v>
      </c>
      <c r="B2402" t="s">
        <v>37</v>
      </c>
      <c r="C2402" t="s">
        <v>38</v>
      </c>
      <c r="D2402" t="s">
        <v>623</v>
      </c>
      <c r="E2402" t="s">
        <v>624</v>
      </c>
      <c r="G2402" s="4">
        <v>43946.024837962963</v>
      </c>
      <c r="H2402" s="4">
        <v>43946.024837962963</v>
      </c>
      <c r="I2402" t="s">
        <v>50</v>
      </c>
      <c r="J2402" s="5">
        <v>0</v>
      </c>
      <c r="K2402" t="s">
        <v>38</v>
      </c>
      <c r="M2402">
        <v>58337</v>
      </c>
      <c r="N2402" t="s">
        <v>624</v>
      </c>
      <c r="O2402" t="s">
        <v>623</v>
      </c>
      <c r="P2402" t="s">
        <v>38</v>
      </c>
      <c r="Q2402" t="s">
        <v>50</v>
      </c>
      <c r="R2402">
        <v>0</v>
      </c>
      <c r="S2402" t="s">
        <v>45</v>
      </c>
      <c r="T2402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402">
        <v>58338</v>
      </c>
      <c r="V2402" t="s">
        <v>38</v>
      </c>
      <c r="W2402" t="s">
        <v>50</v>
      </c>
      <c r="X2402">
        <v>0</v>
      </c>
      <c r="Y2402">
        <v>0</v>
      </c>
      <c r="Z2402" t="s">
        <v>46</v>
      </c>
      <c r="AA2402">
        <v>58341</v>
      </c>
      <c r="AB2402" t="s">
        <v>1954</v>
      </c>
      <c r="AC2402" t="s">
        <v>103</v>
      </c>
      <c r="AD2402" t="s">
        <v>38</v>
      </c>
      <c r="AE2402" t="s">
        <v>49</v>
      </c>
      <c r="AF2402" t="s">
        <v>50</v>
      </c>
      <c r="AG2402">
        <v>0</v>
      </c>
      <c r="AH2402">
        <v>0</v>
      </c>
      <c r="AI2402" t="s">
        <v>51</v>
      </c>
      <c r="AJ2402" t="s">
        <v>51</v>
      </c>
      <c r="AK2402" t="s">
        <v>51</v>
      </c>
    </row>
    <row r="2403" spans="1:37" x14ac:dyDescent="0.2">
      <c r="A2403">
        <v>58336</v>
      </c>
      <c r="B2403" t="s">
        <v>37</v>
      </c>
      <c r="C2403" t="s">
        <v>38</v>
      </c>
      <c r="D2403" t="s">
        <v>623</v>
      </c>
      <c r="E2403" t="s">
        <v>624</v>
      </c>
      <c r="G2403" s="4">
        <v>43946.024837962963</v>
      </c>
      <c r="H2403" s="4">
        <v>43946.024837962963</v>
      </c>
      <c r="I2403" t="s">
        <v>50</v>
      </c>
      <c r="J2403" s="5">
        <v>0</v>
      </c>
      <c r="K2403" t="s">
        <v>38</v>
      </c>
      <c r="M2403">
        <v>58337</v>
      </c>
      <c r="N2403" t="s">
        <v>624</v>
      </c>
      <c r="O2403" t="s">
        <v>623</v>
      </c>
      <c r="P2403" t="s">
        <v>38</v>
      </c>
      <c r="Q2403" t="s">
        <v>50</v>
      </c>
      <c r="R2403">
        <v>0</v>
      </c>
      <c r="S2403" t="s">
        <v>45</v>
      </c>
      <c r="T2403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403">
        <v>58338</v>
      </c>
      <c r="V2403" t="s">
        <v>38</v>
      </c>
      <c r="W2403" t="s">
        <v>50</v>
      </c>
      <c r="X2403">
        <v>0</v>
      </c>
      <c r="Y2403">
        <v>0</v>
      </c>
      <c r="Z2403" t="s">
        <v>46</v>
      </c>
      <c r="AA2403">
        <v>58340</v>
      </c>
      <c r="AB2403" t="s">
        <v>1955</v>
      </c>
      <c r="AC2403" t="s">
        <v>103</v>
      </c>
      <c r="AD2403" t="s">
        <v>38</v>
      </c>
      <c r="AE2403" t="s">
        <v>49</v>
      </c>
      <c r="AF2403" t="s">
        <v>50</v>
      </c>
      <c r="AG2403">
        <v>0</v>
      </c>
      <c r="AH2403">
        <v>0</v>
      </c>
      <c r="AI2403" t="s">
        <v>51</v>
      </c>
      <c r="AJ2403" t="s">
        <v>51</v>
      </c>
      <c r="AK2403" t="s">
        <v>51</v>
      </c>
    </row>
    <row r="2404" spans="1:37" x14ac:dyDescent="0.2">
      <c r="A2404">
        <v>58336</v>
      </c>
      <c r="B2404" t="s">
        <v>37</v>
      </c>
      <c r="C2404" t="s">
        <v>38</v>
      </c>
      <c r="D2404" t="s">
        <v>623</v>
      </c>
      <c r="E2404" t="s">
        <v>624</v>
      </c>
      <c r="G2404" s="4">
        <v>43946.024837962963</v>
      </c>
      <c r="H2404" s="4">
        <v>43946.024837962963</v>
      </c>
      <c r="I2404" t="s">
        <v>50</v>
      </c>
      <c r="J2404" s="5">
        <v>0</v>
      </c>
      <c r="K2404" t="s">
        <v>38</v>
      </c>
      <c r="M2404">
        <v>58337</v>
      </c>
      <c r="N2404" t="s">
        <v>624</v>
      </c>
      <c r="O2404" t="s">
        <v>623</v>
      </c>
      <c r="P2404" t="s">
        <v>38</v>
      </c>
      <c r="Q2404" t="s">
        <v>50</v>
      </c>
      <c r="R2404">
        <v>0</v>
      </c>
      <c r="S2404" t="s">
        <v>45</v>
      </c>
      <c r="T2404" t="str" s="2">
        <f>=HYPERLINK("http://demo.enginatics.com:80/ecc/user/applications/log/58336.log","http://demo.enginatics.com:80/ecc/user/applications/log/58336.log")</f>
        <v>"http://demo.enginatics.com:80/ecc/user/applications/log/58336.log")</v>
      </c>
      <c r="U2404">
        <v>58338</v>
      </c>
      <c r="V2404" t="s">
        <v>38</v>
      </c>
      <c r="W2404" t="s">
        <v>50</v>
      </c>
      <c r="X2404">
        <v>0</v>
      </c>
      <c r="Y2404">
        <v>0</v>
      </c>
      <c r="Z2404" t="s">
        <v>46</v>
      </c>
      <c r="AA2404">
        <v>58339</v>
      </c>
      <c r="AB2404" t="s">
        <v>1956</v>
      </c>
      <c r="AC2404" t="s">
        <v>103</v>
      </c>
      <c r="AD2404" t="s">
        <v>38</v>
      </c>
      <c r="AE2404" t="s">
        <v>49</v>
      </c>
      <c r="AF2404" t="s">
        <v>50</v>
      </c>
      <c r="AG2404">
        <v>0</v>
      </c>
      <c r="AH2404">
        <v>0</v>
      </c>
      <c r="AI2404" t="s">
        <v>51</v>
      </c>
      <c r="AJ2404" t="s">
        <v>51</v>
      </c>
      <c r="AK2404" t="s">
        <v>51</v>
      </c>
    </row>
    <row r="2405" spans="1:37" x14ac:dyDescent="0.2">
      <c r="A2405">
        <v>58326</v>
      </c>
      <c r="B2405" t="s">
        <v>37</v>
      </c>
      <c r="C2405" t="s">
        <v>38</v>
      </c>
      <c r="D2405" t="s">
        <v>641</v>
      </c>
      <c r="E2405" t="s">
        <v>40</v>
      </c>
      <c r="G2405" s="4">
        <v>43946.021724537037</v>
      </c>
      <c r="H2405" s="4">
        <v>43946.021736111111</v>
      </c>
      <c r="I2405" t="s">
        <v>50</v>
      </c>
      <c r="J2405" s="5">
        <v>.9999999999999999999999999999999999999996</v>
      </c>
      <c r="K2405" t="s">
        <v>38</v>
      </c>
      <c r="M2405">
        <v>58333</v>
      </c>
      <c r="N2405" t="s">
        <v>642</v>
      </c>
      <c r="O2405" t="s">
        <v>643</v>
      </c>
      <c r="P2405" t="s">
        <v>38</v>
      </c>
      <c r="Q2405" t="s">
        <v>50</v>
      </c>
      <c r="R2405">
        <v>0</v>
      </c>
      <c r="S2405" t="s">
        <v>45</v>
      </c>
      <c r="T2405" t="str" s="2">
        <f>=HYPERLINK("http://demo.enginatics.com:80/ecc/user/applications/log/58326.log","http://demo.enginatics.com:80/ecc/user/applications/log/58326.log")</f>
        <v>"http://demo.enginatics.com:80/ecc/user/applications/log/58326.log")</v>
      </c>
      <c r="U2405">
        <v>58334</v>
      </c>
      <c r="V2405" t="s">
        <v>38</v>
      </c>
      <c r="W2405" t="s">
        <v>50</v>
      </c>
      <c r="X2405">
        <v>0</v>
      </c>
      <c r="Y2405">
        <v>0</v>
      </c>
      <c r="Z2405" t="s">
        <v>46</v>
      </c>
      <c r="AA2405">
        <v>58335</v>
      </c>
      <c r="AB2405" t="s">
        <v>1957</v>
      </c>
      <c r="AC2405" t="s">
        <v>68</v>
      </c>
      <c r="AD2405" t="s">
        <v>38</v>
      </c>
      <c r="AE2405" t="s">
        <v>49</v>
      </c>
      <c r="AF2405" t="s">
        <v>50</v>
      </c>
      <c r="AG2405">
        <v>0</v>
      </c>
      <c r="AH2405">
        <v>0</v>
      </c>
      <c r="AI2405" t="s">
        <v>51</v>
      </c>
      <c r="AJ2405" t="s">
        <v>51</v>
      </c>
      <c r="AK2405" t="s">
        <v>51</v>
      </c>
    </row>
    <row r="2406" spans="1:37" x14ac:dyDescent="0.2">
      <c r="A2406">
        <v>58326</v>
      </c>
      <c r="B2406" t="s">
        <v>37</v>
      </c>
      <c r="C2406" t="s">
        <v>38</v>
      </c>
      <c r="D2406" t="s">
        <v>641</v>
      </c>
      <c r="E2406" t="s">
        <v>40</v>
      </c>
      <c r="G2406" s="4">
        <v>43946.021724537037</v>
      </c>
      <c r="H2406" s="4">
        <v>43946.021736111111</v>
      </c>
      <c r="I2406" t="s">
        <v>50</v>
      </c>
      <c r="J2406" s="5">
        <v>.9999999999999999999999999999999999999996</v>
      </c>
      <c r="K2406" t="s">
        <v>38</v>
      </c>
      <c r="M2406">
        <v>58330</v>
      </c>
      <c r="N2406" t="s">
        <v>645</v>
      </c>
      <c r="O2406" t="s">
        <v>646</v>
      </c>
      <c r="P2406" t="s">
        <v>38</v>
      </c>
      <c r="Q2406" t="s">
        <v>50</v>
      </c>
      <c r="R2406">
        <v>0</v>
      </c>
      <c r="S2406" t="s">
        <v>45</v>
      </c>
      <c r="T2406" t="str" s="2">
        <f>=HYPERLINK("http://demo.enginatics.com:80/ecc/user/applications/log/58326.log","http://demo.enginatics.com:80/ecc/user/applications/log/58326.log")</f>
        <v>"http://demo.enginatics.com:80/ecc/user/applications/log/58326.log")</v>
      </c>
      <c r="U2406">
        <v>58331</v>
      </c>
      <c r="V2406" t="s">
        <v>38</v>
      </c>
      <c r="W2406" t="s">
        <v>50</v>
      </c>
      <c r="X2406">
        <v>0</v>
      </c>
      <c r="Y2406">
        <v>0</v>
      </c>
      <c r="Z2406" t="s">
        <v>46</v>
      </c>
      <c r="AA2406">
        <v>58332</v>
      </c>
      <c r="AB2406" t="s">
        <v>1958</v>
      </c>
      <c r="AC2406" t="s">
        <v>68</v>
      </c>
      <c r="AD2406" t="s">
        <v>38</v>
      </c>
      <c r="AE2406" t="s">
        <v>49</v>
      </c>
      <c r="AF2406" t="s">
        <v>50</v>
      </c>
      <c r="AG2406">
        <v>0</v>
      </c>
      <c r="AH2406">
        <v>0</v>
      </c>
      <c r="AI2406" t="s">
        <v>51</v>
      </c>
      <c r="AJ2406" t="s">
        <v>51</v>
      </c>
      <c r="AK2406" t="s">
        <v>51</v>
      </c>
    </row>
    <row r="2407" spans="1:37" x14ac:dyDescent="0.2">
      <c r="A2407">
        <v>58326</v>
      </c>
      <c r="B2407" t="s">
        <v>37</v>
      </c>
      <c r="C2407" t="s">
        <v>38</v>
      </c>
      <c r="D2407" t="s">
        <v>641</v>
      </c>
      <c r="E2407" t="s">
        <v>40</v>
      </c>
      <c r="G2407" s="4">
        <v>43946.021724537037</v>
      </c>
      <c r="H2407" s="4">
        <v>43946.021736111111</v>
      </c>
      <c r="I2407" t="s">
        <v>50</v>
      </c>
      <c r="J2407" s="5">
        <v>.9999999999999999999999999999999999999996</v>
      </c>
      <c r="K2407" t="s">
        <v>38</v>
      </c>
      <c r="M2407">
        <v>58327</v>
      </c>
      <c r="N2407" t="s">
        <v>648</v>
      </c>
      <c r="O2407" t="s">
        <v>649</v>
      </c>
      <c r="P2407" t="s">
        <v>38</v>
      </c>
      <c r="Q2407" t="s">
        <v>50</v>
      </c>
      <c r="R2407">
        <v>.9999999999999999999999999999999999999996</v>
      </c>
      <c r="S2407" t="s">
        <v>45</v>
      </c>
      <c r="T2407" t="str" s="2">
        <f>=HYPERLINK("http://demo.enginatics.com:80/ecc/user/applications/log/58326.log","http://demo.enginatics.com:80/ecc/user/applications/log/58326.log")</f>
        <v>"http://demo.enginatics.com:80/ecc/user/applications/log/58326.log")</v>
      </c>
      <c r="U2407">
        <v>58328</v>
      </c>
      <c r="V2407" t="s">
        <v>38</v>
      </c>
      <c r="W2407" t="s">
        <v>50</v>
      </c>
      <c r="X2407">
        <v>.9999999999999999999999999999999999999996</v>
      </c>
      <c r="Y2407">
        <v>0</v>
      </c>
      <c r="Z2407" t="s">
        <v>46</v>
      </c>
      <c r="AA2407">
        <v>58329</v>
      </c>
      <c r="AB2407" t="s">
        <v>1959</v>
      </c>
      <c r="AC2407" t="s">
        <v>68</v>
      </c>
      <c r="AD2407" t="s">
        <v>38</v>
      </c>
      <c r="AE2407" t="s">
        <v>49</v>
      </c>
      <c r="AF2407" t="s">
        <v>50</v>
      </c>
      <c r="AG2407">
        <v>0</v>
      </c>
      <c r="AH2407">
        <v>0</v>
      </c>
      <c r="AI2407" t="s">
        <v>51</v>
      </c>
      <c r="AJ2407" t="s">
        <v>51</v>
      </c>
      <c r="AK2407" t="s">
        <v>51</v>
      </c>
    </row>
    <row r="2408" spans="1:37" x14ac:dyDescent="0.2">
      <c r="A2408">
        <v>58304</v>
      </c>
      <c r="B2408" t="s">
        <v>37</v>
      </c>
      <c r="C2408" t="s">
        <v>38</v>
      </c>
      <c r="D2408" t="s">
        <v>651</v>
      </c>
      <c r="E2408" t="s">
        <v>40</v>
      </c>
      <c r="G2408" s="4">
        <v>43946.014560185185</v>
      </c>
      <c r="H2408" s="4">
        <v>43946.01462962963</v>
      </c>
      <c r="I2408" t="s">
        <v>75</v>
      </c>
      <c r="J2408" s="5">
        <v>6</v>
      </c>
      <c r="K2408" t="s">
        <v>38</v>
      </c>
      <c r="M2408">
        <v>58323</v>
      </c>
      <c r="N2408" t="s">
        <v>653</v>
      </c>
      <c r="O2408" t="s">
        <v>654</v>
      </c>
      <c r="P2408" t="s">
        <v>38</v>
      </c>
      <c r="Q2408" t="s">
        <v>44</v>
      </c>
      <c r="R2408">
        <v>4</v>
      </c>
      <c r="S2408" t="s">
        <v>45</v>
      </c>
      <c r="T2408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08">
        <v>58324</v>
      </c>
      <c r="V2408" t="s">
        <v>38</v>
      </c>
      <c r="W2408" t="s">
        <v>85</v>
      </c>
      <c r="X2408">
        <v>3</v>
      </c>
      <c r="Y2408">
        <v>0</v>
      </c>
      <c r="Z2408" t="s">
        <v>46</v>
      </c>
      <c r="AA2408">
        <v>58325</v>
      </c>
      <c r="AB2408" t="s">
        <v>655</v>
      </c>
      <c r="AC2408" t="s">
        <v>48</v>
      </c>
      <c r="AD2408" t="s">
        <v>38</v>
      </c>
      <c r="AE2408" t="s">
        <v>49</v>
      </c>
      <c r="AF2408" t="s">
        <v>85</v>
      </c>
      <c r="AG2408">
        <v>3</v>
      </c>
      <c r="AH2408">
        <v>3</v>
      </c>
      <c r="AI2408" t="s">
        <v>51</v>
      </c>
      <c r="AJ2408" t="s">
        <v>51</v>
      </c>
      <c r="AK2408" t="s">
        <v>51</v>
      </c>
    </row>
    <row r="2409" spans="1:37" x14ac:dyDescent="0.2">
      <c r="A2409">
        <v>58304</v>
      </c>
      <c r="B2409" t="s">
        <v>37</v>
      </c>
      <c r="C2409" t="s">
        <v>38</v>
      </c>
      <c r="D2409" t="s">
        <v>651</v>
      </c>
      <c r="E2409" t="s">
        <v>40</v>
      </c>
      <c r="G2409" s="4">
        <v>43946.014560185185</v>
      </c>
      <c r="H2409" s="4">
        <v>43946.01462962963</v>
      </c>
      <c r="I2409" t="s">
        <v>75</v>
      </c>
      <c r="J2409" s="5">
        <v>6</v>
      </c>
      <c r="K2409" t="s">
        <v>38</v>
      </c>
      <c r="M2409">
        <v>58320</v>
      </c>
      <c r="N2409" t="s">
        <v>656</v>
      </c>
      <c r="O2409" t="s">
        <v>657</v>
      </c>
      <c r="P2409" t="s">
        <v>38</v>
      </c>
      <c r="Q2409" t="s">
        <v>50</v>
      </c>
      <c r="R2409">
        <v>.9999999999999999999999999999999999999996</v>
      </c>
      <c r="S2409" t="s">
        <v>45</v>
      </c>
      <c r="T2409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09">
        <v>58321</v>
      </c>
      <c r="V2409" t="s">
        <v>38</v>
      </c>
      <c r="W2409" t="s">
        <v>50</v>
      </c>
      <c r="X2409">
        <v>.9999999999999999999999999999999999999996</v>
      </c>
      <c r="Y2409">
        <v>0</v>
      </c>
      <c r="Z2409" t="s">
        <v>46</v>
      </c>
      <c r="AA2409">
        <v>58322</v>
      </c>
      <c r="AB2409" t="s">
        <v>658</v>
      </c>
      <c r="AC2409" t="s">
        <v>48</v>
      </c>
      <c r="AD2409" t="s">
        <v>38</v>
      </c>
      <c r="AE2409" t="s">
        <v>49</v>
      </c>
      <c r="AF2409" t="s">
        <v>50</v>
      </c>
      <c r="AG2409">
        <v>.9999999999999999999999999999999999999996</v>
      </c>
      <c r="AH2409">
        <v>0</v>
      </c>
      <c r="AI2409" t="s">
        <v>51</v>
      </c>
      <c r="AJ2409" t="s">
        <v>51</v>
      </c>
      <c r="AK2409" t="s">
        <v>51</v>
      </c>
    </row>
    <row r="2410" spans="1:37" x14ac:dyDescent="0.2">
      <c r="A2410">
        <v>58304</v>
      </c>
      <c r="B2410" t="s">
        <v>37</v>
      </c>
      <c r="C2410" t="s">
        <v>38</v>
      </c>
      <c r="D2410" t="s">
        <v>651</v>
      </c>
      <c r="E2410" t="s">
        <v>40</v>
      </c>
      <c r="G2410" s="4">
        <v>43946.014560185185</v>
      </c>
      <c r="H2410" s="4">
        <v>43946.01462962963</v>
      </c>
      <c r="I2410" t="s">
        <v>75</v>
      </c>
      <c r="J2410" s="5">
        <v>6</v>
      </c>
      <c r="K2410" t="s">
        <v>38</v>
      </c>
      <c r="M2410">
        <v>58317</v>
      </c>
      <c r="N2410" t="s">
        <v>659</v>
      </c>
      <c r="O2410" t="s">
        <v>660</v>
      </c>
      <c r="P2410" t="s">
        <v>38</v>
      </c>
      <c r="Q2410" t="s">
        <v>50</v>
      </c>
      <c r="R2410">
        <v>0</v>
      </c>
      <c r="S2410" t="s">
        <v>45</v>
      </c>
      <c r="T2410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10">
        <v>58318</v>
      </c>
      <c r="V2410" t="s">
        <v>38</v>
      </c>
      <c r="W2410" t="s">
        <v>50</v>
      </c>
      <c r="X2410">
        <v>0</v>
      </c>
      <c r="Y2410">
        <v>0</v>
      </c>
      <c r="Z2410" t="s">
        <v>46</v>
      </c>
      <c r="AA2410">
        <v>58319</v>
      </c>
      <c r="AB2410" t="s">
        <v>661</v>
      </c>
      <c r="AC2410" t="s">
        <v>48</v>
      </c>
      <c r="AD2410" t="s">
        <v>38</v>
      </c>
      <c r="AE2410" t="s">
        <v>49</v>
      </c>
      <c r="AF2410" t="s">
        <v>50</v>
      </c>
      <c r="AG2410">
        <v>0</v>
      </c>
      <c r="AH2410">
        <v>0</v>
      </c>
      <c r="AI2410" t="s">
        <v>51</v>
      </c>
      <c r="AJ2410" t="s">
        <v>51</v>
      </c>
      <c r="AK2410" t="s">
        <v>51</v>
      </c>
    </row>
    <row r="2411" spans="1:37" x14ac:dyDescent="0.2">
      <c r="A2411">
        <v>58304</v>
      </c>
      <c r="B2411" t="s">
        <v>37</v>
      </c>
      <c r="C2411" t="s">
        <v>38</v>
      </c>
      <c r="D2411" t="s">
        <v>651</v>
      </c>
      <c r="E2411" t="s">
        <v>40</v>
      </c>
      <c r="G2411" s="4">
        <v>43946.014560185185</v>
      </c>
      <c r="H2411" s="4">
        <v>43946.01462962963</v>
      </c>
      <c r="I2411" t="s">
        <v>75</v>
      </c>
      <c r="J2411" s="5">
        <v>6</v>
      </c>
      <c r="K2411" t="s">
        <v>38</v>
      </c>
      <c r="M2411">
        <v>58314</v>
      </c>
      <c r="N2411" t="s">
        <v>662</v>
      </c>
      <c r="O2411" t="s">
        <v>663</v>
      </c>
      <c r="P2411" t="s">
        <v>38</v>
      </c>
      <c r="Q2411" t="s">
        <v>50</v>
      </c>
      <c r="R2411">
        <v>0</v>
      </c>
      <c r="S2411" t="s">
        <v>45</v>
      </c>
      <c r="T2411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11">
        <v>58315</v>
      </c>
      <c r="V2411" t="s">
        <v>38</v>
      </c>
      <c r="W2411" t="s">
        <v>50</v>
      </c>
      <c r="X2411">
        <v>0</v>
      </c>
      <c r="Y2411">
        <v>0</v>
      </c>
      <c r="Z2411" t="s">
        <v>46</v>
      </c>
      <c r="AA2411">
        <v>58316</v>
      </c>
      <c r="AB2411" t="s">
        <v>664</v>
      </c>
      <c r="AC2411" t="s">
        <v>48</v>
      </c>
      <c r="AD2411" t="s">
        <v>38</v>
      </c>
      <c r="AE2411" t="s">
        <v>49</v>
      </c>
      <c r="AF2411" t="s">
        <v>50</v>
      </c>
      <c r="AG2411">
        <v>0</v>
      </c>
      <c r="AH2411">
        <v>0</v>
      </c>
      <c r="AI2411" t="s">
        <v>51</v>
      </c>
      <c r="AJ2411" t="s">
        <v>51</v>
      </c>
      <c r="AK2411" t="s">
        <v>51</v>
      </c>
    </row>
    <row r="2412" spans="1:37" x14ac:dyDescent="0.2">
      <c r="A2412">
        <v>58304</v>
      </c>
      <c r="B2412" t="s">
        <v>37</v>
      </c>
      <c r="C2412" t="s">
        <v>38</v>
      </c>
      <c r="D2412" t="s">
        <v>651</v>
      </c>
      <c r="E2412" t="s">
        <v>40</v>
      </c>
      <c r="G2412" s="4">
        <v>43946.014560185185</v>
      </c>
      <c r="H2412" s="4">
        <v>43946.01462962963</v>
      </c>
      <c r="I2412" t="s">
        <v>75</v>
      </c>
      <c r="J2412" s="5">
        <v>6</v>
      </c>
      <c r="K2412" t="s">
        <v>38</v>
      </c>
      <c r="M2412">
        <v>58311</v>
      </c>
      <c r="N2412" t="s">
        <v>665</v>
      </c>
      <c r="O2412" t="s">
        <v>666</v>
      </c>
      <c r="P2412" t="s">
        <v>38</v>
      </c>
      <c r="Q2412" t="s">
        <v>50</v>
      </c>
      <c r="R2412">
        <v>0</v>
      </c>
      <c r="S2412" t="s">
        <v>45</v>
      </c>
      <c r="T2412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12">
        <v>58312</v>
      </c>
      <c r="V2412" t="s">
        <v>38</v>
      </c>
      <c r="W2412" t="s">
        <v>50</v>
      </c>
      <c r="X2412">
        <v>0</v>
      </c>
      <c r="Y2412">
        <v>0</v>
      </c>
      <c r="Z2412" t="s">
        <v>46</v>
      </c>
      <c r="AA2412">
        <v>58313</v>
      </c>
      <c r="AB2412" t="s">
        <v>667</v>
      </c>
      <c r="AC2412" t="s">
        <v>48</v>
      </c>
      <c r="AD2412" t="s">
        <v>38</v>
      </c>
      <c r="AE2412" t="s">
        <v>49</v>
      </c>
      <c r="AF2412" t="s">
        <v>50</v>
      </c>
      <c r="AG2412">
        <v>0</v>
      </c>
      <c r="AH2412">
        <v>0</v>
      </c>
      <c r="AI2412" t="s">
        <v>51</v>
      </c>
      <c r="AJ2412" t="s">
        <v>51</v>
      </c>
      <c r="AK2412" t="s">
        <v>51</v>
      </c>
    </row>
    <row r="2413" spans="1:37" x14ac:dyDescent="0.2">
      <c r="A2413">
        <v>58304</v>
      </c>
      <c r="B2413" t="s">
        <v>37</v>
      </c>
      <c r="C2413" t="s">
        <v>38</v>
      </c>
      <c r="D2413" t="s">
        <v>651</v>
      </c>
      <c r="E2413" t="s">
        <v>40</v>
      </c>
      <c r="G2413" s="4">
        <v>43946.014560185185</v>
      </c>
      <c r="H2413" s="4">
        <v>43946.01462962963</v>
      </c>
      <c r="I2413" t="s">
        <v>75</v>
      </c>
      <c r="J2413" s="5">
        <v>6</v>
      </c>
      <c r="K2413" t="s">
        <v>38</v>
      </c>
      <c r="M2413">
        <v>58308</v>
      </c>
      <c r="N2413" t="s">
        <v>668</v>
      </c>
      <c r="O2413" t="s">
        <v>669</v>
      </c>
      <c r="P2413" t="s">
        <v>38</v>
      </c>
      <c r="Q2413" t="s">
        <v>50</v>
      </c>
      <c r="R2413">
        <v>.9999999999999999999999999999999999999996</v>
      </c>
      <c r="S2413" t="s">
        <v>45</v>
      </c>
      <c r="T2413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13">
        <v>58309</v>
      </c>
      <c r="V2413" t="s">
        <v>38</v>
      </c>
      <c r="W2413" t="s">
        <v>50</v>
      </c>
      <c r="X2413">
        <v>.9999999999999999999999999999999999999996</v>
      </c>
      <c r="Y2413">
        <v>0</v>
      </c>
      <c r="Z2413" t="s">
        <v>46</v>
      </c>
      <c r="AA2413">
        <v>58310</v>
      </c>
      <c r="AB2413" t="s">
        <v>670</v>
      </c>
      <c r="AC2413" t="s">
        <v>48</v>
      </c>
      <c r="AD2413" t="s">
        <v>38</v>
      </c>
      <c r="AE2413" t="s">
        <v>49</v>
      </c>
      <c r="AF2413" t="s">
        <v>50</v>
      </c>
      <c r="AG2413">
        <v>.9999999999999999999999999999999999999996</v>
      </c>
      <c r="AH2413">
        <v>0</v>
      </c>
      <c r="AI2413" t="s">
        <v>51</v>
      </c>
      <c r="AJ2413" t="s">
        <v>51</v>
      </c>
      <c r="AK2413" t="s">
        <v>51</v>
      </c>
    </row>
    <row r="2414" spans="1:37" x14ac:dyDescent="0.2">
      <c r="A2414">
        <v>58304</v>
      </c>
      <c r="B2414" t="s">
        <v>37</v>
      </c>
      <c r="C2414" t="s">
        <v>38</v>
      </c>
      <c r="D2414" t="s">
        <v>651</v>
      </c>
      <c r="E2414" t="s">
        <v>40</v>
      </c>
      <c r="G2414" s="4">
        <v>43946.014560185185</v>
      </c>
      <c r="H2414" s="4">
        <v>43946.01462962963</v>
      </c>
      <c r="I2414" t="s">
        <v>75</v>
      </c>
      <c r="J2414" s="5">
        <v>6</v>
      </c>
      <c r="K2414" t="s">
        <v>38</v>
      </c>
      <c r="M2414">
        <v>58305</v>
      </c>
      <c r="N2414" t="s">
        <v>671</v>
      </c>
      <c r="O2414" t="s">
        <v>672</v>
      </c>
      <c r="P2414" t="s">
        <v>38</v>
      </c>
      <c r="Q2414" t="s">
        <v>50</v>
      </c>
      <c r="R2414">
        <v>0</v>
      </c>
      <c r="S2414" t="s">
        <v>45</v>
      </c>
      <c r="T2414" t="str" s="2">
        <f>=HYPERLINK("http://demo.enginatics.com:80/ecc/user/applications/log/58304.log","http://demo.enginatics.com:80/ecc/user/applications/log/58304.log")</f>
        <v>"http://demo.enginatics.com:80/ecc/user/applications/log/58304.log")</v>
      </c>
      <c r="U2414">
        <v>58306</v>
      </c>
      <c r="V2414" t="s">
        <v>38</v>
      </c>
      <c r="W2414" t="s">
        <v>50</v>
      </c>
      <c r="X2414">
        <v>0</v>
      </c>
      <c r="Y2414">
        <v>0</v>
      </c>
      <c r="Z2414" t="s">
        <v>46</v>
      </c>
      <c r="AA2414">
        <v>58307</v>
      </c>
      <c r="AB2414" t="s">
        <v>673</v>
      </c>
      <c r="AC2414" t="s">
        <v>48</v>
      </c>
      <c r="AD2414" t="s">
        <v>38</v>
      </c>
      <c r="AE2414" t="s">
        <v>49</v>
      </c>
      <c r="AF2414" t="s">
        <v>50</v>
      </c>
      <c r="AG2414">
        <v>0</v>
      </c>
      <c r="AH2414">
        <v>0</v>
      </c>
      <c r="AI2414" t="s">
        <v>51</v>
      </c>
      <c r="AJ2414" t="s">
        <v>51</v>
      </c>
      <c r="AK2414" t="s">
        <v>51</v>
      </c>
    </row>
    <row r="2415" spans="1:37" x14ac:dyDescent="0.2">
      <c r="A2415">
        <v>58131</v>
      </c>
      <c r="B2415" t="s">
        <v>37</v>
      </c>
      <c r="C2415" t="s">
        <v>38</v>
      </c>
      <c r="D2415" t="s">
        <v>674</v>
      </c>
      <c r="E2415" t="s">
        <v>40</v>
      </c>
      <c r="G2415" s="4">
        <v>43946.006643518519</v>
      </c>
      <c r="H2415" s="4">
        <v>43946.007280092593</v>
      </c>
      <c r="I2415" t="s">
        <v>1960</v>
      </c>
      <c r="J2415" s="5">
        <v>54.99999999999999999999999999999999999999</v>
      </c>
      <c r="K2415" t="s">
        <v>38</v>
      </c>
      <c r="M2415">
        <v>58301</v>
      </c>
      <c r="N2415" t="s">
        <v>676</v>
      </c>
      <c r="O2415" t="s">
        <v>677</v>
      </c>
      <c r="P2415" t="s">
        <v>38</v>
      </c>
      <c r="Q2415" t="s">
        <v>78</v>
      </c>
      <c r="R2415">
        <v>5</v>
      </c>
      <c r="S2415" t="s">
        <v>45</v>
      </c>
      <c r="T241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15">
        <v>58302</v>
      </c>
      <c r="V2415" t="s">
        <v>38</v>
      </c>
      <c r="W2415" t="s">
        <v>78</v>
      </c>
      <c r="X2415">
        <v>5</v>
      </c>
      <c r="Y2415">
        <v>0</v>
      </c>
      <c r="Z2415" t="s">
        <v>46</v>
      </c>
      <c r="AA2415">
        <v>58303</v>
      </c>
      <c r="AB2415" t="s">
        <v>678</v>
      </c>
      <c r="AC2415" t="s">
        <v>48</v>
      </c>
      <c r="AD2415" t="s">
        <v>38</v>
      </c>
      <c r="AE2415" t="s">
        <v>1206</v>
      </c>
      <c r="AF2415" t="s">
        <v>78</v>
      </c>
      <c r="AG2415">
        <v>5</v>
      </c>
      <c r="AH2415">
        <v>0</v>
      </c>
      <c r="AI2415" t="s">
        <v>1207</v>
      </c>
      <c r="AJ2415" t="s">
        <v>51</v>
      </c>
      <c r="AK2415" t="s">
        <v>1207</v>
      </c>
    </row>
    <row r="2416" spans="1:37" x14ac:dyDescent="0.2">
      <c r="A2416">
        <v>58131</v>
      </c>
      <c r="B2416" t="s">
        <v>37</v>
      </c>
      <c r="C2416" t="s">
        <v>38</v>
      </c>
      <c r="D2416" t="s">
        <v>674</v>
      </c>
      <c r="E2416" t="s">
        <v>40</v>
      </c>
      <c r="G2416" s="4">
        <v>43946.006643518519</v>
      </c>
      <c r="H2416" s="4">
        <v>43946.007280092593</v>
      </c>
      <c r="I2416" t="s">
        <v>1960</v>
      </c>
      <c r="J2416" s="5">
        <v>54.99999999999999999999999999999999999999</v>
      </c>
      <c r="K2416" t="s">
        <v>38</v>
      </c>
      <c r="M2416">
        <v>58298</v>
      </c>
      <c r="N2416" t="s">
        <v>681</v>
      </c>
      <c r="O2416" t="s">
        <v>682</v>
      </c>
      <c r="P2416" t="s">
        <v>38</v>
      </c>
      <c r="Q2416" t="s">
        <v>247</v>
      </c>
      <c r="R2416">
        <v>7</v>
      </c>
      <c r="S2416" t="s">
        <v>45</v>
      </c>
      <c r="T241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16">
        <v>58299</v>
      </c>
      <c r="V2416" t="s">
        <v>38</v>
      </c>
      <c r="W2416" t="s">
        <v>247</v>
      </c>
      <c r="X2416">
        <v>7</v>
      </c>
      <c r="Y2416">
        <v>0</v>
      </c>
      <c r="Z2416" t="s">
        <v>46</v>
      </c>
      <c r="AA2416">
        <v>58300</v>
      </c>
      <c r="AB2416" t="s">
        <v>683</v>
      </c>
      <c r="AC2416" t="s">
        <v>48</v>
      </c>
      <c r="AD2416" t="s">
        <v>38</v>
      </c>
      <c r="AE2416" t="s">
        <v>1208</v>
      </c>
      <c r="AF2416" t="s">
        <v>247</v>
      </c>
      <c r="AG2416">
        <v>7</v>
      </c>
      <c r="AH2416">
        <v>0</v>
      </c>
      <c r="AI2416" t="s">
        <v>1209</v>
      </c>
      <c r="AJ2416" t="s">
        <v>51</v>
      </c>
      <c r="AK2416" t="s">
        <v>1209</v>
      </c>
    </row>
    <row r="2417" spans="1:37" x14ac:dyDescent="0.2">
      <c r="A2417">
        <v>58131</v>
      </c>
      <c r="B2417" t="s">
        <v>37</v>
      </c>
      <c r="C2417" t="s">
        <v>38</v>
      </c>
      <c r="D2417" t="s">
        <v>674</v>
      </c>
      <c r="E2417" t="s">
        <v>40</v>
      </c>
      <c r="G2417" s="4">
        <v>43946.006643518519</v>
      </c>
      <c r="H2417" s="4">
        <v>43946.007280092593</v>
      </c>
      <c r="I2417" t="s">
        <v>1960</v>
      </c>
      <c r="J2417" s="5">
        <v>54.99999999999999999999999999999999999999</v>
      </c>
      <c r="K2417" t="s">
        <v>38</v>
      </c>
      <c r="M2417">
        <v>58295</v>
      </c>
      <c r="N2417" t="s">
        <v>686</v>
      </c>
      <c r="O2417" t="s">
        <v>687</v>
      </c>
      <c r="P2417" t="s">
        <v>38</v>
      </c>
      <c r="Q2417" t="s">
        <v>78</v>
      </c>
      <c r="R2417">
        <v>5</v>
      </c>
      <c r="S2417" t="s">
        <v>45</v>
      </c>
      <c r="T241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17">
        <v>58296</v>
      </c>
      <c r="V2417" t="s">
        <v>38</v>
      </c>
      <c r="W2417" t="s">
        <v>78</v>
      </c>
      <c r="X2417">
        <v>5</v>
      </c>
      <c r="Y2417">
        <v>0</v>
      </c>
      <c r="Z2417" t="s">
        <v>46</v>
      </c>
      <c r="AA2417">
        <v>58297</v>
      </c>
      <c r="AB2417" t="s">
        <v>688</v>
      </c>
      <c r="AC2417" t="s">
        <v>48</v>
      </c>
      <c r="AD2417" t="s">
        <v>38</v>
      </c>
      <c r="AE2417" t="s">
        <v>689</v>
      </c>
      <c r="AF2417" t="s">
        <v>78</v>
      </c>
      <c r="AG2417">
        <v>5</v>
      </c>
      <c r="AH2417">
        <v>0</v>
      </c>
      <c r="AI2417" t="s">
        <v>690</v>
      </c>
      <c r="AJ2417" t="s">
        <v>51</v>
      </c>
      <c r="AK2417" t="s">
        <v>690</v>
      </c>
    </row>
    <row r="2418" spans="1:37" x14ac:dyDescent="0.2">
      <c r="A2418">
        <v>58131</v>
      </c>
      <c r="B2418" t="s">
        <v>37</v>
      </c>
      <c r="C2418" t="s">
        <v>38</v>
      </c>
      <c r="D2418" t="s">
        <v>674</v>
      </c>
      <c r="E2418" t="s">
        <v>40</v>
      </c>
      <c r="G2418" s="4">
        <v>43946.006643518519</v>
      </c>
      <c r="H2418" s="4">
        <v>43946.007280092593</v>
      </c>
      <c r="I2418" t="s">
        <v>1960</v>
      </c>
      <c r="J2418" s="5">
        <v>54.99999999999999999999999999999999999999</v>
      </c>
      <c r="K2418" t="s">
        <v>38</v>
      </c>
      <c r="M2418">
        <v>58291</v>
      </c>
      <c r="N2418" t="s">
        <v>691</v>
      </c>
      <c r="O2418" t="s">
        <v>692</v>
      </c>
      <c r="P2418" t="s">
        <v>38</v>
      </c>
      <c r="Q2418" t="s">
        <v>315</v>
      </c>
      <c r="R2418">
        <v>14.99999999999999999999999999999999999999</v>
      </c>
      <c r="S2418" t="s">
        <v>45</v>
      </c>
      <c r="T241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18">
        <v>58292</v>
      </c>
      <c r="V2418" t="s">
        <v>38</v>
      </c>
      <c r="W2418" t="s">
        <v>315</v>
      </c>
      <c r="X2418">
        <v>14.99999999999999999999999999999999999999</v>
      </c>
      <c r="Y2418">
        <v>0</v>
      </c>
      <c r="Z2418" t="s">
        <v>46</v>
      </c>
      <c r="AA2418">
        <v>58294</v>
      </c>
      <c r="AB2418" t="s">
        <v>694</v>
      </c>
      <c r="AC2418" t="s">
        <v>103</v>
      </c>
      <c r="AD2418" t="s">
        <v>38</v>
      </c>
      <c r="AE2418" t="s">
        <v>992</v>
      </c>
      <c r="AF2418" t="s">
        <v>78</v>
      </c>
      <c r="AG2418">
        <v>5</v>
      </c>
      <c r="AH2418">
        <v>4</v>
      </c>
      <c r="AI2418" t="s">
        <v>993</v>
      </c>
      <c r="AJ2418" t="s">
        <v>51</v>
      </c>
      <c r="AK2418" t="s">
        <v>993</v>
      </c>
    </row>
    <row r="2419" spans="1:37" x14ac:dyDescent="0.2">
      <c r="A2419">
        <v>58131</v>
      </c>
      <c r="B2419" t="s">
        <v>37</v>
      </c>
      <c r="C2419" t="s">
        <v>38</v>
      </c>
      <c r="D2419" t="s">
        <v>674</v>
      </c>
      <c r="E2419" t="s">
        <v>40</v>
      </c>
      <c r="G2419" s="4">
        <v>43946.006643518519</v>
      </c>
      <c r="H2419" s="4">
        <v>43946.007280092593</v>
      </c>
      <c r="I2419" t="s">
        <v>1960</v>
      </c>
      <c r="J2419" s="5">
        <v>54.99999999999999999999999999999999999999</v>
      </c>
      <c r="K2419" t="s">
        <v>38</v>
      </c>
      <c r="M2419">
        <v>58291</v>
      </c>
      <c r="N2419" t="s">
        <v>691</v>
      </c>
      <c r="O2419" t="s">
        <v>692</v>
      </c>
      <c r="P2419" t="s">
        <v>38</v>
      </c>
      <c r="Q2419" t="s">
        <v>315</v>
      </c>
      <c r="R2419">
        <v>14.99999999999999999999999999999999999999</v>
      </c>
      <c r="S2419" t="s">
        <v>45</v>
      </c>
      <c r="T241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19">
        <v>58292</v>
      </c>
      <c r="V2419" t="s">
        <v>38</v>
      </c>
      <c r="W2419" t="s">
        <v>315</v>
      </c>
      <c r="X2419">
        <v>14.99999999999999999999999999999999999999</v>
      </c>
      <c r="Y2419">
        <v>0</v>
      </c>
      <c r="Z2419" t="s">
        <v>46</v>
      </c>
      <c r="AA2419">
        <v>58293</v>
      </c>
      <c r="AB2419" t="s">
        <v>697</v>
      </c>
      <c r="AC2419" t="s">
        <v>48</v>
      </c>
      <c r="AD2419" t="s">
        <v>38</v>
      </c>
      <c r="AE2419" t="s">
        <v>992</v>
      </c>
      <c r="AF2419" t="s">
        <v>300</v>
      </c>
      <c r="AG2419">
        <v>10.00000000000000000000000000000000000002</v>
      </c>
      <c r="AH2419">
        <v>7</v>
      </c>
      <c r="AI2419" t="s">
        <v>993</v>
      </c>
      <c r="AJ2419" t="s">
        <v>51</v>
      </c>
      <c r="AK2419" t="s">
        <v>993</v>
      </c>
    </row>
    <row r="2420" spans="1:37" x14ac:dyDescent="0.2">
      <c r="A2420">
        <v>58131</v>
      </c>
      <c r="B2420" t="s">
        <v>37</v>
      </c>
      <c r="C2420" t="s">
        <v>38</v>
      </c>
      <c r="D2420" t="s">
        <v>674</v>
      </c>
      <c r="E2420" t="s">
        <v>40</v>
      </c>
      <c r="G2420" s="4">
        <v>43946.006643518519</v>
      </c>
      <c r="H2420" s="4">
        <v>43946.007280092593</v>
      </c>
      <c r="I2420" t="s">
        <v>1960</v>
      </c>
      <c r="J2420" s="5">
        <v>54.99999999999999999999999999999999999999</v>
      </c>
      <c r="K2420" t="s">
        <v>38</v>
      </c>
      <c r="M2420">
        <v>58287</v>
      </c>
      <c r="N2420" t="s">
        <v>698</v>
      </c>
      <c r="O2420" t="s">
        <v>699</v>
      </c>
      <c r="P2420" t="s">
        <v>38</v>
      </c>
      <c r="Q2420" t="s">
        <v>313</v>
      </c>
      <c r="R2420">
        <v>13</v>
      </c>
      <c r="S2420" t="s">
        <v>45</v>
      </c>
      <c r="T242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0">
        <v>58288</v>
      </c>
      <c r="V2420" t="s">
        <v>38</v>
      </c>
      <c r="W2420" t="s">
        <v>236</v>
      </c>
      <c r="X2420">
        <v>12.00000000000000000000000000000000000001</v>
      </c>
      <c r="Y2420">
        <v>0</v>
      </c>
      <c r="Z2420" t="s">
        <v>46</v>
      </c>
      <c r="AA2420">
        <v>58290</v>
      </c>
      <c r="AB2420" t="s">
        <v>700</v>
      </c>
      <c r="AC2420" t="s">
        <v>103</v>
      </c>
      <c r="AD2420" t="s">
        <v>38</v>
      </c>
      <c r="AE2420" t="s">
        <v>909</v>
      </c>
      <c r="AF2420" t="s">
        <v>78</v>
      </c>
      <c r="AG2420">
        <v>5</v>
      </c>
      <c r="AH2420">
        <v>0</v>
      </c>
      <c r="AI2420" t="s">
        <v>1210</v>
      </c>
      <c r="AJ2420" t="s">
        <v>51</v>
      </c>
      <c r="AK2420" t="s">
        <v>910</v>
      </c>
    </row>
    <row r="2421" spans="1:37" x14ac:dyDescent="0.2">
      <c r="A2421">
        <v>58131</v>
      </c>
      <c r="B2421" t="s">
        <v>37</v>
      </c>
      <c r="C2421" t="s">
        <v>38</v>
      </c>
      <c r="D2421" t="s">
        <v>674</v>
      </c>
      <c r="E2421" t="s">
        <v>40</v>
      </c>
      <c r="G2421" s="4">
        <v>43946.006643518519</v>
      </c>
      <c r="H2421" s="4">
        <v>43946.007280092593</v>
      </c>
      <c r="I2421" t="s">
        <v>1960</v>
      </c>
      <c r="J2421" s="5">
        <v>54.99999999999999999999999999999999999999</v>
      </c>
      <c r="K2421" t="s">
        <v>38</v>
      </c>
      <c r="M2421">
        <v>58287</v>
      </c>
      <c r="N2421" t="s">
        <v>698</v>
      </c>
      <c r="O2421" t="s">
        <v>699</v>
      </c>
      <c r="P2421" t="s">
        <v>38</v>
      </c>
      <c r="Q2421" t="s">
        <v>313</v>
      </c>
      <c r="R2421">
        <v>13</v>
      </c>
      <c r="S2421" t="s">
        <v>45</v>
      </c>
      <c r="T242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1">
        <v>58288</v>
      </c>
      <c r="V2421" t="s">
        <v>38</v>
      </c>
      <c r="W2421" t="s">
        <v>236</v>
      </c>
      <c r="X2421">
        <v>12.00000000000000000000000000000000000001</v>
      </c>
      <c r="Y2421">
        <v>0</v>
      </c>
      <c r="Z2421" t="s">
        <v>46</v>
      </c>
      <c r="AA2421">
        <v>58289</v>
      </c>
      <c r="AB2421" t="s">
        <v>704</v>
      </c>
      <c r="AC2421" t="s">
        <v>48</v>
      </c>
      <c r="AD2421" t="s">
        <v>38</v>
      </c>
      <c r="AE2421" t="s">
        <v>909</v>
      </c>
      <c r="AF2421" t="s">
        <v>78</v>
      </c>
      <c r="AG2421">
        <v>5</v>
      </c>
      <c r="AH2421">
        <v>0</v>
      </c>
      <c r="AI2421" t="s">
        <v>910</v>
      </c>
      <c r="AJ2421" t="s">
        <v>51</v>
      </c>
      <c r="AK2421" t="s">
        <v>910</v>
      </c>
    </row>
    <row r="2422" spans="1:37" x14ac:dyDescent="0.2">
      <c r="A2422">
        <v>58131</v>
      </c>
      <c r="B2422" t="s">
        <v>37</v>
      </c>
      <c r="C2422" t="s">
        <v>38</v>
      </c>
      <c r="D2422" t="s">
        <v>674</v>
      </c>
      <c r="E2422" t="s">
        <v>40</v>
      </c>
      <c r="G2422" s="4">
        <v>43946.006643518519</v>
      </c>
      <c r="H2422" s="4">
        <v>43946.007280092593</v>
      </c>
      <c r="I2422" t="s">
        <v>1960</v>
      </c>
      <c r="J2422" s="5">
        <v>54.99999999999999999999999999999999999999</v>
      </c>
      <c r="K2422" t="s">
        <v>38</v>
      </c>
      <c r="M2422">
        <v>58132</v>
      </c>
      <c r="N2422" t="s">
        <v>705</v>
      </c>
      <c r="O2422" t="s">
        <v>706</v>
      </c>
      <c r="P2422" t="s">
        <v>38</v>
      </c>
      <c r="Q2422" t="s">
        <v>300</v>
      </c>
      <c r="R2422">
        <v>10.00000000000000000000000000000000000002</v>
      </c>
      <c r="S2422" t="s">
        <v>45</v>
      </c>
      <c r="T242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2">
        <v>58133</v>
      </c>
      <c r="V2422" t="s">
        <v>38</v>
      </c>
      <c r="W2422" t="s">
        <v>300</v>
      </c>
      <c r="X2422">
        <v>10.00000000000000000000000000000000000002</v>
      </c>
      <c r="Y2422">
        <v>0</v>
      </c>
      <c r="Z2422" t="s">
        <v>46</v>
      </c>
      <c r="AA2422">
        <v>58286</v>
      </c>
      <c r="AB2422" t="s">
        <v>1961</v>
      </c>
      <c r="AC2422" t="s">
        <v>103</v>
      </c>
      <c r="AD2422" t="s">
        <v>38</v>
      </c>
      <c r="AE2422" t="s">
        <v>49</v>
      </c>
      <c r="AF2422" t="s">
        <v>50</v>
      </c>
      <c r="AG2422">
        <v>0</v>
      </c>
      <c r="AH2422">
        <v>0</v>
      </c>
      <c r="AI2422" t="s">
        <v>51</v>
      </c>
      <c r="AJ2422" t="s">
        <v>51</v>
      </c>
      <c r="AK2422" t="s">
        <v>51</v>
      </c>
    </row>
    <row r="2423" spans="1:37" x14ac:dyDescent="0.2">
      <c r="A2423">
        <v>58131</v>
      </c>
      <c r="B2423" t="s">
        <v>37</v>
      </c>
      <c r="C2423" t="s">
        <v>38</v>
      </c>
      <c r="D2423" t="s">
        <v>674</v>
      </c>
      <c r="E2423" t="s">
        <v>40</v>
      </c>
      <c r="G2423" s="4">
        <v>43946.006643518519</v>
      </c>
      <c r="H2423" s="4">
        <v>43946.007280092593</v>
      </c>
      <c r="I2423" t="s">
        <v>1960</v>
      </c>
      <c r="J2423" s="5">
        <v>54.99999999999999999999999999999999999999</v>
      </c>
      <c r="K2423" t="s">
        <v>38</v>
      </c>
      <c r="M2423">
        <v>58132</v>
      </c>
      <c r="N2423" t="s">
        <v>705</v>
      </c>
      <c r="O2423" t="s">
        <v>706</v>
      </c>
      <c r="P2423" t="s">
        <v>38</v>
      </c>
      <c r="Q2423" t="s">
        <v>300</v>
      </c>
      <c r="R2423">
        <v>10.00000000000000000000000000000000000002</v>
      </c>
      <c r="S2423" t="s">
        <v>45</v>
      </c>
      <c r="T242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3">
        <v>58133</v>
      </c>
      <c r="V2423" t="s">
        <v>38</v>
      </c>
      <c r="W2423" t="s">
        <v>300</v>
      </c>
      <c r="X2423">
        <v>10.00000000000000000000000000000000000002</v>
      </c>
      <c r="Y2423">
        <v>0</v>
      </c>
      <c r="Z2423" t="s">
        <v>46</v>
      </c>
      <c r="AA2423">
        <v>58285</v>
      </c>
      <c r="AB2423" t="s">
        <v>1962</v>
      </c>
      <c r="AC2423" t="s">
        <v>103</v>
      </c>
      <c r="AD2423" t="s">
        <v>38</v>
      </c>
      <c r="AE2423" t="s">
        <v>49</v>
      </c>
      <c r="AF2423" t="s">
        <v>50</v>
      </c>
      <c r="AG2423">
        <v>0</v>
      </c>
      <c r="AH2423">
        <v>0</v>
      </c>
      <c r="AI2423" t="s">
        <v>51</v>
      </c>
      <c r="AJ2423" t="s">
        <v>51</v>
      </c>
      <c r="AK2423" t="s">
        <v>51</v>
      </c>
    </row>
    <row r="2424" spans="1:37" x14ac:dyDescent="0.2">
      <c r="A2424">
        <v>58131</v>
      </c>
      <c r="B2424" t="s">
        <v>37</v>
      </c>
      <c r="C2424" t="s">
        <v>38</v>
      </c>
      <c r="D2424" t="s">
        <v>674</v>
      </c>
      <c r="E2424" t="s">
        <v>40</v>
      </c>
      <c r="G2424" s="4">
        <v>43946.006643518519</v>
      </c>
      <c r="H2424" s="4">
        <v>43946.007280092593</v>
      </c>
      <c r="I2424" t="s">
        <v>1960</v>
      </c>
      <c r="J2424" s="5">
        <v>54.99999999999999999999999999999999999999</v>
      </c>
      <c r="K2424" t="s">
        <v>38</v>
      </c>
      <c r="M2424">
        <v>58132</v>
      </c>
      <c r="N2424" t="s">
        <v>705</v>
      </c>
      <c r="O2424" t="s">
        <v>706</v>
      </c>
      <c r="P2424" t="s">
        <v>38</v>
      </c>
      <c r="Q2424" t="s">
        <v>300</v>
      </c>
      <c r="R2424">
        <v>10.00000000000000000000000000000000000002</v>
      </c>
      <c r="S2424" t="s">
        <v>45</v>
      </c>
      <c r="T242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4">
        <v>58133</v>
      </c>
      <c r="V2424" t="s">
        <v>38</v>
      </c>
      <c r="W2424" t="s">
        <v>300</v>
      </c>
      <c r="X2424">
        <v>10.00000000000000000000000000000000000002</v>
      </c>
      <c r="Y2424">
        <v>0</v>
      </c>
      <c r="Z2424" t="s">
        <v>46</v>
      </c>
      <c r="AA2424">
        <v>58284</v>
      </c>
      <c r="AB2424" t="s">
        <v>1963</v>
      </c>
      <c r="AC2424" t="s">
        <v>103</v>
      </c>
      <c r="AD2424" t="s">
        <v>38</v>
      </c>
      <c r="AE2424" t="s">
        <v>49</v>
      </c>
      <c r="AF2424" t="s">
        <v>50</v>
      </c>
      <c r="AG2424">
        <v>0</v>
      </c>
      <c r="AH2424">
        <v>0</v>
      </c>
      <c r="AI2424" t="s">
        <v>51</v>
      </c>
      <c r="AJ2424" t="s">
        <v>51</v>
      </c>
      <c r="AK2424" t="s">
        <v>51</v>
      </c>
    </row>
    <row r="2425" spans="1:37" x14ac:dyDescent="0.2">
      <c r="A2425">
        <v>58131</v>
      </c>
      <c r="B2425" t="s">
        <v>37</v>
      </c>
      <c r="C2425" t="s">
        <v>38</v>
      </c>
      <c r="D2425" t="s">
        <v>674</v>
      </c>
      <c r="E2425" t="s">
        <v>40</v>
      </c>
      <c r="G2425" s="4">
        <v>43946.006643518519</v>
      </c>
      <c r="H2425" s="4">
        <v>43946.007280092593</v>
      </c>
      <c r="I2425" t="s">
        <v>1960</v>
      </c>
      <c r="J2425" s="5">
        <v>54.99999999999999999999999999999999999999</v>
      </c>
      <c r="K2425" t="s">
        <v>38</v>
      </c>
      <c r="M2425">
        <v>58132</v>
      </c>
      <c r="N2425" t="s">
        <v>705</v>
      </c>
      <c r="O2425" t="s">
        <v>706</v>
      </c>
      <c r="P2425" t="s">
        <v>38</v>
      </c>
      <c r="Q2425" t="s">
        <v>300</v>
      </c>
      <c r="R2425">
        <v>10.00000000000000000000000000000000000002</v>
      </c>
      <c r="S2425" t="s">
        <v>45</v>
      </c>
      <c r="T242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5">
        <v>58133</v>
      </c>
      <c r="V2425" t="s">
        <v>38</v>
      </c>
      <c r="W2425" t="s">
        <v>300</v>
      </c>
      <c r="X2425">
        <v>10.00000000000000000000000000000000000002</v>
      </c>
      <c r="Y2425">
        <v>0</v>
      </c>
      <c r="Z2425" t="s">
        <v>46</v>
      </c>
      <c r="AA2425">
        <v>58283</v>
      </c>
      <c r="AB2425" t="s">
        <v>1964</v>
      </c>
      <c r="AC2425" t="s">
        <v>103</v>
      </c>
      <c r="AD2425" t="s">
        <v>38</v>
      </c>
      <c r="AE2425" t="s">
        <v>49</v>
      </c>
      <c r="AF2425" t="s">
        <v>50</v>
      </c>
      <c r="AG2425">
        <v>0</v>
      </c>
      <c r="AH2425">
        <v>0</v>
      </c>
      <c r="AI2425" t="s">
        <v>51</v>
      </c>
      <c r="AJ2425" t="s">
        <v>51</v>
      </c>
      <c r="AK2425" t="s">
        <v>51</v>
      </c>
    </row>
    <row r="2426" spans="1:37" x14ac:dyDescent="0.2">
      <c r="A2426">
        <v>58131</v>
      </c>
      <c r="B2426" t="s">
        <v>37</v>
      </c>
      <c r="C2426" t="s">
        <v>38</v>
      </c>
      <c r="D2426" t="s">
        <v>674</v>
      </c>
      <c r="E2426" t="s">
        <v>40</v>
      </c>
      <c r="G2426" s="4">
        <v>43946.006643518519</v>
      </c>
      <c r="H2426" s="4">
        <v>43946.007280092593</v>
      </c>
      <c r="I2426" t="s">
        <v>1960</v>
      </c>
      <c r="J2426" s="5">
        <v>54.99999999999999999999999999999999999999</v>
      </c>
      <c r="K2426" t="s">
        <v>38</v>
      </c>
      <c r="M2426">
        <v>58132</v>
      </c>
      <c r="N2426" t="s">
        <v>705</v>
      </c>
      <c r="O2426" t="s">
        <v>706</v>
      </c>
      <c r="P2426" t="s">
        <v>38</v>
      </c>
      <c r="Q2426" t="s">
        <v>300</v>
      </c>
      <c r="R2426">
        <v>10.00000000000000000000000000000000000002</v>
      </c>
      <c r="S2426" t="s">
        <v>45</v>
      </c>
      <c r="T242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6">
        <v>58133</v>
      </c>
      <c r="V2426" t="s">
        <v>38</v>
      </c>
      <c r="W2426" t="s">
        <v>300</v>
      </c>
      <c r="X2426">
        <v>10.00000000000000000000000000000000000002</v>
      </c>
      <c r="Y2426">
        <v>0</v>
      </c>
      <c r="Z2426" t="s">
        <v>46</v>
      </c>
      <c r="AA2426">
        <v>58282</v>
      </c>
      <c r="AB2426" t="s">
        <v>1965</v>
      </c>
      <c r="AC2426" t="s">
        <v>103</v>
      </c>
      <c r="AD2426" t="s">
        <v>38</v>
      </c>
      <c r="AE2426" t="s">
        <v>49</v>
      </c>
      <c r="AF2426" t="s">
        <v>50</v>
      </c>
      <c r="AG2426">
        <v>0</v>
      </c>
      <c r="AH2426">
        <v>0</v>
      </c>
      <c r="AI2426" t="s">
        <v>51</v>
      </c>
      <c r="AJ2426" t="s">
        <v>51</v>
      </c>
      <c r="AK2426" t="s">
        <v>51</v>
      </c>
    </row>
    <row r="2427" spans="1:37" x14ac:dyDescent="0.2">
      <c r="A2427">
        <v>58131</v>
      </c>
      <c r="B2427" t="s">
        <v>37</v>
      </c>
      <c r="C2427" t="s">
        <v>38</v>
      </c>
      <c r="D2427" t="s">
        <v>674</v>
      </c>
      <c r="E2427" t="s">
        <v>40</v>
      </c>
      <c r="G2427" s="4">
        <v>43946.006643518519</v>
      </c>
      <c r="H2427" s="4">
        <v>43946.007280092593</v>
      </c>
      <c r="I2427" t="s">
        <v>1960</v>
      </c>
      <c r="J2427" s="5">
        <v>54.99999999999999999999999999999999999999</v>
      </c>
      <c r="K2427" t="s">
        <v>38</v>
      </c>
      <c r="M2427">
        <v>58132</v>
      </c>
      <c r="N2427" t="s">
        <v>705</v>
      </c>
      <c r="O2427" t="s">
        <v>706</v>
      </c>
      <c r="P2427" t="s">
        <v>38</v>
      </c>
      <c r="Q2427" t="s">
        <v>300</v>
      </c>
      <c r="R2427">
        <v>10.00000000000000000000000000000000000002</v>
      </c>
      <c r="S2427" t="s">
        <v>45</v>
      </c>
      <c r="T242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7">
        <v>58133</v>
      </c>
      <c r="V2427" t="s">
        <v>38</v>
      </c>
      <c r="W2427" t="s">
        <v>300</v>
      </c>
      <c r="X2427">
        <v>10.00000000000000000000000000000000000002</v>
      </c>
      <c r="Y2427">
        <v>0</v>
      </c>
      <c r="Z2427" t="s">
        <v>46</v>
      </c>
      <c r="AA2427">
        <v>58281</v>
      </c>
      <c r="AB2427" t="s">
        <v>1966</v>
      </c>
      <c r="AC2427" t="s">
        <v>103</v>
      </c>
      <c r="AD2427" t="s">
        <v>38</v>
      </c>
      <c r="AE2427" t="s">
        <v>49</v>
      </c>
      <c r="AF2427" t="s">
        <v>50</v>
      </c>
      <c r="AG2427">
        <v>0</v>
      </c>
      <c r="AH2427">
        <v>0</v>
      </c>
      <c r="AI2427" t="s">
        <v>51</v>
      </c>
      <c r="AJ2427" t="s">
        <v>51</v>
      </c>
      <c r="AK2427" t="s">
        <v>51</v>
      </c>
    </row>
    <row r="2428" spans="1:37" x14ac:dyDescent="0.2">
      <c r="A2428">
        <v>58131</v>
      </c>
      <c r="B2428" t="s">
        <v>37</v>
      </c>
      <c r="C2428" t="s">
        <v>38</v>
      </c>
      <c r="D2428" t="s">
        <v>674</v>
      </c>
      <c r="E2428" t="s">
        <v>40</v>
      </c>
      <c r="G2428" s="4">
        <v>43946.006643518519</v>
      </c>
      <c r="H2428" s="4">
        <v>43946.007280092593</v>
      </c>
      <c r="I2428" t="s">
        <v>1960</v>
      </c>
      <c r="J2428" s="5">
        <v>54.99999999999999999999999999999999999999</v>
      </c>
      <c r="K2428" t="s">
        <v>38</v>
      </c>
      <c r="M2428">
        <v>58132</v>
      </c>
      <c r="N2428" t="s">
        <v>705</v>
      </c>
      <c r="O2428" t="s">
        <v>706</v>
      </c>
      <c r="P2428" t="s">
        <v>38</v>
      </c>
      <c r="Q2428" t="s">
        <v>300</v>
      </c>
      <c r="R2428">
        <v>10.00000000000000000000000000000000000002</v>
      </c>
      <c r="S2428" t="s">
        <v>45</v>
      </c>
      <c r="T242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8">
        <v>58133</v>
      </c>
      <c r="V2428" t="s">
        <v>38</v>
      </c>
      <c r="W2428" t="s">
        <v>300</v>
      </c>
      <c r="X2428">
        <v>10.00000000000000000000000000000000000002</v>
      </c>
      <c r="Y2428">
        <v>0</v>
      </c>
      <c r="Z2428" t="s">
        <v>46</v>
      </c>
      <c r="AA2428">
        <v>58280</v>
      </c>
      <c r="AB2428" t="s">
        <v>1967</v>
      </c>
      <c r="AC2428" t="s">
        <v>103</v>
      </c>
      <c r="AD2428" t="s">
        <v>38</v>
      </c>
      <c r="AE2428" t="s">
        <v>49</v>
      </c>
      <c r="AF2428" t="s">
        <v>50</v>
      </c>
      <c r="AG2428">
        <v>0</v>
      </c>
      <c r="AH2428">
        <v>0</v>
      </c>
      <c r="AI2428" t="s">
        <v>51</v>
      </c>
      <c r="AJ2428" t="s">
        <v>51</v>
      </c>
      <c r="AK2428" t="s">
        <v>51</v>
      </c>
    </row>
    <row r="2429" spans="1:37" x14ac:dyDescent="0.2">
      <c r="A2429">
        <v>58131</v>
      </c>
      <c r="B2429" t="s">
        <v>37</v>
      </c>
      <c r="C2429" t="s">
        <v>38</v>
      </c>
      <c r="D2429" t="s">
        <v>674</v>
      </c>
      <c r="E2429" t="s">
        <v>40</v>
      </c>
      <c r="G2429" s="4">
        <v>43946.006643518519</v>
      </c>
      <c r="H2429" s="4">
        <v>43946.007280092593</v>
      </c>
      <c r="I2429" t="s">
        <v>1960</v>
      </c>
      <c r="J2429" s="5">
        <v>54.99999999999999999999999999999999999999</v>
      </c>
      <c r="K2429" t="s">
        <v>38</v>
      </c>
      <c r="M2429">
        <v>58132</v>
      </c>
      <c r="N2429" t="s">
        <v>705</v>
      </c>
      <c r="O2429" t="s">
        <v>706</v>
      </c>
      <c r="P2429" t="s">
        <v>38</v>
      </c>
      <c r="Q2429" t="s">
        <v>300</v>
      </c>
      <c r="R2429">
        <v>10.00000000000000000000000000000000000002</v>
      </c>
      <c r="S2429" t="s">
        <v>45</v>
      </c>
      <c r="T242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29">
        <v>58133</v>
      </c>
      <c r="V2429" t="s">
        <v>38</v>
      </c>
      <c r="W2429" t="s">
        <v>300</v>
      </c>
      <c r="X2429">
        <v>10.00000000000000000000000000000000000002</v>
      </c>
      <c r="Y2429">
        <v>0</v>
      </c>
      <c r="Z2429" t="s">
        <v>46</v>
      </c>
      <c r="AA2429">
        <v>58279</v>
      </c>
      <c r="AB2429" t="s">
        <v>1968</v>
      </c>
      <c r="AC2429" t="s">
        <v>103</v>
      </c>
      <c r="AD2429" t="s">
        <v>38</v>
      </c>
      <c r="AE2429" t="s">
        <v>49</v>
      </c>
      <c r="AF2429" t="s">
        <v>50</v>
      </c>
      <c r="AG2429">
        <v>0</v>
      </c>
      <c r="AH2429">
        <v>0</v>
      </c>
      <c r="AI2429" t="s">
        <v>51</v>
      </c>
      <c r="AJ2429" t="s">
        <v>51</v>
      </c>
      <c r="AK2429" t="s">
        <v>51</v>
      </c>
    </row>
    <row r="2430" spans="1:37" x14ac:dyDescent="0.2">
      <c r="A2430">
        <v>58131</v>
      </c>
      <c r="B2430" t="s">
        <v>37</v>
      </c>
      <c r="C2430" t="s">
        <v>38</v>
      </c>
      <c r="D2430" t="s">
        <v>674</v>
      </c>
      <c r="E2430" t="s">
        <v>40</v>
      </c>
      <c r="G2430" s="4">
        <v>43946.006643518519</v>
      </c>
      <c r="H2430" s="4">
        <v>43946.007280092593</v>
      </c>
      <c r="I2430" t="s">
        <v>1960</v>
      </c>
      <c r="J2430" s="5">
        <v>54.99999999999999999999999999999999999999</v>
      </c>
      <c r="K2430" t="s">
        <v>38</v>
      </c>
      <c r="M2430">
        <v>58132</v>
      </c>
      <c r="N2430" t="s">
        <v>705</v>
      </c>
      <c r="O2430" t="s">
        <v>706</v>
      </c>
      <c r="P2430" t="s">
        <v>38</v>
      </c>
      <c r="Q2430" t="s">
        <v>300</v>
      </c>
      <c r="R2430">
        <v>10.00000000000000000000000000000000000002</v>
      </c>
      <c r="S2430" t="s">
        <v>45</v>
      </c>
      <c r="T243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0">
        <v>58133</v>
      </c>
      <c r="V2430" t="s">
        <v>38</v>
      </c>
      <c r="W2430" t="s">
        <v>300</v>
      </c>
      <c r="X2430">
        <v>10.00000000000000000000000000000000000002</v>
      </c>
      <c r="Y2430">
        <v>0</v>
      </c>
      <c r="Z2430" t="s">
        <v>46</v>
      </c>
      <c r="AA2430">
        <v>58278</v>
      </c>
      <c r="AB2430" t="s">
        <v>1969</v>
      </c>
      <c r="AC2430" t="s">
        <v>103</v>
      </c>
      <c r="AD2430" t="s">
        <v>38</v>
      </c>
      <c r="AE2430" t="s">
        <v>49</v>
      </c>
      <c r="AF2430" t="s">
        <v>50</v>
      </c>
      <c r="AG2430">
        <v>0</v>
      </c>
      <c r="AH2430">
        <v>0</v>
      </c>
      <c r="AI2430" t="s">
        <v>51</v>
      </c>
      <c r="AJ2430" t="s">
        <v>51</v>
      </c>
      <c r="AK2430" t="s">
        <v>51</v>
      </c>
    </row>
    <row r="2431" spans="1:37" x14ac:dyDescent="0.2">
      <c r="A2431">
        <v>58131</v>
      </c>
      <c r="B2431" t="s">
        <v>37</v>
      </c>
      <c r="C2431" t="s">
        <v>38</v>
      </c>
      <c r="D2431" t="s">
        <v>674</v>
      </c>
      <c r="E2431" t="s">
        <v>40</v>
      </c>
      <c r="G2431" s="4">
        <v>43946.006643518519</v>
      </c>
      <c r="H2431" s="4">
        <v>43946.007280092593</v>
      </c>
      <c r="I2431" t="s">
        <v>1960</v>
      </c>
      <c r="J2431" s="5">
        <v>54.99999999999999999999999999999999999999</v>
      </c>
      <c r="K2431" t="s">
        <v>38</v>
      </c>
      <c r="M2431">
        <v>58132</v>
      </c>
      <c r="N2431" t="s">
        <v>705</v>
      </c>
      <c r="O2431" t="s">
        <v>706</v>
      </c>
      <c r="P2431" t="s">
        <v>38</v>
      </c>
      <c r="Q2431" t="s">
        <v>300</v>
      </c>
      <c r="R2431">
        <v>10.00000000000000000000000000000000000002</v>
      </c>
      <c r="S2431" t="s">
        <v>45</v>
      </c>
      <c r="T243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1">
        <v>58133</v>
      </c>
      <c r="V2431" t="s">
        <v>38</v>
      </c>
      <c r="W2431" t="s">
        <v>300</v>
      </c>
      <c r="X2431">
        <v>10.00000000000000000000000000000000000002</v>
      </c>
      <c r="Y2431">
        <v>0</v>
      </c>
      <c r="Z2431" t="s">
        <v>46</v>
      </c>
      <c r="AA2431">
        <v>58277</v>
      </c>
      <c r="AB2431" t="s">
        <v>1970</v>
      </c>
      <c r="AC2431" t="s">
        <v>103</v>
      </c>
      <c r="AD2431" t="s">
        <v>38</v>
      </c>
      <c r="AE2431" t="s">
        <v>49</v>
      </c>
      <c r="AF2431" t="s">
        <v>50</v>
      </c>
      <c r="AG2431">
        <v>0</v>
      </c>
      <c r="AH2431">
        <v>0</v>
      </c>
      <c r="AI2431" t="s">
        <v>51</v>
      </c>
      <c r="AJ2431" t="s">
        <v>51</v>
      </c>
      <c r="AK2431" t="s">
        <v>51</v>
      </c>
    </row>
    <row r="2432" spans="1:37" x14ac:dyDescent="0.2">
      <c r="A2432">
        <v>58131</v>
      </c>
      <c r="B2432" t="s">
        <v>37</v>
      </c>
      <c r="C2432" t="s">
        <v>38</v>
      </c>
      <c r="D2432" t="s">
        <v>674</v>
      </c>
      <c r="E2432" t="s">
        <v>40</v>
      </c>
      <c r="G2432" s="4">
        <v>43946.006643518519</v>
      </c>
      <c r="H2432" s="4">
        <v>43946.007280092593</v>
      </c>
      <c r="I2432" t="s">
        <v>1960</v>
      </c>
      <c r="J2432" s="5">
        <v>54.99999999999999999999999999999999999999</v>
      </c>
      <c r="K2432" t="s">
        <v>38</v>
      </c>
      <c r="M2432">
        <v>58132</v>
      </c>
      <c r="N2432" t="s">
        <v>705</v>
      </c>
      <c r="O2432" t="s">
        <v>706</v>
      </c>
      <c r="P2432" t="s">
        <v>38</v>
      </c>
      <c r="Q2432" t="s">
        <v>300</v>
      </c>
      <c r="R2432">
        <v>10.00000000000000000000000000000000000002</v>
      </c>
      <c r="S2432" t="s">
        <v>45</v>
      </c>
      <c r="T243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2">
        <v>58133</v>
      </c>
      <c r="V2432" t="s">
        <v>38</v>
      </c>
      <c r="W2432" t="s">
        <v>300</v>
      </c>
      <c r="X2432">
        <v>10.00000000000000000000000000000000000002</v>
      </c>
      <c r="Y2432">
        <v>0</v>
      </c>
      <c r="Z2432" t="s">
        <v>46</v>
      </c>
      <c r="AA2432">
        <v>58276</v>
      </c>
      <c r="AB2432" t="s">
        <v>1971</v>
      </c>
      <c r="AC2432" t="s">
        <v>103</v>
      </c>
      <c r="AD2432" t="s">
        <v>38</v>
      </c>
      <c r="AE2432" t="s">
        <v>49</v>
      </c>
      <c r="AF2432" t="s">
        <v>50</v>
      </c>
      <c r="AG2432">
        <v>0</v>
      </c>
      <c r="AH2432">
        <v>0</v>
      </c>
      <c r="AI2432" t="s">
        <v>51</v>
      </c>
      <c r="AJ2432" t="s">
        <v>51</v>
      </c>
      <c r="AK2432" t="s">
        <v>51</v>
      </c>
    </row>
    <row r="2433" spans="1:37" x14ac:dyDescent="0.2">
      <c r="A2433">
        <v>58131</v>
      </c>
      <c r="B2433" t="s">
        <v>37</v>
      </c>
      <c r="C2433" t="s">
        <v>38</v>
      </c>
      <c r="D2433" t="s">
        <v>674</v>
      </c>
      <c r="E2433" t="s">
        <v>40</v>
      </c>
      <c r="G2433" s="4">
        <v>43946.006643518519</v>
      </c>
      <c r="H2433" s="4">
        <v>43946.007280092593</v>
      </c>
      <c r="I2433" t="s">
        <v>1960</v>
      </c>
      <c r="J2433" s="5">
        <v>54.99999999999999999999999999999999999999</v>
      </c>
      <c r="K2433" t="s">
        <v>38</v>
      </c>
      <c r="M2433">
        <v>58132</v>
      </c>
      <c r="N2433" t="s">
        <v>705</v>
      </c>
      <c r="O2433" t="s">
        <v>706</v>
      </c>
      <c r="P2433" t="s">
        <v>38</v>
      </c>
      <c r="Q2433" t="s">
        <v>300</v>
      </c>
      <c r="R2433">
        <v>10.00000000000000000000000000000000000002</v>
      </c>
      <c r="S2433" t="s">
        <v>45</v>
      </c>
      <c r="T243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3">
        <v>58133</v>
      </c>
      <c r="V2433" t="s">
        <v>38</v>
      </c>
      <c r="W2433" t="s">
        <v>300</v>
      </c>
      <c r="X2433">
        <v>10.00000000000000000000000000000000000002</v>
      </c>
      <c r="Y2433">
        <v>0</v>
      </c>
      <c r="Z2433" t="s">
        <v>46</v>
      </c>
      <c r="AA2433">
        <v>58275</v>
      </c>
      <c r="AB2433" t="s">
        <v>1972</v>
      </c>
      <c r="AC2433" t="s">
        <v>103</v>
      </c>
      <c r="AD2433" t="s">
        <v>38</v>
      </c>
      <c r="AE2433" t="s">
        <v>49</v>
      </c>
      <c r="AF2433" t="s">
        <v>50</v>
      </c>
      <c r="AG2433">
        <v>0</v>
      </c>
      <c r="AH2433">
        <v>0</v>
      </c>
      <c r="AI2433" t="s">
        <v>51</v>
      </c>
      <c r="AJ2433" t="s">
        <v>51</v>
      </c>
      <c r="AK2433" t="s">
        <v>51</v>
      </c>
    </row>
    <row r="2434" spans="1:37" x14ac:dyDescent="0.2">
      <c r="A2434">
        <v>58131</v>
      </c>
      <c r="B2434" t="s">
        <v>37</v>
      </c>
      <c r="C2434" t="s">
        <v>38</v>
      </c>
      <c r="D2434" t="s">
        <v>674</v>
      </c>
      <c r="E2434" t="s">
        <v>40</v>
      </c>
      <c r="G2434" s="4">
        <v>43946.006643518519</v>
      </c>
      <c r="H2434" s="4">
        <v>43946.007280092593</v>
      </c>
      <c r="I2434" t="s">
        <v>1960</v>
      </c>
      <c r="J2434" s="5">
        <v>54.99999999999999999999999999999999999999</v>
      </c>
      <c r="K2434" t="s">
        <v>38</v>
      </c>
      <c r="M2434">
        <v>58132</v>
      </c>
      <c r="N2434" t="s">
        <v>705</v>
      </c>
      <c r="O2434" t="s">
        <v>706</v>
      </c>
      <c r="P2434" t="s">
        <v>38</v>
      </c>
      <c r="Q2434" t="s">
        <v>300</v>
      </c>
      <c r="R2434">
        <v>10.00000000000000000000000000000000000002</v>
      </c>
      <c r="S2434" t="s">
        <v>45</v>
      </c>
      <c r="T243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4">
        <v>58133</v>
      </c>
      <c r="V2434" t="s">
        <v>38</v>
      </c>
      <c r="W2434" t="s">
        <v>300</v>
      </c>
      <c r="X2434">
        <v>10.00000000000000000000000000000000000002</v>
      </c>
      <c r="Y2434">
        <v>0</v>
      </c>
      <c r="Z2434" t="s">
        <v>46</v>
      </c>
      <c r="AA2434">
        <v>58274</v>
      </c>
      <c r="AB2434" t="s">
        <v>1973</v>
      </c>
      <c r="AC2434" t="s">
        <v>103</v>
      </c>
      <c r="AD2434" t="s">
        <v>38</v>
      </c>
      <c r="AE2434" t="s">
        <v>49</v>
      </c>
      <c r="AF2434" t="s">
        <v>50</v>
      </c>
      <c r="AG2434">
        <v>0</v>
      </c>
      <c r="AH2434">
        <v>0</v>
      </c>
      <c r="AI2434" t="s">
        <v>51</v>
      </c>
      <c r="AJ2434" t="s">
        <v>51</v>
      </c>
      <c r="AK2434" t="s">
        <v>51</v>
      </c>
    </row>
    <row r="2435" spans="1:37" x14ac:dyDescent="0.2">
      <c r="A2435">
        <v>58131</v>
      </c>
      <c r="B2435" t="s">
        <v>37</v>
      </c>
      <c r="C2435" t="s">
        <v>38</v>
      </c>
      <c r="D2435" t="s">
        <v>674</v>
      </c>
      <c r="E2435" t="s">
        <v>40</v>
      </c>
      <c r="G2435" s="4">
        <v>43946.006643518519</v>
      </c>
      <c r="H2435" s="4">
        <v>43946.007280092593</v>
      </c>
      <c r="I2435" t="s">
        <v>1960</v>
      </c>
      <c r="J2435" s="5">
        <v>54.99999999999999999999999999999999999999</v>
      </c>
      <c r="K2435" t="s">
        <v>38</v>
      </c>
      <c r="M2435">
        <v>58132</v>
      </c>
      <c r="N2435" t="s">
        <v>705</v>
      </c>
      <c r="O2435" t="s">
        <v>706</v>
      </c>
      <c r="P2435" t="s">
        <v>38</v>
      </c>
      <c r="Q2435" t="s">
        <v>300</v>
      </c>
      <c r="R2435">
        <v>10.00000000000000000000000000000000000002</v>
      </c>
      <c r="S2435" t="s">
        <v>45</v>
      </c>
      <c r="T243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5">
        <v>58133</v>
      </c>
      <c r="V2435" t="s">
        <v>38</v>
      </c>
      <c r="W2435" t="s">
        <v>300</v>
      </c>
      <c r="X2435">
        <v>10.00000000000000000000000000000000000002</v>
      </c>
      <c r="Y2435">
        <v>0</v>
      </c>
      <c r="Z2435" t="s">
        <v>46</v>
      </c>
      <c r="AA2435">
        <v>58273</v>
      </c>
      <c r="AB2435" t="s">
        <v>1974</v>
      </c>
      <c r="AC2435" t="s">
        <v>103</v>
      </c>
      <c r="AD2435" t="s">
        <v>38</v>
      </c>
      <c r="AE2435" t="s">
        <v>49</v>
      </c>
      <c r="AF2435" t="s">
        <v>50</v>
      </c>
      <c r="AG2435">
        <v>0</v>
      </c>
      <c r="AH2435">
        <v>0</v>
      </c>
      <c r="AI2435" t="s">
        <v>51</v>
      </c>
      <c r="AJ2435" t="s">
        <v>51</v>
      </c>
      <c r="AK2435" t="s">
        <v>51</v>
      </c>
    </row>
    <row r="2436" spans="1:37" x14ac:dyDescent="0.2">
      <c r="A2436">
        <v>58131</v>
      </c>
      <c r="B2436" t="s">
        <v>37</v>
      </c>
      <c r="C2436" t="s">
        <v>38</v>
      </c>
      <c r="D2436" t="s">
        <v>674</v>
      </c>
      <c r="E2436" t="s">
        <v>40</v>
      </c>
      <c r="G2436" s="4">
        <v>43946.006643518519</v>
      </c>
      <c r="H2436" s="4">
        <v>43946.007280092593</v>
      </c>
      <c r="I2436" t="s">
        <v>1960</v>
      </c>
      <c r="J2436" s="5">
        <v>54.99999999999999999999999999999999999999</v>
      </c>
      <c r="K2436" t="s">
        <v>38</v>
      </c>
      <c r="M2436">
        <v>58132</v>
      </c>
      <c r="N2436" t="s">
        <v>705</v>
      </c>
      <c r="O2436" t="s">
        <v>706</v>
      </c>
      <c r="P2436" t="s">
        <v>38</v>
      </c>
      <c r="Q2436" t="s">
        <v>300</v>
      </c>
      <c r="R2436">
        <v>10.00000000000000000000000000000000000002</v>
      </c>
      <c r="S2436" t="s">
        <v>45</v>
      </c>
      <c r="T243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6">
        <v>58133</v>
      </c>
      <c r="V2436" t="s">
        <v>38</v>
      </c>
      <c r="W2436" t="s">
        <v>300</v>
      </c>
      <c r="X2436">
        <v>10.00000000000000000000000000000000000002</v>
      </c>
      <c r="Y2436">
        <v>0</v>
      </c>
      <c r="Z2436" t="s">
        <v>46</v>
      </c>
      <c r="AA2436">
        <v>58272</v>
      </c>
      <c r="AB2436" t="s">
        <v>1975</v>
      </c>
      <c r="AC2436" t="s">
        <v>103</v>
      </c>
      <c r="AD2436" t="s">
        <v>38</v>
      </c>
      <c r="AE2436" t="s">
        <v>49</v>
      </c>
      <c r="AF2436" t="s">
        <v>50</v>
      </c>
      <c r="AG2436">
        <v>0</v>
      </c>
      <c r="AH2436">
        <v>0</v>
      </c>
      <c r="AI2436" t="s">
        <v>51</v>
      </c>
      <c r="AJ2436" t="s">
        <v>51</v>
      </c>
      <c r="AK2436" t="s">
        <v>51</v>
      </c>
    </row>
    <row r="2437" spans="1:37" x14ac:dyDescent="0.2">
      <c r="A2437">
        <v>58131</v>
      </c>
      <c r="B2437" t="s">
        <v>37</v>
      </c>
      <c r="C2437" t="s">
        <v>38</v>
      </c>
      <c r="D2437" t="s">
        <v>674</v>
      </c>
      <c r="E2437" t="s">
        <v>40</v>
      </c>
      <c r="G2437" s="4">
        <v>43946.006643518519</v>
      </c>
      <c r="H2437" s="4">
        <v>43946.007280092593</v>
      </c>
      <c r="I2437" t="s">
        <v>1960</v>
      </c>
      <c r="J2437" s="5">
        <v>54.99999999999999999999999999999999999999</v>
      </c>
      <c r="K2437" t="s">
        <v>38</v>
      </c>
      <c r="M2437">
        <v>58132</v>
      </c>
      <c r="N2437" t="s">
        <v>705</v>
      </c>
      <c r="O2437" t="s">
        <v>706</v>
      </c>
      <c r="P2437" t="s">
        <v>38</v>
      </c>
      <c r="Q2437" t="s">
        <v>300</v>
      </c>
      <c r="R2437">
        <v>10.00000000000000000000000000000000000002</v>
      </c>
      <c r="S2437" t="s">
        <v>45</v>
      </c>
      <c r="T243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7">
        <v>58133</v>
      </c>
      <c r="V2437" t="s">
        <v>38</v>
      </c>
      <c r="W2437" t="s">
        <v>300</v>
      </c>
      <c r="X2437">
        <v>10.00000000000000000000000000000000000002</v>
      </c>
      <c r="Y2437">
        <v>0</v>
      </c>
      <c r="Z2437" t="s">
        <v>46</v>
      </c>
      <c r="AA2437">
        <v>58271</v>
      </c>
      <c r="AB2437" t="s">
        <v>1976</v>
      </c>
      <c r="AC2437" t="s">
        <v>103</v>
      </c>
      <c r="AD2437" t="s">
        <v>38</v>
      </c>
      <c r="AE2437" t="s">
        <v>49</v>
      </c>
      <c r="AF2437" t="s">
        <v>50</v>
      </c>
      <c r="AG2437">
        <v>0</v>
      </c>
      <c r="AH2437">
        <v>0</v>
      </c>
      <c r="AI2437" t="s">
        <v>51</v>
      </c>
      <c r="AJ2437" t="s">
        <v>51</v>
      </c>
      <c r="AK2437" t="s">
        <v>51</v>
      </c>
    </row>
    <row r="2438" spans="1:37" x14ac:dyDescent="0.2">
      <c r="A2438">
        <v>58131</v>
      </c>
      <c r="B2438" t="s">
        <v>37</v>
      </c>
      <c r="C2438" t="s">
        <v>38</v>
      </c>
      <c r="D2438" t="s">
        <v>674</v>
      </c>
      <c r="E2438" t="s">
        <v>40</v>
      </c>
      <c r="G2438" s="4">
        <v>43946.006643518519</v>
      </c>
      <c r="H2438" s="4">
        <v>43946.007280092593</v>
      </c>
      <c r="I2438" t="s">
        <v>1960</v>
      </c>
      <c r="J2438" s="5">
        <v>54.99999999999999999999999999999999999999</v>
      </c>
      <c r="K2438" t="s">
        <v>38</v>
      </c>
      <c r="M2438">
        <v>58132</v>
      </c>
      <c r="N2438" t="s">
        <v>705</v>
      </c>
      <c r="O2438" t="s">
        <v>706</v>
      </c>
      <c r="P2438" t="s">
        <v>38</v>
      </c>
      <c r="Q2438" t="s">
        <v>300</v>
      </c>
      <c r="R2438">
        <v>10.00000000000000000000000000000000000002</v>
      </c>
      <c r="S2438" t="s">
        <v>45</v>
      </c>
      <c r="T243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8">
        <v>58133</v>
      </c>
      <c r="V2438" t="s">
        <v>38</v>
      </c>
      <c r="W2438" t="s">
        <v>300</v>
      </c>
      <c r="X2438">
        <v>10.00000000000000000000000000000000000002</v>
      </c>
      <c r="Y2438">
        <v>0</v>
      </c>
      <c r="Z2438" t="s">
        <v>46</v>
      </c>
      <c r="AA2438">
        <v>58270</v>
      </c>
      <c r="AB2438" t="s">
        <v>1977</v>
      </c>
      <c r="AC2438" t="s">
        <v>103</v>
      </c>
      <c r="AD2438" t="s">
        <v>38</v>
      </c>
      <c r="AE2438" t="s">
        <v>49</v>
      </c>
      <c r="AF2438" t="s">
        <v>50</v>
      </c>
      <c r="AG2438">
        <v>0</v>
      </c>
      <c r="AH2438">
        <v>0</v>
      </c>
      <c r="AI2438" t="s">
        <v>51</v>
      </c>
      <c r="AJ2438" t="s">
        <v>51</v>
      </c>
      <c r="AK2438" t="s">
        <v>51</v>
      </c>
    </row>
    <row r="2439" spans="1:37" x14ac:dyDescent="0.2">
      <c r="A2439">
        <v>58131</v>
      </c>
      <c r="B2439" t="s">
        <v>37</v>
      </c>
      <c r="C2439" t="s">
        <v>38</v>
      </c>
      <c r="D2439" t="s">
        <v>674</v>
      </c>
      <c r="E2439" t="s">
        <v>40</v>
      </c>
      <c r="G2439" s="4">
        <v>43946.006643518519</v>
      </c>
      <c r="H2439" s="4">
        <v>43946.007280092593</v>
      </c>
      <c r="I2439" t="s">
        <v>1960</v>
      </c>
      <c r="J2439" s="5">
        <v>54.99999999999999999999999999999999999999</v>
      </c>
      <c r="K2439" t="s">
        <v>38</v>
      </c>
      <c r="M2439">
        <v>58132</v>
      </c>
      <c r="N2439" t="s">
        <v>705</v>
      </c>
      <c r="O2439" t="s">
        <v>706</v>
      </c>
      <c r="P2439" t="s">
        <v>38</v>
      </c>
      <c r="Q2439" t="s">
        <v>300</v>
      </c>
      <c r="R2439">
        <v>10.00000000000000000000000000000000000002</v>
      </c>
      <c r="S2439" t="s">
        <v>45</v>
      </c>
      <c r="T243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39">
        <v>58133</v>
      </c>
      <c r="V2439" t="s">
        <v>38</v>
      </c>
      <c r="W2439" t="s">
        <v>300</v>
      </c>
      <c r="X2439">
        <v>10.00000000000000000000000000000000000002</v>
      </c>
      <c r="Y2439">
        <v>0</v>
      </c>
      <c r="Z2439" t="s">
        <v>46</v>
      </c>
      <c r="AA2439">
        <v>58269</v>
      </c>
      <c r="AB2439" t="s">
        <v>1978</v>
      </c>
      <c r="AC2439" t="s">
        <v>103</v>
      </c>
      <c r="AD2439" t="s">
        <v>38</v>
      </c>
      <c r="AE2439" t="s">
        <v>49</v>
      </c>
      <c r="AF2439" t="s">
        <v>50</v>
      </c>
      <c r="AG2439">
        <v>0</v>
      </c>
      <c r="AH2439">
        <v>0</v>
      </c>
      <c r="AI2439" t="s">
        <v>51</v>
      </c>
      <c r="AJ2439" t="s">
        <v>51</v>
      </c>
      <c r="AK2439" t="s">
        <v>51</v>
      </c>
    </row>
    <row r="2440" spans="1:37" x14ac:dyDescent="0.2">
      <c r="A2440">
        <v>58131</v>
      </c>
      <c r="B2440" t="s">
        <v>37</v>
      </c>
      <c r="C2440" t="s">
        <v>38</v>
      </c>
      <c r="D2440" t="s">
        <v>674</v>
      </c>
      <c r="E2440" t="s">
        <v>40</v>
      </c>
      <c r="G2440" s="4">
        <v>43946.006643518519</v>
      </c>
      <c r="H2440" s="4">
        <v>43946.007280092593</v>
      </c>
      <c r="I2440" t="s">
        <v>1960</v>
      </c>
      <c r="J2440" s="5">
        <v>54.99999999999999999999999999999999999999</v>
      </c>
      <c r="K2440" t="s">
        <v>38</v>
      </c>
      <c r="M2440">
        <v>58132</v>
      </c>
      <c r="N2440" t="s">
        <v>705</v>
      </c>
      <c r="O2440" t="s">
        <v>706</v>
      </c>
      <c r="P2440" t="s">
        <v>38</v>
      </c>
      <c r="Q2440" t="s">
        <v>300</v>
      </c>
      <c r="R2440">
        <v>10.00000000000000000000000000000000000002</v>
      </c>
      <c r="S2440" t="s">
        <v>45</v>
      </c>
      <c r="T244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0">
        <v>58133</v>
      </c>
      <c r="V2440" t="s">
        <v>38</v>
      </c>
      <c r="W2440" t="s">
        <v>300</v>
      </c>
      <c r="X2440">
        <v>10.00000000000000000000000000000000000002</v>
      </c>
      <c r="Y2440">
        <v>0</v>
      </c>
      <c r="Z2440" t="s">
        <v>46</v>
      </c>
      <c r="AA2440">
        <v>58268</v>
      </c>
      <c r="AB2440" t="s">
        <v>1979</v>
      </c>
      <c r="AC2440" t="s">
        <v>103</v>
      </c>
      <c r="AD2440" t="s">
        <v>38</v>
      </c>
      <c r="AE2440" t="s">
        <v>49</v>
      </c>
      <c r="AF2440" t="s">
        <v>50</v>
      </c>
      <c r="AG2440">
        <v>0</v>
      </c>
      <c r="AH2440">
        <v>0</v>
      </c>
      <c r="AI2440" t="s">
        <v>51</v>
      </c>
      <c r="AJ2440" t="s">
        <v>51</v>
      </c>
      <c r="AK2440" t="s">
        <v>51</v>
      </c>
    </row>
    <row r="2441" spans="1:37" x14ac:dyDescent="0.2">
      <c r="A2441">
        <v>58131</v>
      </c>
      <c r="B2441" t="s">
        <v>37</v>
      </c>
      <c r="C2441" t="s">
        <v>38</v>
      </c>
      <c r="D2441" t="s">
        <v>674</v>
      </c>
      <c r="E2441" t="s">
        <v>40</v>
      </c>
      <c r="G2441" s="4">
        <v>43946.006643518519</v>
      </c>
      <c r="H2441" s="4">
        <v>43946.007280092593</v>
      </c>
      <c r="I2441" t="s">
        <v>1960</v>
      </c>
      <c r="J2441" s="5">
        <v>54.99999999999999999999999999999999999999</v>
      </c>
      <c r="K2441" t="s">
        <v>38</v>
      </c>
      <c r="M2441">
        <v>58132</v>
      </c>
      <c r="N2441" t="s">
        <v>705</v>
      </c>
      <c r="O2441" t="s">
        <v>706</v>
      </c>
      <c r="P2441" t="s">
        <v>38</v>
      </c>
      <c r="Q2441" t="s">
        <v>300</v>
      </c>
      <c r="R2441">
        <v>10.00000000000000000000000000000000000002</v>
      </c>
      <c r="S2441" t="s">
        <v>45</v>
      </c>
      <c r="T244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1">
        <v>58133</v>
      </c>
      <c r="V2441" t="s">
        <v>38</v>
      </c>
      <c r="W2441" t="s">
        <v>300</v>
      </c>
      <c r="X2441">
        <v>10.00000000000000000000000000000000000002</v>
      </c>
      <c r="Y2441">
        <v>0</v>
      </c>
      <c r="Z2441" t="s">
        <v>46</v>
      </c>
      <c r="AA2441">
        <v>58267</v>
      </c>
      <c r="AB2441" t="s">
        <v>1980</v>
      </c>
      <c r="AC2441" t="s">
        <v>103</v>
      </c>
      <c r="AD2441" t="s">
        <v>38</v>
      </c>
      <c r="AE2441" t="s">
        <v>49</v>
      </c>
      <c r="AF2441" t="s">
        <v>50</v>
      </c>
      <c r="AG2441">
        <v>0</v>
      </c>
      <c r="AH2441">
        <v>0</v>
      </c>
      <c r="AI2441" t="s">
        <v>51</v>
      </c>
      <c r="AJ2441" t="s">
        <v>51</v>
      </c>
      <c r="AK2441" t="s">
        <v>51</v>
      </c>
    </row>
    <row r="2442" spans="1:37" x14ac:dyDescent="0.2">
      <c r="A2442">
        <v>58131</v>
      </c>
      <c r="B2442" t="s">
        <v>37</v>
      </c>
      <c r="C2442" t="s">
        <v>38</v>
      </c>
      <c r="D2442" t="s">
        <v>674</v>
      </c>
      <c r="E2442" t="s">
        <v>40</v>
      </c>
      <c r="G2442" s="4">
        <v>43946.006643518519</v>
      </c>
      <c r="H2442" s="4">
        <v>43946.007280092593</v>
      </c>
      <c r="I2442" t="s">
        <v>1960</v>
      </c>
      <c r="J2442" s="5">
        <v>54.99999999999999999999999999999999999999</v>
      </c>
      <c r="K2442" t="s">
        <v>38</v>
      </c>
      <c r="M2442">
        <v>58132</v>
      </c>
      <c r="N2442" t="s">
        <v>705</v>
      </c>
      <c r="O2442" t="s">
        <v>706</v>
      </c>
      <c r="P2442" t="s">
        <v>38</v>
      </c>
      <c r="Q2442" t="s">
        <v>300</v>
      </c>
      <c r="R2442">
        <v>10.00000000000000000000000000000000000002</v>
      </c>
      <c r="S2442" t="s">
        <v>45</v>
      </c>
      <c r="T244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2">
        <v>58133</v>
      </c>
      <c r="V2442" t="s">
        <v>38</v>
      </c>
      <c r="W2442" t="s">
        <v>300</v>
      </c>
      <c r="X2442">
        <v>10.00000000000000000000000000000000000002</v>
      </c>
      <c r="Y2442">
        <v>0</v>
      </c>
      <c r="Z2442" t="s">
        <v>46</v>
      </c>
      <c r="AA2442">
        <v>58266</v>
      </c>
      <c r="AB2442" t="s">
        <v>1981</v>
      </c>
      <c r="AC2442" t="s">
        <v>103</v>
      </c>
      <c r="AD2442" t="s">
        <v>38</v>
      </c>
      <c r="AE2442" t="s">
        <v>49</v>
      </c>
      <c r="AF2442" t="s">
        <v>50</v>
      </c>
      <c r="AG2442">
        <v>0</v>
      </c>
      <c r="AH2442">
        <v>0</v>
      </c>
      <c r="AI2442" t="s">
        <v>51</v>
      </c>
      <c r="AJ2442" t="s">
        <v>51</v>
      </c>
      <c r="AK2442" t="s">
        <v>51</v>
      </c>
    </row>
    <row r="2443" spans="1:37" x14ac:dyDescent="0.2">
      <c r="A2443">
        <v>58131</v>
      </c>
      <c r="B2443" t="s">
        <v>37</v>
      </c>
      <c r="C2443" t="s">
        <v>38</v>
      </c>
      <c r="D2443" t="s">
        <v>674</v>
      </c>
      <c r="E2443" t="s">
        <v>40</v>
      </c>
      <c r="G2443" s="4">
        <v>43946.006643518519</v>
      </c>
      <c r="H2443" s="4">
        <v>43946.007280092593</v>
      </c>
      <c r="I2443" t="s">
        <v>1960</v>
      </c>
      <c r="J2443" s="5">
        <v>54.99999999999999999999999999999999999999</v>
      </c>
      <c r="K2443" t="s">
        <v>38</v>
      </c>
      <c r="M2443">
        <v>58132</v>
      </c>
      <c r="N2443" t="s">
        <v>705</v>
      </c>
      <c r="O2443" t="s">
        <v>706</v>
      </c>
      <c r="P2443" t="s">
        <v>38</v>
      </c>
      <c r="Q2443" t="s">
        <v>300</v>
      </c>
      <c r="R2443">
        <v>10.00000000000000000000000000000000000002</v>
      </c>
      <c r="S2443" t="s">
        <v>45</v>
      </c>
      <c r="T244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3">
        <v>58133</v>
      </c>
      <c r="V2443" t="s">
        <v>38</v>
      </c>
      <c r="W2443" t="s">
        <v>300</v>
      </c>
      <c r="X2443">
        <v>10.00000000000000000000000000000000000002</v>
      </c>
      <c r="Y2443">
        <v>0</v>
      </c>
      <c r="Z2443" t="s">
        <v>46</v>
      </c>
      <c r="AA2443">
        <v>58265</v>
      </c>
      <c r="AB2443" t="s">
        <v>1982</v>
      </c>
      <c r="AC2443" t="s">
        <v>103</v>
      </c>
      <c r="AD2443" t="s">
        <v>38</v>
      </c>
      <c r="AE2443" t="s">
        <v>49</v>
      </c>
      <c r="AF2443" t="s">
        <v>50</v>
      </c>
      <c r="AG2443">
        <v>0</v>
      </c>
      <c r="AH2443">
        <v>0</v>
      </c>
      <c r="AI2443" t="s">
        <v>51</v>
      </c>
      <c r="AJ2443" t="s">
        <v>51</v>
      </c>
      <c r="AK2443" t="s">
        <v>51</v>
      </c>
    </row>
    <row r="2444" spans="1:37" x14ac:dyDescent="0.2">
      <c r="A2444">
        <v>58131</v>
      </c>
      <c r="B2444" t="s">
        <v>37</v>
      </c>
      <c r="C2444" t="s">
        <v>38</v>
      </c>
      <c r="D2444" t="s">
        <v>674</v>
      </c>
      <c r="E2444" t="s">
        <v>40</v>
      </c>
      <c r="G2444" s="4">
        <v>43946.006643518519</v>
      </c>
      <c r="H2444" s="4">
        <v>43946.007280092593</v>
      </c>
      <c r="I2444" t="s">
        <v>1960</v>
      </c>
      <c r="J2444" s="5">
        <v>54.99999999999999999999999999999999999999</v>
      </c>
      <c r="K2444" t="s">
        <v>38</v>
      </c>
      <c r="M2444">
        <v>58132</v>
      </c>
      <c r="N2444" t="s">
        <v>705</v>
      </c>
      <c r="O2444" t="s">
        <v>706</v>
      </c>
      <c r="P2444" t="s">
        <v>38</v>
      </c>
      <c r="Q2444" t="s">
        <v>300</v>
      </c>
      <c r="R2444">
        <v>10.00000000000000000000000000000000000002</v>
      </c>
      <c r="S2444" t="s">
        <v>45</v>
      </c>
      <c r="T244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4">
        <v>58133</v>
      </c>
      <c r="V2444" t="s">
        <v>38</v>
      </c>
      <c r="W2444" t="s">
        <v>300</v>
      </c>
      <c r="X2444">
        <v>10.00000000000000000000000000000000000002</v>
      </c>
      <c r="Y2444">
        <v>0</v>
      </c>
      <c r="Z2444" t="s">
        <v>46</v>
      </c>
      <c r="AA2444">
        <v>58264</v>
      </c>
      <c r="AB2444" t="s">
        <v>1983</v>
      </c>
      <c r="AC2444" t="s">
        <v>103</v>
      </c>
      <c r="AD2444" t="s">
        <v>38</v>
      </c>
      <c r="AE2444" t="s">
        <v>49</v>
      </c>
      <c r="AF2444" t="s">
        <v>50</v>
      </c>
      <c r="AG2444">
        <v>0</v>
      </c>
      <c r="AH2444">
        <v>0</v>
      </c>
      <c r="AI2444" t="s">
        <v>51</v>
      </c>
      <c r="AJ2444" t="s">
        <v>51</v>
      </c>
      <c r="AK2444" t="s">
        <v>51</v>
      </c>
    </row>
    <row r="2445" spans="1:37" x14ac:dyDescent="0.2">
      <c r="A2445">
        <v>58131</v>
      </c>
      <c r="B2445" t="s">
        <v>37</v>
      </c>
      <c r="C2445" t="s">
        <v>38</v>
      </c>
      <c r="D2445" t="s">
        <v>674</v>
      </c>
      <c r="E2445" t="s">
        <v>40</v>
      </c>
      <c r="G2445" s="4">
        <v>43946.006643518519</v>
      </c>
      <c r="H2445" s="4">
        <v>43946.007280092593</v>
      </c>
      <c r="I2445" t="s">
        <v>1960</v>
      </c>
      <c r="J2445" s="5">
        <v>54.99999999999999999999999999999999999999</v>
      </c>
      <c r="K2445" t="s">
        <v>38</v>
      </c>
      <c r="M2445">
        <v>58132</v>
      </c>
      <c r="N2445" t="s">
        <v>705</v>
      </c>
      <c r="O2445" t="s">
        <v>706</v>
      </c>
      <c r="P2445" t="s">
        <v>38</v>
      </c>
      <c r="Q2445" t="s">
        <v>300</v>
      </c>
      <c r="R2445">
        <v>10.00000000000000000000000000000000000002</v>
      </c>
      <c r="S2445" t="s">
        <v>45</v>
      </c>
      <c r="T244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5">
        <v>58133</v>
      </c>
      <c r="V2445" t="s">
        <v>38</v>
      </c>
      <c r="W2445" t="s">
        <v>300</v>
      </c>
      <c r="X2445">
        <v>10.00000000000000000000000000000000000002</v>
      </c>
      <c r="Y2445">
        <v>0</v>
      </c>
      <c r="Z2445" t="s">
        <v>46</v>
      </c>
      <c r="AA2445">
        <v>58263</v>
      </c>
      <c r="AB2445" t="s">
        <v>1984</v>
      </c>
      <c r="AC2445" t="s">
        <v>103</v>
      </c>
      <c r="AD2445" t="s">
        <v>38</v>
      </c>
      <c r="AE2445" t="s">
        <v>49</v>
      </c>
      <c r="AF2445" t="s">
        <v>50</v>
      </c>
      <c r="AG2445">
        <v>0</v>
      </c>
      <c r="AH2445">
        <v>0</v>
      </c>
      <c r="AI2445" t="s">
        <v>51</v>
      </c>
      <c r="AJ2445" t="s">
        <v>51</v>
      </c>
      <c r="AK2445" t="s">
        <v>51</v>
      </c>
    </row>
    <row r="2446" spans="1:37" x14ac:dyDescent="0.2">
      <c r="A2446">
        <v>58131</v>
      </c>
      <c r="B2446" t="s">
        <v>37</v>
      </c>
      <c r="C2446" t="s">
        <v>38</v>
      </c>
      <c r="D2446" t="s">
        <v>674</v>
      </c>
      <c r="E2446" t="s">
        <v>40</v>
      </c>
      <c r="G2446" s="4">
        <v>43946.006643518519</v>
      </c>
      <c r="H2446" s="4">
        <v>43946.007280092593</v>
      </c>
      <c r="I2446" t="s">
        <v>1960</v>
      </c>
      <c r="J2446" s="5">
        <v>54.99999999999999999999999999999999999999</v>
      </c>
      <c r="K2446" t="s">
        <v>38</v>
      </c>
      <c r="M2446">
        <v>58132</v>
      </c>
      <c r="N2446" t="s">
        <v>705</v>
      </c>
      <c r="O2446" t="s">
        <v>706</v>
      </c>
      <c r="P2446" t="s">
        <v>38</v>
      </c>
      <c r="Q2446" t="s">
        <v>300</v>
      </c>
      <c r="R2446">
        <v>10.00000000000000000000000000000000000002</v>
      </c>
      <c r="S2446" t="s">
        <v>45</v>
      </c>
      <c r="T244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6">
        <v>58133</v>
      </c>
      <c r="V2446" t="s">
        <v>38</v>
      </c>
      <c r="W2446" t="s">
        <v>300</v>
      </c>
      <c r="X2446">
        <v>10.00000000000000000000000000000000000002</v>
      </c>
      <c r="Y2446">
        <v>0</v>
      </c>
      <c r="Z2446" t="s">
        <v>46</v>
      </c>
      <c r="AA2446">
        <v>58262</v>
      </c>
      <c r="AB2446" t="s">
        <v>1985</v>
      </c>
      <c r="AC2446" t="s">
        <v>103</v>
      </c>
      <c r="AD2446" t="s">
        <v>38</v>
      </c>
      <c r="AE2446" t="s">
        <v>49</v>
      </c>
      <c r="AF2446" t="s">
        <v>50</v>
      </c>
      <c r="AG2446">
        <v>0</v>
      </c>
      <c r="AH2446">
        <v>0</v>
      </c>
      <c r="AI2446" t="s">
        <v>51</v>
      </c>
      <c r="AJ2446" t="s">
        <v>51</v>
      </c>
      <c r="AK2446" t="s">
        <v>51</v>
      </c>
    </row>
    <row r="2447" spans="1:37" x14ac:dyDescent="0.2">
      <c r="A2447">
        <v>58131</v>
      </c>
      <c r="B2447" t="s">
        <v>37</v>
      </c>
      <c r="C2447" t="s">
        <v>38</v>
      </c>
      <c r="D2447" t="s">
        <v>674</v>
      </c>
      <c r="E2447" t="s">
        <v>40</v>
      </c>
      <c r="G2447" s="4">
        <v>43946.006643518519</v>
      </c>
      <c r="H2447" s="4">
        <v>43946.007280092593</v>
      </c>
      <c r="I2447" t="s">
        <v>1960</v>
      </c>
      <c r="J2447" s="5">
        <v>54.99999999999999999999999999999999999999</v>
      </c>
      <c r="K2447" t="s">
        <v>38</v>
      </c>
      <c r="M2447">
        <v>58132</v>
      </c>
      <c r="N2447" t="s">
        <v>705</v>
      </c>
      <c r="O2447" t="s">
        <v>706</v>
      </c>
      <c r="P2447" t="s">
        <v>38</v>
      </c>
      <c r="Q2447" t="s">
        <v>300</v>
      </c>
      <c r="R2447">
        <v>10.00000000000000000000000000000000000002</v>
      </c>
      <c r="S2447" t="s">
        <v>45</v>
      </c>
      <c r="T244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7">
        <v>58133</v>
      </c>
      <c r="V2447" t="s">
        <v>38</v>
      </c>
      <c r="W2447" t="s">
        <v>300</v>
      </c>
      <c r="X2447">
        <v>10.00000000000000000000000000000000000002</v>
      </c>
      <c r="Y2447">
        <v>0</v>
      </c>
      <c r="Z2447" t="s">
        <v>46</v>
      </c>
      <c r="AA2447">
        <v>58261</v>
      </c>
      <c r="AB2447" t="s">
        <v>1986</v>
      </c>
      <c r="AC2447" t="s">
        <v>103</v>
      </c>
      <c r="AD2447" t="s">
        <v>38</v>
      </c>
      <c r="AE2447" t="s">
        <v>49</v>
      </c>
      <c r="AF2447" t="s">
        <v>50</v>
      </c>
      <c r="AG2447">
        <v>0</v>
      </c>
      <c r="AH2447">
        <v>0</v>
      </c>
      <c r="AI2447" t="s">
        <v>51</v>
      </c>
      <c r="AJ2447" t="s">
        <v>51</v>
      </c>
      <c r="AK2447" t="s">
        <v>51</v>
      </c>
    </row>
    <row r="2448" spans="1:37" x14ac:dyDescent="0.2">
      <c r="A2448">
        <v>58131</v>
      </c>
      <c r="B2448" t="s">
        <v>37</v>
      </c>
      <c r="C2448" t="s">
        <v>38</v>
      </c>
      <c r="D2448" t="s">
        <v>674</v>
      </c>
      <c r="E2448" t="s">
        <v>40</v>
      </c>
      <c r="G2448" s="4">
        <v>43946.006643518519</v>
      </c>
      <c r="H2448" s="4">
        <v>43946.007280092593</v>
      </c>
      <c r="I2448" t="s">
        <v>1960</v>
      </c>
      <c r="J2448" s="5">
        <v>54.99999999999999999999999999999999999999</v>
      </c>
      <c r="K2448" t="s">
        <v>38</v>
      </c>
      <c r="M2448">
        <v>58132</v>
      </c>
      <c r="N2448" t="s">
        <v>705</v>
      </c>
      <c r="O2448" t="s">
        <v>706</v>
      </c>
      <c r="P2448" t="s">
        <v>38</v>
      </c>
      <c r="Q2448" t="s">
        <v>300</v>
      </c>
      <c r="R2448">
        <v>10.00000000000000000000000000000000000002</v>
      </c>
      <c r="S2448" t="s">
        <v>45</v>
      </c>
      <c r="T244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8">
        <v>58133</v>
      </c>
      <c r="V2448" t="s">
        <v>38</v>
      </c>
      <c r="W2448" t="s">
        <v>300</v>
      </c>
      <c r="X2448">
        <v>10.00000000000000000000000000000000000002</v>
      </c>
      <c r="Y2448">
        <v>0</v>
      </c>
      <c r="Z2448" t="s">
        <v>46</v>
      </c>
      <c r="AA2448">
        <v>58260</v>
      </c>
      <c r="AB2448" t="s">
        <v>1987</v>
      </c>
      <c r="AC2448" t="s">
        <v>103</v>
      </c>
      <c r="AD2448" t="s">
        <v>38</v>
      </c>
      <c r="AE2448" t="s">
        <v>49</v>
      </c>
      <c r="AF2448" t="s">
        <v>50</v>
      </c>
      <c r="AG2448">
        <v>0</v>
      </c>
      <c r="AH2448">
        <v>0</v>
      </c>
      <c r="AI2448" t="s">
        <v>51</v>
      </c>
      <c r="AJ2448" t="s">
        <v>51</v>
      </c>
      <c r="AK2448" t="s">
        <v>51</v>
      </c>
    </row>
    <row r="2449" spans="1:37" x14ac:dyDescent="0.2">
      <c r="A2449">
        <v>58131</v>
      </c>
      <c r="B2449" t="s">
        <v>37</v>
      </c>
      <c r="C2449" t="s">
        <v>38</v>
      </c>
      <c r="D2449" t="s">
        <v>674</v>
      </c>
      <c r="E2449" t="s">
        <v>40</v>
      </c>
      <c r="G2449" s="4">
        <v>43946.006643518519</v>
      </c>
      <c r="H2449" s="4">
        <v>43946.007280092593</v>
      </c>
      <c r="I2449" t="s">
        <v>1960</v>
      </c>
      <c r="J2449" s="5">
        <v>54.99999999999999999999999999999999999999</v>
      </c>
      <c r="K2449" t="s">
        <v>38</v>
      </c>
      <c r="M2449">
        <v>58132</v>
      </c>
      <c r="N2449" t="s">
        <v>705</v>
      </c>
      <c r="O2449" t="s">
        <v>706</v>
      </c>
      <c r="P2449" t="s">
        <v>38</v>
      </c>
      <c r="Q2449" t="s">
        <v>300</v>
      </c>
      <c r="R2449">
        <v>10.00000000000000000000000000000000000002</v>
      </c>
      <c r="S2449" t="s">
        <v>45</v>
      </c>
      <c r="T244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49">
        <v>58133</v>
      </c>
      <c r="V2449" t="s">
        <v>38</v>
      </c>
      <c r="W2449" t="s">
        <v>300</v>
      </c>
      <c r="X2449">
        <v>10.00000000000000000000000000000000000002</v>
      </c>
      <c r="Y2449">
        <v>0</v>
      </c>
      <c r="Z2449" t="s">
        <v>46</v>
      </c>
      <c r="AA2449">
        <v>58259</v>
      </c>
      <c r="AB2449" t="s">
        <v>1988</v>
      </c>
      <c r="AC2449" t="s">
        <v>103</v>
      </c>
      <c r="AD2449" t="s">
        <v>38</v>
      </c>
      <c r="AE2449" t="s">
        <v>49</v>
      </c>
      <c r="AF2449" t="s">
        <v>50</v>
      </c>
      <c r="AG2449">
        <v>0</v>
      </c>
      <c r="AH2449">
        <v>0</v>
      </c>
      <c r="AI2449" t="s">
        <v>51</v>
      </c>
      <c r="AJ2449" t="s">
        <v>51</v>
      </c>
      <c r="AK2449" t="s">
        <v>51</v>
      </c>
    </row>
    <row r="2450" spans="1:37" x14ac:dyDescent="0.2">
      <c r="A2450">
        <v>58131</v>
      </c>
      <c r="B2450" t="s">
        <v>37</v>
      </c>
      <c r="C2450" t="s">
        <v>38</v>
      </c>
      <c r="D2450" t="s">
        <v>674</v>
      </c>
      <c r="E2450" t="s">
        <v>40</v>
      </c>
      <c r="G2450" s="4">
        <v>43946.006643518519</v>
      </c>
      <c r="H2450" s="4">
        <v>43946.007280092593</v>
      </c>
      <c r="I2450" t="s">
        <v>1960</v>
      </c>
      <c r="J2450" s="5">
        <v>54.99999999999999999999999999999999999999</v>
      </c>
      <c r="K2450" t="s">
        <v>38</v>
      </c>
      <c r="M2450">
        <v>58132</v>
      </c>
      <c r="N2450" t="s">
        <v>705</v>
      </c>
      <c r="O2450" t="s">
        <v>706</v>
      </c>
      <c r="P2450" t="s">
        <v>38</v>
      </c>
      <c r="Q2450" t="s">
        <v>300</v>
      </c>
      <c r="R2450">
        <v>10.00000000000000000000000000000000000002</v>
      </c>
      <c r="S2450" t="s">
        <v>45</v>
      </c>
      <c r="T245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0">
        <v>58133</v>
      </c>
      <c r="V2450" t="s">
        <v>38</v>
      </c>
      <c r="W2450" t="s">
        <v>300</v>
      </c>
      <c r="X2450">
        <v>10.00000000000000000000000000000000000002</v>
      </c>
      <c r="Y2450">
        <v>0</v>
      </c>
      <c r="Z2450" t="s">
        <v>46</v>
      </c>
      <c r="AA2450">
        <v>58258</v>
      </c>
      <c r="AB2450" t="s">
        <v>1989</v>
      </c>
      <c r="AC2450" t="s">
        <v>103</v>
      </c>
      <c r="AD2450" t="s">
        <v>38</v>
      </c>
      <c r="AE2450" t="s">
        <v>49</v>
      </c>
      <c r="AF2450" t="s">
        <v>50</v>
      </c>
      <c r="AG2450">
        <v>.9999999999999999999999999999999999999996</v>
      </c>
      <c r="AH2450">
        <v>0</v>
      </c>
      <c r="AI2450" t="s">
        <v>51</v>
      </c>
      <c r="AJ2450" t="s">
        <v>51</v>
      </c>
      <c r="AK2450" t="s">
        <v>51</v>
      </c>
    </row>
    <row r="2451" spans="1:37" x14ac:dyDescent="0.2">
      <c r="A2451">
        <v>58131</v>
      </c>
      <c r="B2451" t="s">
        <v>37</v>
      </c>
      <c r="C2451" t="s">
        <v>38</v>
      </c>
      <c r="D2451" t="s">
        <v>674</v>
      </c>
      <c r="E2451" t="s">
        <v>40</v>
      </c>
      <c r="G2451" s="4">
        <v>43946.006643518519</v>
      </c>
      <c r="H2451" s="4">
        <v>43946.007280092593</v>
      </c>
      <c r="I2451" t="s">
        <v>1960</v>
      </c>
      <c r="J2451" s="5">
        <v>54.99999999999999999999999999999999999999</v>
      </c>
      <c r="K2451" t="s">
        <v>38</v>
      </c>
      <c r="M2451">
        <v>58132</v>
      </c>
      <c r="N2451" t="s">
        <v>705</v>
      </c>
      <c r="O2451" t="s">
        <v>706</v>
      </c>
      <c r="P2451" t="s">
        <v>38</v>
      </c>
      <c r="Q2451" t="s">
        <v>300</v>
      </c>
      <c r="R2451">
        <v>10.00000000000000000000000000000000000002</v>
      </c>
      <c r="S2451" t="s">
        <v>45</v>
      </c>
      <c r="T245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1">
        <v>58133</v>
      </c>
      <c r="V2451" t="s">
        <v>38</v>
      </c>
      <c r="W2451" t="s">
        <v>300</v>
      </c>
      <c r="X2451">
        <v>10.00000000000000000000000000000000000002</v>
      </c>
      <c r="Y2451">
        <v>0</v>
      </c>
      <c r="Z2451" t="s">
        <v>46</v>
      </c>
      <c r="AA2451">
        <v>58257</v>
      </c>
      <c r="AB2451" t="s">
        <v>1990</v>
      </c>
      <c r="AC2451" t="s">
        <v>103</v>
      </c>
      <c r="AD2451" t="s">
        <v>38</v>
      </c>
      <c r="AE2451" t="s">
        <v>49</v>
      </c>
      <c r="AF2451" t="s">
        <v>50</v>
      </c>
      <c r="AG2451">
        <v>0</v>
      </c>
      <c r="AH2451">
        <v>0</v>
      </c>
      <c r="AI2451" t="s">
        <v>51</v>
      </c>
      <c r="AJ2451" t="s">
        <v>51</v>
      </c>
      <c r="AK2451" t="s">
        <v>51</v>
      </c>
    </row>
    <row r="2452" spans="1:37" x14ac:dyDescent="0.2">
      <c r="A2452">
        <v>58131</v>
      </c>
      <c r="B2452" t="s">
        <v>37</v>
      </c>
      <c r="C2452" t="s">
        <v>38</v>
      </c>
      <c r="D2452" t="s">
        <v>674</v>
      </c>
      <c r="E2452" t="s">
        <v>40</v>
      </c>
      <c r="G2452" s="4">
        <v>43946.006643518519</v>
      </c>
      <c r="H2452" s="4">
        <v>43946.007280092593</v>
      </c>
      <c r="I2452" t="s">
        <v>1960</v>
      </c>
      <c r="J2452" s="5">
        <v>54.99999999999999999999999999999999999999</v>
      </c>
      <c r="K2452" t="s">
        <v>38</v>
      </c>
      <c r="M2452">
        <v>58132</v>
      </c>
      <c r="N2452" t="s">
        <v>705</v>
      </c>
      <c r="O2452" t="s">
        <v>706</v>
      </c>
      <c r="P2452" t="s">
        <v>38</v>
      </c>
      <c r="Q2452" t="s">
        <v>300</v>
      </c>
      <c r="R2452">
        <v>10.00000000000000000000000000000000000002</v>
      </c>
      <c r="S2452" t="s">
        <v>45</v>
      </c>
      <c r="T245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2">
        <v>58133</v>
      </c>
      <c r="V2452" t="s">
        <v>38</v>
      </c>
      <c r="W2452" t="s">
        <v>300</v>
      </c>
      <c r="X2452">
        <v>10.00000000000000000000000000000000000002</v>
      </c>
      <c r="Y2452">
        <v>0</v>
      </c>
      <c r="Z2452" t="s">
        <v>46</v>
      </c>
      <c r="AA2452">
        <v>58256</v>
      </c>
      <c r="AB2452" t="s">
        <v>1991</v>
      </c>
      <c r="AC2452" t="s">
        <v>103</v>
      </c>
      <c r="AD2452" t="s">
        <v>38</v>
      </c>
      <c r="AE2452" t="s">
        <v>49</v>
      </c>
      <c r="AF2452" t="s">
        <v>50</v>
      </c>
      <c r="AG2452">
        <v>0</v>
      </c>
      <c r="AH2452">
        <v>0</v>
      </c>
      <c r="AI2452" t="s">
        <v>51</v>
      </c>
      <c r="AJ2452" t="s">
        <v>51</v>
      </c>
      <c r="AK2452" t="s">
        <v>51</v>
      </c>
    </row>
    <row r="2453" spans="1:37" x14ac:dyDescent="0.2">
      <c r="A2453">
        <v>58131</v>
      </c>
      <c r="B2453" t="s">
        <v>37</v>
      </c>
      <c r="C2453" t="s">
        <v>38</v>
      </c>
      <c r="D2453" t="s">
        <v>674</v>
      </c>
      <c r="E2453" t="s">
        <v>40</v>
      </c>
      <c r="G2453" s="4">
        <v>43946.006643518519</v>
      </c>
      <c r="H2453" s="4">
        <v>43946.007280092593</v>
      </c>
      <c r="I2453" t="s">
        <v>1960</v>
      </c>
      <c r="J2453" s="5">
        <v>54.99999999999999999999999999999999999999</v>
      </c>
      <c r="K2453" t="s">
        <v>38</v>
      </c>
      <c r="M2453">
        <v>58132</v>
      </c>
      <c r="N2453" t="s">
        <v>705</v>
      </c>
      <c r="O2453" t="s">
        <v>706</v>
      </c>
      <c r="P2453" t="s">
        <v>38</v>
      </c>
      <c r="Q2453" t="s">
        <v>300</v>
      </c>
      <c r="R2453">
        <v>10.00000000000000000000000000000000000002</v>
      </c>
      <c r="S2453" t="s">
        <v>45</v>
      </c>
      <c r="T245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3">
        <v>58133</v>
      </c>
      <c r="V2453" t="s">
        <v>38</v>
      </c>
      <c r="W2453" t="s">
        <v>300</v>
      </c>
      <c r="X2453">
        <v>10.00000000000000000000000000000000000002</v>
      </c>
      <c r="Y2453">
        <v>0</v>
      </c>
      <c r="Z2453" t="s">
        <v>46</v>
      </c>
      <c r="AA2453">
        <v>58255</v>
      </c>
      <c r="AB2453" t="s">
        <v>1992</v>
      </c>
      <c r="AC2453" t="s">
        <v>103</v>
      </c>
      <c r="AD2453" t="s">
        <v>38</v>
      </c>
      <c r="AE2453" t="s">
        <v>49</v>
      </c>
      <c r="AF2453" t="s">
        <v>50</v>
      </c>
      <c r="AG2453">
        <v>0</v>
      </c>
      <c r="AH2453">
        <v>0</v>
      </c>
      <c r="AI2453" t="s">
        <v>51</v>
      </c>
      <c r="AJ2453" t="s">
        <v>51</v>
      </c>
      <c r="AK2453" t="s">
        <v>51</v>
      </c>
    </row>
    <row r="2454" spans="1:37" x14ac:dyDescent="0.2">
      <c r="A2454">
        <v>58131</v>
      </c>
      <c r="B2454" t="s">
        <v>37</v>
      </c>
      <c r="C2454" t="s">
        <v>38</v>
      </c>
      <c r="D2454" t="s">
        <v>674</v>
      </c>
      <c r="E2454" t="s">
        <v>40</v>
      </c>
      <c r="G2454" s="4">
        <v>43946.006643518519</v>
      </c>
      <c r="H2454" s="4">
        <v>43946.007280092593</v>
      </c>
      <c r="I2454" t="s">
        <v>1960</v>
      </c>
      <c r="J2454" s="5">
        <v>54.99999999999999999999999999999999999999</v>
      </c>
      <c r="K2454" t="s">
        <v>38</v>
      </c>
      <c r="M2454">
        <v>58132</v>
      </c>
      <c r="N2454" t="s">
        <v>705</v>
      </c>
      <c r="O2454" t="s">
        <v>706</v>
      </c>
      <c r="P2454" t="s">
        <v>38</v>
      </c>
      <c r="Q2454" t="s">
        <v>300</v>
      </c>
      <c r="R2454">
        <v>10.00000000000000000000000000000000000002</v>
      </c>
      <c r="S2454" t="s">
        <v>45</v>
      </c>
      <c r="T245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4">
        <v>58133</v>
      </c>
      <c r="V2454" t="s">
        <v>38</v>
      </c>
      <c r="W2454" t="s">
        <v>300</v>
      </c>
      <c r="X2454">
        <v>10.00000000000000000000000000000000000002</v>
      </c>
      <c r="Y2454">
        <v>0</v>
      </c>
      <c r="Z2454" t="s">
        <v>46</v>
      </c>
      <c r="AA2454">
        <v>58254</v>
      </c>
      <c r="AB2454" t="s">
        <v>1993</v>
      </c>
      <c r="AC2454" t="s">
        <v>103</v>
      </c>
      <c r="AD2454" t="s">
        <v>38</v>
      </c>
      <c r="AE2454" t="s">
        <v>49</v>
      </c>
      <c r="AF2454" t="s">
        <v>50</v>
      </c>
      <c r="AG2454">
        <v>0</v>
      </c>
      <c r="AH2454">
        <v>0</v>
      </c>
      <c r="AI2454" t="s">
        <v>51</v>
      </c>
      <c r="AJ2454" t="s">
        <v>51</v>
      </c>
      <c r="AK2454" t="s">
        <v>51</v>
      </c>
    </row>
    <row r="2455" spans="1:37" x14ac:dyDescent="0.2">
      <c r="A2455">
        <v>58131</v>
      </c>
      <c r="B2455" t="s">
        <v>37</v>
      </c>
      <c r="C2455" t="s">
        <v>38</v>
      </c>
      <c r="D2455" t="s">
        <v>674</v>
      </c>
      <c r="E2455" t="s">
        <v>40</v>
      </c>
      <c r="G2455" s="4">
        <v>43946.006643518519</v>
      </c>
      <c r="H2455" s="4">
        <v>43946.007280092593</v>
      </c>
      <c r="I2455" t="s">
        <v>1960</v>
      </c>
      <c r="J2455" s="5">
        <v>54.99999999999999999999999999999999999999</v>
      </c>
      <c r="K2455" t="s">
        <v>38</v>
      </c>
      <c r="M2455">
        <v>58132</v>
      </c>
      <c r="N2455" t="s">
        <v>705</v>
      </c>
      <c r="O2455" t="s">
        <v>706</v>
      </c>
      <c r="P2455" t="s">
        <v>38</v>
      </c>
      <c r="Q2455" t="s">
        <v>300</v>
      </c>
      <c r="R2455">
        <v>10.00000000000000000000000000000000000002</v>
      </c>
      <c r="S2455" t="s">
        <v>45</v>
      </c>
      <c r="T245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5">
        <v>58133</v>
      </c>
      <c r="V2455" t="s">
        <v>38</v>
      </c>
      <c r="W2455" t="s">
        <v>300</v>
      </c>
      <c r="X2455">
        <v>10.00000000000000000000000000000000000002</v>
      </c>
      <c r="Y2455">
        <v>0</v>
      </c>
      <c r="Z2455" t="s">
        <v>46</v>
      </c>
      <c r="AA2455">
        <v>58253</v>
      </c>
      <c r="AB2455" t="s">
        <v>1994</v>
      </c>
      <c r="AC2455" t="s">
        <v>103</v>
      </c>
      <c r="AD2455" t="s">
        <v>38</v>
      </c>
      <c r="AE2455" t="s">
        <v>49</v>
      </c>
      <c r="AF2455" t="s">
        <v>50</v>
      </c>
      <c r="AG2455">
        <v>0</v>
      </c>
      <c r="AH2455">
        <v>0</v>
      </c>
      <c r="AI2455" t="s">
        <v>51</v>
      </c>
      <c r="AJ2455" t="s">
        <v>51</v>
      </c>
      <c r="AK2455" t="s">
        <v>51</v>
      </c>
    </row>
    <row r="2456" spans="1:37" x14ac:dyDescent="0.2">
      <c r="A2456">
        <v>58131</v>
      </c>
      <c r="B2456" t="s">
        <v>37</v>
      </c>
      <c r="C2456" t="s">
        <v>38</v>
      </c>
      <c r="D2456" t="s">
        <v>674</v>
      </c>
      <c r="E2456" t="s">
        <v>40</v>
      </c>
      <c r="G2456" s="4">
        <v>43946.006643518519</v>
      </c>
      <c r="H2456" s="4">
        <v>43946.007280092593</v>
      </c>
      <c r="I2456" t="s">
        <v>1960</v>
      </c>
      <c r="J2456" s="5">
        <v>54.99999999999999999999999999999999999999</v>
      </c>
      <c r="K2456" t="s">
        <v>38</v>
      </c>
      <c r="M2456">
        <v>58132</v>
      </c>
      <c r="N2456" t="s">
        <v>705</v>
      </c>
      <c r="O2456" t="s">
        <v>706</v>
      </c>
      <c r="P2456" t="s">
        <v>38</v>
      </c>
      <c r="Q2456" t="s">
        <v>300</v>
      </c>
      <c r="R2456">
        <v>10.00000000000000000000000000000000000002</v>
      </c>
      <c r="S2456" t="s">
        <v>45</v>
      </c>
      <c r="T245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6">
        <v>58133</v>
      </c>
      <c r="V2456" t="s">
        <v>38</v>
      </c>
      <c r="W2456" t="s">
        <v>300</v>
      </c>
      <c r="X2456">
        <v>10.00000000000000000000000000000000000002</v>
      </c>
      <c r="Y2456">
        <v>0</v>
      </c>
      <c r="Z2456" t="s">
        <v>46</v>
      </c>
      <c r="AA2456">
        <v>58252</v>
      </c>
      <c r="AB2456" t="s">
        <v>1995</v>
      </c>
      <c r="AC2456" t="s">
        <v>103</v>
      </c>
      <c r="AD2456" t="s">
        <v>38</v>
      </c>
      <c r="AE2456" t="s">
        <v>49</v>
      </c>
      <c r="AF2456" t="s">
        <v>50</v>
      </c>
      <c r="AG2456">
        <v>0</v>
      </c>
      <c r="AH2456">
        <v>0</v>
      </c>
      <c r="AI2456" t="s">
        <v>51</v>
      </c>
      <c r="AJ2456" t="s">
        <v>51</v>
      </c>
      <c r="AK2456" t="s">
        <v>51</v>
      </c>
    </row>
    <row r="2457" spans="1:37" x14ac:dyDescent="0.2">
      <c r="A2457">
        <v>58131</v>
      </c>
      <c r="B2457" t="s">
        <v>37</v>
      </c>
      <c r="C2457" t="s">
        <v>38</v>
      </c>
      <c r="D2457" t="s">
        <v>674</v>
      </c>
      <c r="E2457" t="s">
        <v>40</v>
      </c>
      <c r="G2457" s="4">
        <v>43946.006643518519</v>
      </c>
      <c r="H2457" s="4">
        <v>43946.007280092593</v>
      </c>
      <c r="I2457" t="s">
        <v>1960</v>
      </c>
      <c r="J2457" s="5">
        <v>54.99999999999999999999999999999999999999</v>
      </c>
      <c r="K2457" t="s">
        <v>38</v>
      </c>
      <c r="M2457">
        <v>58132</v>
      </c>
      <c r="N2457" t="s">
        <v>705</v>
      </c>
      <c r="O2457" t="s">
        <v>706</v>
      </c>
      <c r="P2457" t="s">
        <v>38</v>
      </c>
      <c r="Q2457" t="s">
        <v>300</v>
      </c>
      <c r="R2457">
        <v>10.00000000000000000000000000000000000002</v>
      </c>
      <c r="S2457" t="s">
        <v>45</v>
      </c>
      <c r="T245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7">
        <v>58133</v>
      </c>
      <c r="V2457" t="s">
        <v>38</v>
      </c>
      <c r="W2457" t="s">
        <v>300</v>
      </c>
      <c r="X2457">
        <v>10.00000000000000000000000000000000000002</v>
      </c>
      <c r="Y2457">
        <v>0</v>
      </c>
      <c r="Z2457" t="s">
        <v>46</v>
      </c>
      <c r="AA2457">
        <v>58251</v>
      </c>
      <c r="AB2457" t="s">
        <v>1996</v>
      </c>
      <c r="AC2457" t="s">
        <v>103</v>
      </c>
      <c r="AD2457" t="s">
        <v>38</v>
      </c>
      <c r="AE2457" t="s">
        <v>49</v>
      </c>
      <c r="AF2457" t="s">
        <v>50</v>
      </c>
      <c r="AG2457">
        <v>0</v>
      </c>
      <c r="AH2457">
        <v>0</v>
      </c>
      <c r="AI2457" t="s">
        <v>51</v>
      </c>
      <c r="AJ2457" t="s">
        <v>51</v>
      </c>
      <c r="AK2457" t="s">
        <v>51</v>
      </c>
    </row>
    <row r="2458" spans="1:37" x14ac:dyDescent="0.2">
      <c r="A2458">
        <v>58131</v>
      </c>
      <c r="B2458" t="s">
        <v>37</v>
      </c>
      <c r="C2458" t="s">
        <v>38</v>
      </c>
      <c r="D2458" t="s">
        <v>674</v>
      </c>
      <c r="E2458" t="s">
        <v>40</v>
      </c>
      <c r="G2458" s="4">
        <v>43946.006643518519</v>
      </c>
      <c r="H2458" s="4">
        <v>43946.007280092593</v>
      </c>
      <c r="I2458" t="s">
        <v>1960</v>
      </c>
      <c r="J2458" s="5">
        <v>54.99999999999999999999999999999999999999</v>
      </c>
      <c r="K2458" t="s">
        <v>38</v>
      </c>
      <c r="M2458">
        <v>58132</v>
      </c>
      <c r="N2458" t="s">
        <v>705</v>
      </c>
      <c r="O2458" t="s">
        <v>706</v>
      </c>
      <c r="P2458" t="s">
        <v>38</v>
      </c>
      <c r="Q2458" t="s">
        <v>300</v>
      </c>
      <c r="R2458">
        <v>10.00000000000000000000000000000000000002</v>
      </c>
      <c r="S2458" t="s">
        <v>45</v>
      </c>
      <c r="T245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8">
        <v>58133</v>
      </c>
      <c r="V2458" t="s">
        <v>38</v>
      </c>
      <c r="W2458" t="s">
        <v>300</v>
      </c>
      <c r="X2458">
        <v>10.00000000000000000000000000000000000002</v>
      </c>
      <c r="Y2458">
        <v>0</v>
      </c>
      <c r="Z2458" t="s">
        <v>46</v>
      </c>
      <c r="AA2458">
        <v>58250</v>
      </c>
      <c r="AB2458" t="s">
        <v>1997</v>
      </c>
      <c r="AC2458" t="s">
        <v>103</v>
      </c>
      <c r="AD2458" t="s">
        <v>38</v>
      </c>
      <c r="AE2458" t="s">
        <v>49</v>
      </c>
      <c r="AF2458" t="s">
        <v>50</v>
      </c>
      <c r="AG2458">
        <v>0</v>
      </c>
      <c r="AH2458">
        <v>0</v>
      </c>
      <c r="AI2458" t="s">
        <v>51</v>
      </c>
      <c r="AJ2458" t="s">
        <v>51</v>
      </c>
      <c r="AK2458" t="s">
        <v>51</v>
      </c>
    </row>
    <row r="2459" spans="1:37" x14ac:dyDescent="0.2">
      <c r="A2459">
        <v>58131</v>
      </c>
      <c r="B2459" t="s">
        <v>37</v>
      </c>
      <c r="C2459" t="s">
        <v>38</v>
      </c>
      <c r="D2459" t="s">
        <v>674</v>
      </c>
      <c r="E2459" t="s">
        <v>40</v>
      </c>
      <c r="G2459" s="4">
        <v>43946.006643518519</v>
      </c>
      <c r="H2459" s="4">
        <v>43946.007280092593</v>
      </c>
      <c r="I2459" t="s">
        <v>1960</v>
      </c>
      <c r="J2459" s="5">
        <v>54.99999999999999999999999999999999999999</v>
      </c>
      <c r="K2459" t="s">
        <v>38</v>
      </c>
      <c r="M2459">
        <v>58132</v>
      </c>
      <c r="N2459" t="s">
        <v>705</v>
      </c>
      <c r="O2459" t="s">
        <v>706</v>
      </c>
      <c r="P2459" t="s">
        <v>38</v>
      </c>
      <c r="Q2459" t="s">
        <v>300</v>
      </c>
      <c r="R2459">
        <v>10.00000000000000000000000000000000000002</v>
      </c>
      <c r="S2459" t="s">
        <v>45</v>
      </c>
      <c r="T245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59">
        <v>58133</v>
      </c>
      <c r="V2459" t="s">
        <v>38</v>
      </c>
      <c r="W2459" t="s">
        <v>300</v>
      </c>
      <c r="X2459">
        <v>10.00000000000000000000000000000000000002</v>
      </c>
      <c r="Y2459">
        <v>0</v>
      </c>
      <c r="Z2459" t="s">
        <v>46</v>
      </c>
      <c r="AA2459">
        <v>58249</v>
      </c>
      <c r="AB2459" t="s">
        <v>1998</v>
      </c>
      <c r="AC2459" t="s">
        <v>103</v>
      </c>
      <c r="AD2459" t="s">
        <v>38</v>
      </c>
      <c r="AE2459" t="s">
        <v>49</v>
      </c>
      <c r="AF2459" t="s">
        <v>50</v>
      </c>
      <c r="AG2459">
        <v>0</v>
      </c>
      <c r="AH2459">
        <v>0</v>
      </c>
      <c r="AI2459" t="s">
        <v>51</v>
      </c>
      <c r="AJ2459" t="s">
        <v>51</v>
      </c>
      <c r="AK2459" t="s">
        <v>51</v>
      </c>
    </row>
    <row r="2460" spans="1:37" x14ac:dyDescent="0.2">
      <c r="A2460">
        <v>58131</v>
      </c>
      <c r="B2460" t="s">
        <v>37</v>
      </c>
      <c r="C2460" t="s">
        <v>38</v>
      </c>
      <c r="D2460" t="s">
        <v>674</v>
      </c>
      <c r="E2460" t="s">
        <v>40</v>
      </c>
      <c r="G2460" s="4">
        <v>43946.006643518519</v>
      </c>
      <c r="H2460" s="4">
        <v>43946.007280092593</v>
      </c>
      <c r="I2460" t="s">
        <v>1960</v>
      </c>
      <c r="J2460" s="5">
        <v>54.99999999999999999999999999999999999999</v>
      </c>
      <c r="K2460" t="s">
        <v>38</v>
      </c>
      <c r="M2460">
        <v>58132</v>
      </c>
      <c r="N2460" t="s">
        <v>705</v>
      </c>
      <c r="O2460" t="s">
        <v>706</v>
      </c>
      <c r="P2460" t="s">
        <v>38</v>
      </c>
      <c r="Q2460" t="s">
        <v>300</v>
      </c>
      <c r="R2460">
        <v>10.00000000000000000000000000000000000002</v>
      </c>
      <c r="S2460" t="s">
        <v>45</v>
      </c>
      <c r="T246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0">
        <v>58133</v>
      </c>
      <c r="V2460" t="s">
        <v>38</v>
      </c>
      <c r="W2460" t="s">
        <v>300</v>
      </c>
      <c r="X2460">
        <v>10.00000000000000000000000000000000000002</v>
      </c>
      <c r="Y2460">
        <v>0</v>
      </c>
      <c r="Z2460" t="s">
        <v>46</v>
      </c>
      <c r="AA2460">
        <v>58248</v>
      </c>
      <c r="AB2460" t="s">
        <v>1999</v>
      </c>
      <c r="AC2460" t="s">
        <v>103</v>
      </c>
      <c r="AD2460" t="s">
        <v>38</v>
      </c>
      <c r="AE2460" t="s">
        <v>49</v>
      </c>
      <c r="AF2460" t="s">
        <v>50</v>
      </c>
      <c r="AG2460">
        <v>0</v>
      </c>
      <c r="AH2460">
        <v>0</v>
      </c>
      <c r="AI2460" t="s">
        <v>51</v>
      </c>
      <c r="AJ2460" t="s">
        <v>51</v>
      </c>
      <c r="AK2460" t="s">
        <v>51</v>
      </c>
    </row>
    <row r="2461" spans="1:37" x14ac:dyDescent="0.2">
      <c r="A2461">
        <v>58131</v>
      </c>
      <c r="B2461" t="s">
        <v>37</v>
      </c>
      <c r="C2461" t="s">
        <v>38</v>
      </c>
      <c r="D2461" t="s">
        <v>674</v>
      </c>
      <c r="E2461" t="s">
        <v>40</v>
      </c>
      <c r="G2461" s="4">
        <v>43946.006643518519</v>
      </c>
      <c r="H2461" s="4">
        <v>43946.007280092593</v>
      </c>
      <c r="I2461" t="s">
        <v>1960</v>
      </c>
      <c r="J2461" s="5">
        <v>54.99999999999999999999999999999999999999</v>
      </c>
      <c r="K2461" t="s">
        <v>38</v>
      </c>
      <c r="M2461">
        <v>58132</v>
      </c>
      <c r="N2461" t="s">
        <v>705</v>
      </c>
      <c r="O2461" t="s">
        <v>706</v>
      </c>
      <c r="P2461" t="s">
        <v>38</v>
      </c>
      <c r="Q2461" t="s">
        <v>300</v>
      </c>
      <c r="R2461">
        <v>10.00000000000000000000000000000000000002</v>
      </c>
      <c r="S2461" t="s">
        <v>45</v>
      </c>
      <c r="T246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1">
        <v>58133</v>
      </c>
      <c r="V2461" t="s">
        <v>38</v>
      </c>
      <c r="W2461" t="s">
        <v>300</v>
      </c>
      <c r="X2461">
        <v>10.00000000000000000000000000000000000002</v>
      </c>
      <c r="Y2461">
        <v>0</v>
      </c>
      <c r="Z2461" t="s">
        <v>46</v>
      </c>
      <c r="AA2461">
        <v>58247</v>
      </c>
      <c r="AB2461" t="s">
        <v>2000</v>
      </c>
      <c r="AC2461" t="s">
        <v>103</v>
      </c>
      <c r="AD2461" t="s">
        <v>38</v>
      </c>
      <c r="AE2461" t="s">
        <v>49</v>
      </c>
      <c r="AF2461" t="s">
        <v>50</v>
      </c>
      <c r="AG2461">
        <v>0</v>
      </c>
      <c r="AH2461">
        <v>0</v>
      </c>
      <c r="AI2461" t="s">
        <v>51</v>
      </c>
      <c r="AJ2461" t="s">
        <v>51</v>
      </c>
      <c r="AK2461" t="s">
        <v>51</v>
      </c>
    </row>
    <row r="2462" spans="1:37" x14ac:dyDescent="0.2">
      <c r="A2462">
        <v>58131</v>
      </c>
      <c r="B2462" t="s">
        <v>37</v>
      </c>
      <c r="C2462" t="s">
        <v>38</v>
      </c>
      <c r="D2462" t="s">
        <v>674</v>
      </c>
      <c r="E2462" t="s">
        <v>40</v>
      </c>
      <c r="G2462" s="4">
        <v>43946.006643518519</v>
      </c>
      <c r="H2462" s="4">
        <v>43946.007280092593</v>
      </c>
      <c r="I2462" t="s">
        <v>1960</v>
      </c>
      <c r="J2462" s="5">
        <v>54.99999999999999999999999999999999999999</v>
      </c>
      <c r="K2462" t="s">
        <v>38</v>
      </c>
      <c r="M2462">
        <v>58132</v>
      </c>
      <c r="N2462" t="s">
        <v>705</v>
      </c>
      <c r="O2462" t="s">
        <v>706</v>
      </c>
      <c r="P2462" t="s">
        <v>38</v>
      </c>
      <c r="Q2462" t="s">
        <v>300</v>
      </c>
      <c r="R2462">
        <v>10.00000000000000000000000000000000000002</v>
      </c>
      <c r="S2462" t="s">
        <v>45</v>
      </c>
      <c r="T246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2">
        <v>58133</v>
      </c>
      <c r="V2462" t="s">
        <v>38</v>
      </c>
      <c r="W2462" t="s">
        <v>300</v>
      </c>
      <c r="X2462">
        <v>10.00000000000000000000000000000000000002</v>
      </c>
      <c r="Y2462">
        <v>0</v>
      </c>
      <c r="Z2462" t="s">
        <v>46</v>
      </c>
      <c r="AA2462">
        <v>58246</v>
      </c>
      <c r="AB2462" t="s">
        <v>2001</v>
      </c>
      <c r="AC2462" t="s">
        <v>103</v>
      </c>
      <c r="AD2462" t="s">
        <v>38</v>
      </c>
      <c r="AE2462" t="s">
        <v>49</v>
      </c>
      <c r="AF2462" t="s">
        <v>50</v>
      </c>
      <c r="AG2462">
        <v>0</v>
      </c>
      <c r="AH2462">
        <v>0</v>
      </c>
      <c r="AI2462" t="s">
        <v>51</v>
      </c>
      <c r="AJ2462" t="s">
        <v>51</v>
      </c>
      <c r="AK2462" t="s">
        <v>51</v>
      </c>
    </row>
    <row r="2463" spans="1:37" x14ac:dyDescent="0.2">
      <c r="A2463">
        <v>58131</v>
      </c>
      <c r="B2463" t="s">
        <v>37</v>
      </c>
      <c r="C2463" t="s">
        <v>38</v>
      </c>
      <c r="D2463" t="s">
        <v>674</v>
      </c>
      <c r="E2463" t="s">
        <v>40</v>
      </c>
      <c r="G2463" s="4">
        <v>43946.006643518519</v>
      </c>
      <c r="H2463" s="4">
        <v>43946.007280092593</v>
      </c>
      <c r="I2463" t="s">
        <v>1960</v>
      </c>
      <c r="J2463" s="5">
        <v>54.99999999999999999999999999999999999999</v>
      </c>
      <c r="K2463" t="s">
        <v>38</v>
      </c>
      <c r="M2463">
        <v>58132</v>
      </c>
      <c r="N2463" t="s">
        <v>705</v>
      </c>
      <c r="O2463" t="s">
        <v>706</v>
      </c>
      <c r="P2463" t="s">
        <v>38</v>
      </c>
      <c r="Q2463" t="s">
        <v>300</v>
      </c>
      <c r="R2463">
        <v>10.00000000000000000000000000000000000002</v>
      </c>
      <c r="S2463" t="s">
        <v>45</v>
      </c>
      <c r="T246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3">
        <v>58133</v>
      </c>
      <c r="V2463" t="s">
        <v>38</v>
      </c>
      <c r="W2463" t="s">
        <v>300</v>
      </c>
      <c r="X2463">
        <v>10.00000000000000000000000000000000000002</v>
      </c>
      <c r="Y2463">
        <v>0</v>
      </c>
      <c r="Z2463" t="s">
        <v>46</v>
      </c>
      <c r="AA2463">
        <v>58245</v>
      </c>
      <c r="AB2463" t="s">
        <v>2002</v>
      </c>
      <c r="AC2463" t="s">
        <v>103</v>
      </c>
      <c r="AD2463" t="s">
        <v>38</v>
      </c>
      <c r="AE2463" t="s">
        <v>49</v>
      </c>
      <c r="AF2463" t="s">
        <v>50</v>
      </c>
      <c r="AG2463">
        <v>0</v>
      </c>
      <c r="AH2463">
        <v>0</v>
      </c>
      <c r="AI2463" t="s">
        <v>51</v>
      </c>
      <c r="AJ2463" t="s">
        <v>51</v>
      </c>
      <c r="AK2463" t="s">
        <v>51</v>
      </c>
    </row>
    <row r="2464" spans="1:37" x14ac:dyDescent="0.2">
      <c r="A2464">
        <v>58131</v>
      </c>
      <c r="B2464" t="s">
        <v>37</v>
      </c>
      <c r="C2464" t="s">
        <v>38</v>
      </c>
      <c r="D2464" t="s">
        <v>674</v>
      </c>
      <c r="E2464" t="s">
        <v>40</v>
      </c>
      <c r="G2464" s="4">
        <v>43946.006643518519</v>
      </c>
      <c r="H2464" s="4">
        <v>43946.007280092593</v>
      </c>
      <c r="I2464" t="s">
        <v>1960</v>
      </c>
      <c r="J2464" s="5">
        <v>54.99999999999999999999999999999999999999</v>
      </c>
      <c r="K2464" t="s">
        <v>38</v>
      </c>
      <c r="M2464">
        <v>58132</v>
      </c>
      <c r="N2464" t="s">
        <v>705</v>
      </c>
      <c r="O2464" t="s">
        <v>706</v>
      </c>
      <c r="P2464" t="s">
        <v>38</v>
      </c>
      <c r="Q2464" t="s">
        <v>300</v>
      </c>
      <c r="R2464">
        <v>10.00000000000000000000000000000000000002</v>
      </c>
      <c r="S2464" t="s">
        <v>45</v>
      </c>
      <c r="T246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4">
        <v>58133</v>
      </c>
      <c r="V2464" t="s">
        <v>38</v>
      </c>
      <c r="W2464" t="s">
        <v>300</v>
      </c>
      <c r="X2464">
        <v>10.00000000000000000000000000000000000002</v>
      </c>
      <c r="Y2464">
        <v>0</v>
      </c>
      <c r="Z2464" t="s">
        <v>46</v>
      </c>
      <c r="AA2464">
        <v>58244</v>
      </c>
      <c r="AB2464" t="s">
        <v>2003</v>
      </c>
      <c r="AC2464" t="s">
        <v>103</v>
      </c>
      <c r="AD2464" t="s">
        <v>38</v>
      </c>
      <c r="AE2464" t="s">
        <v>49</v>
      </c>
      <c r="AF2464" t="s">
        <v>50</v>
      </c>
      <c r="AG2464">
        <v>0</v>
      </c>
      <c r="AH2464">
        <v>0</v>
      </c>
      <c r="AI2464" t="s">
        <v>51</v>
      </c>
      <c r="AJ2464" t="s">
        <v>51</v>
      </c>
      <c r="AK2464" t="s">
        <v>51</v>
      </c>
    </row>
    <row r="2465" spans="1:37" x14ac:dyDescent="0.2">
      <c r="A2465">
        <v>58131</v>
      </c>
      <c r="B2465" t="s">
        <v>37</v>
      </c>
      <c r="C2465" t="s">
        <v>38</v>
      </c>
      <c r="D2465" t="s">
        <v>674</v>
      </c>
      <c r="E2465" t="s">
        <v>40</v>
      </c>
      <c r="G2465" s="4">
        <v>43946.006643518519</v>
      </c>
      <c r="H2465" s="4">
        <v>43946.007280092593</v>
      </c>
      <c r="I2465" t="s">
        <v>1960</v>
      </c>
      <c r="J2465" s="5">
        <v>54.99999999999999999999999999999999999999</v>
      </c>
      <c r="K2465" t="s">
        <v>38</v>
      </c>
      <c r="M2465">
        <v>58132</v>
      </c>
      <c r="N2465" t="s">
        <v>705</v>
      </c>
      <c r="O2465" t="s">
        <v>706</v>
      </c>
      <c r="P2465" t="s">
        <v>38</v>
      </c>
      <c r="Q2465" t="s">
        <v>300</v>
      </c>
      <c r="R2465">
        <v>10.00000000000000000000000000000000000002</v>
      </c>
      <c r="S2465" t="s">
        <v>45</v>
      </c>
      <c r="T246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5">
        <v>58133</v>
      </c>
      <c r="V2465" t="s">
        <v>38</v>
      </c>
      <c r="W2465" t="s">
        <v>300</v>
      </c>
      <c r="X2465">
        <v>10.00000000000000000000000000000000000002</v>
      </c>
      <c r="Y2465">
        <v>0</v>
      </c>
      <c r="Z2465" t="s">
        <v>46</v>
      </c>
      <c r="AA2465">
        <v>58243</v>
      </c>
      <c r="AB2465" t="s">
        <v>2004</v>
      </c>
      <c r="AC2465" t="s">
        <v>103</v>
      </c>
      <c r="AD2465" t="s">
        <v>38</v>
      </c>
      <c r="AE2465" t="s">
        <v>49</v>
      </c>
      <c r="AF2465" t="s">
        <v>50</v>
      </c>
      <c r="AG2465">
        <v>0</v>
      </c>
      <c r="AH2465">
        <v>0</v>
      </c>
      <c r="AI2465" t="s">
        <v>51</v>
      </c>
      <c r="AJ2465" t="s">
        <v>51</v>
      </c>
      <c r="AK2465" t="s">
        <v>51</v>
      </c>
    </row>
    <row r="2466" spans="1:37" x14ac:dyDescent="0.2">
      <c r="A2466">
        <v>58131</v>
      </c>
      <c r="B2466" t="s">
        <v>37</v>
      </c>
      <c r="C2466" t="s">
        <v>38</v>
      </c>
      <c r="D2466" t="s">
        <v>674</v>
      </c>
      <c r="E2466" t="s">
        <v>40</v>
      </c>
      <c r="G2466" s="4">
        <v>43946.006643518519</v>
      </c>
      <c r="H2466" s="4">
        <v>43946.007280092593</v>
      </c>
      <c r="I2466" t="s">
        <v>1960</v>
      </c>
      <c r="J2466" s="5">
        <v>54.99999999999999999999999999999999999999</v>
      </c>
      <c r="K2466" t="s">
        <v>38</v>
      </c>
      <c r="M2466">
        <v>58132</v>
      </c>
      <c r="N2466" t="s">
        <v>705</v>
      </c>
      <c r="O2466" t="s">
        <v>706</v>
      </c>
      <c r="P2466" t="s">
        <v>38</v>
      </c>
      <c r="Q2466" t="s">
        <v>300</v>
      </c>
      <c r="R2466">
        <v>10.00000000000000000000000000000000000002</v>
      </c>
      <c r="S2466" t="s">
        <v>45</v>
      </c>
      <c r="T246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6">
        <v>58133</v>
      </c>
      <c r="V2466" t="s">
        <v>38</v>
      </c>
      <c r="W2466" t="s">
        <v>300</v>
      </c>
      <c r="X2466">
        <v>10.00000000000000000000000000000000000002</v>
      </c>
      <c r="Y2466">
        <v>0</v>
      </c>
      <c r="Z2466" t="s">
        <v>46</v>
      </c>
      <c r="AA2466">
        <v>58242</v>
      </c>
      <c r="AB2466" t="s">
        <v>2005</v>
      </c>
      <c r="AC2466" t="s">
        <v>103</v>
      </c>
      <c r="AD2466" t="s">
        <v>38</v>
      </c>
      <c r="AE2466" t="s">
        <v>49</v>
      </c>
      <c r="AF2466" t="s">
        <v>50</v>
      </c>
      <c r="AG2466">
        <v>0</v>
      </c>
      <c r="AH2466">
        <v>0</v>
      </c>
      <c r="AI2466" t="s">
        <v>51</v>
      </c>
      <c r="AJ2466" t="s">
        <v>51</v>
      </c>
      <c r="AK2466" t="s">
        <v>51</v>
      </c>
    </row>
    <row r="2467" spans="1:37" x14ac:dyDescent="0.2">
      <c r="A2467">
        <v>58131</v>
      </c>
      <c r="B2467" t="s">
        <v>37</v>
      </c>
      <c r="C2467" t="s">
        <v>38</v>
      </c>
      <c r="D2467" t="s">
        <v>674</v>
      </c>
      <c r="E2467" t="s">
        <v>40</v>
      </c>
      <c r="G2467" s="4">
        <v>43946.006643518519</v>
      </c>
      <c r="H2467" s="4">
        <v>43946.007280092593</v>
      </c>
      <c r="I2467" t="s">
        <v>1960</v>
      </c>
      <c r="J2467" s="5">
        <v>54.99999999999999999999999999999999999999</v>
      </c>
      <c r="K2467" t="s">
        <v>38</v>
      </c>
      <c r="M2467">
        <v>58132</v>
      </c>
      <c r="N2467" t="s">
        <v>705</v>
      </c>
      <c r="O2467" t="s">
        <v>706</v>
      </c>
      <c r="P2467" t="s">
        <v>38</v>
      </c>
      <c r="Q2467" t="s">
        <v>300</v>
      </c>
      <c r="R2467">
        <v>10.00000000000000000000000000000000000002</v>
      </c>
      <c r="S2467" t="s">
        <v>45</v>
      </c>
      <c r="T246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7">
        <v>58133</v>
      </c>
      <c r="V2467" t="s">
        <v>38</v>
      </c>
      <c r="W2467" t="s">
        <v>300</v>
      </c>
      <c r="X2467">
        <v>10.00000000000000000000000000000000000002</v>
      </c>
      <c r="Y2467">
        <v>0</v>
      </c>
      <c r="Z2467" t="s">
        <v>46</v>
      </c>
      <c r="AA2467">
        <v>58241</v>
      </c>
      <c r="AB2467" t="s">
        <v>2006</v>
      </c>
      <c r="AC2467" t="s">
        <v>103</v>
      </c>
      <c r="AD2467" t="s">
        <v>38</v>
      </c>
      <c r="AE2467" t="s">
        <v>49</v>
      </c>
      <c r="AF2467" t="s">
        <v>50</v>
      </c>
      <c r="AG2467">
        <v>0</v>
      </c>
      <c r="AH2467">
        <v>0</v>
      </c>
      <c r="AI2467" t="s">
        <v>51</v>
      </c>
      <c r="AJ2467" t="s">
        <v>51</v>
      </c>
      <c r="AK2467" t="s">
        <v>51</v>
      </c>
    </row>
    <row r="2468" spans="1:37" x14ac:dyDescent="0.2">
      <c r="A2468">
        <v>58131</v>
      </c>
      <c r="B2468" t="s">
        <v>37</v>
      </c>
      <c r="C2468" t="s">
        <v>38</v>
      </c>
      <c r="D2468" t="s">
        <v>674</v>
      </c>
      <c r="E2468" t="s">
        <v>40</v>
      </c>
      <c r="G2468" s="4">
        <v>43946.006643518519</v>
      </c>
      <c r="H2468" s="4">
        <v>43946.007280092593</v>
      </c>
      <c r="I2468" t="s">
        <v>1960</v>
      </c>
      <c r="J2468" s="5">
        <v>54.99999999999999999999999999999999999999</v>
      </c>
      <c r="K2468" t="s">
        <v>38</v>
      </c>
      <c r="M2468">
        <v>58132</v>
      </c>
      <c r="N2468" t="s">
        <v>705</v>
      </c>
      <c r="O2468" t="s">
        <v>706</v>
      </c>
      <c r="P2468" t="s">
        <v>38</v>
      </c>
      <c r="Q2468" t="s">
        <v>300</v>
      </c>
      <c r="R2468">
        <v>10.00000000000000000000000000000000000002</v>
      </c>
      <c r="S2468" t="s">
        <v>45</v>
      </c>
      <c r="T246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8">
        <v>58133</v>
      </c>
      <c r="V2468" t="s">
        <v>38</v>
      </c>
      <c r="W2468" t="s">
        <v>300</v>
      </c>
      <c r="X2468">
        <v>10.00000000000000000000000000000000000002</v>
      </c>
      <c r="Y2468">
        <v>0</v>
      </c>
      <c r="Z2468" t="s">
        <v>46</v>
      </c>
      <c r="AA2468">
        <v>58240</v>
      </c>
      <c r="AB2468" t="s">
        <v>2007</v>
      </c>
      <c r="AC2468" t="s">
        <v>103</v>
      </c>
      <c r="AD2468" t="s">
        <v>38</v>
      </c>
      <c r="AE2468" t="s">
        <v>49</v>
      </c>
      <c r="AF2468" t="s">
        <v>50</v>
      </c>
      <c r="AG2468">
        <v>0</v>
      </c>
      <c r="AH2468">
        <v>0</v>
      </c>
      <c r="AI2468" t="s">
        <v>51</v>
      </c>
      <c r="AJ2468" t="s">
        <v>51</v>
      </c>
      <c r="AK2468" t="s">
        <v>51</v>
      </c>
    </row>
    <row r="2469" spans="1:37" x14ac:dyDescent="0.2">
      <c r="A2469">
        <v>58131</v>
      </c>
      <c r="B2469" t="s">
        <v>37</v>
      </c>
      <c r="C2469" t="s">
        <v>38</v>
      </c>
      <c r="D2469" t="s">
        <v>674</v>
      </c>
      <c r="E2469" t="s">
        <v>40</v>
      </c>
      <c r="G2469" s="4">
        <v>43946.006643518519</v>
      </c>
      <c r="H2469" s="4">
        <v>43946.007280092593</v>
      </c>
      <c r="I2469" t="s">
        <v>1960</v>
      </c>
      <c r="J2469" s="5">
        <v>54.99999999999999999999999999999999999999</v>
      </c>
      <c r="K2469" t="s">
        <v>38</v>
      </c>
      <c r="M2469">
        <v>58132</v>
      </c>
      <c r="N2469" t="s">
        <v>705</v>
      </c>
      <c r="O2469" t="s">
        <v>706</v>
      </c>
      <c r="P2469" t="s">
        <v>38</v>
      </c>
      <c r="Q2469" t="s">
        <v>300</v>
      </c>
      <c r="R2469">
        <v>10.00000000000000000000000000000000000002</v>
      </c>
      <c r="S2469" t="s">
        <v>45</v>
      </c>
      <c r="T246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69">
        <v>58133</v>
      </c>
      <c r="V2469" t="s">
        <v>38</v>
      </c>
      <c r="W2469" t="s">
        <v>300</v>
      </c>
      <c r="X2469">
        <v>10.00000000000000000000000000000000000002</v>
      </c>
      <c r="Y2469">
        <v>0</v>
      </c>
      <c r="Z2469" t="s">
        <v>46</v>
      </c>
      <c r="AA2469">
        <v>58239</v>
      </c>
      <c r="AB2469" t="s">
        <v>2008</v>
      </c>
      <c r="AC2469" t="s">
        <v>103</v>
      </c>
      <c r="AD2469" t="s">
        <v>38</v>
      </c>
      <c r="AE2469" t="s">
        <v>49</v>
      </c>
      <c r="AF2469" t="s">
        <v>50</v>
      </c>
      <c r="AG2469">
        <v>0</v>
      </c>
      <c r="AH2469">
        <v>0</v>
      </c>
      <c r="AI2469" t="s">
        <v>51</v>
      </c>
      <c r="AJ2469" t="s">
        <v>51</v>
      </c>
      <c r="AK2469" t="s">
        <v>51</v>
      </c>
    </row>
    <row r="2470" spans="1:37" x14ac:dyDescent="0.2">
      <c r="A2470">
        <v>58131</v>
      </c>
      <c r="B2470" t="s">
        <v>37</v>
      </c>
      <c r="C2470" t="s">
        <v>38</v>
      </c>
      <c r="D2470" t="s">
        <v>674</v>
      </c>
      <c r="E2470" t="s">
        <v>40</v>
      </c>
      <c r="G2470" s="4">
        <v>43946.006643518519</v>
      </c>
      <c r="H2470" s="4">
        <v>43946.007280092593</v>
      </c>
      <c r="I2470" t="s">
        <v>1960</v>
      </c>
      <c r="J2470" s="5">
        <v>54.99999999999999999999999999999999999999</v>
      </c>
      <c r="K2470" t="s">
        <v>38</v>
      </c>
      <c r="M2470">
        <v>58132</v>
      </c>
      <c r="N2470" t="s">
        <v>705</v>
      </c>
      <c r="O2470" t="s">
        <v>706</v>
      </c>
      <c r="P2470" t="s">
        <v>38</v>
      </c>
      <c r="Q2470" t="s">
        <v>300</v>
      </c>
      <c r="R2470">
        <v>10.00000000000000000000000000000000000002</v>
      </c>
      <c r="S2470" t="s">
        <v>45</v>
      </c>
      <c r="T247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0">
        <v>58133</v>
      </c>
      <c r="V2470" t="s">
        <v>38</v>
      </c>
      <c r="W2470" t="s">
        <v>300</v>
      </c>
      <c r="X2470">
        <v>10.00000000000000000000000000000000000002</v>
      </c>
      <c r="Y2470">
        <v>0</v>
      </c>
      <c r="Z2470" t="s">
        <v>46</v>
      </c>
      <c r="AA2470">
        <v>58238</v>
      </c>
      <c r="AB2470" t="s">
        <v>2009</v>
      </c>
      <c r="AC2470" t="s">
        <v>103</v>
      </c>
      <c r="AD2470" t="s">
        <v>38</v>
      </c>
      <c r="AE2470" t="s">
        <v>49</v>
      </c>
      <c r="AF2470" t="s">
        <v>50</v>
      </c>
      <c r="AG2470">
        <v>0</v>
      </c>
      <c r="AH2470">
        <v>0</v>
      </c>
      <c r="AI2470" t="s">
        <v>51</v>
      </c>
      <c r="AJ2470" t="s">
        <v>51</v>
      </c>
      <c r="AK2470" t="s">
        <v>51</v>
      </c>
    </row>
    <row r="2471" spans="1:37" x14ac:dyDescent="0.2">
      <c r="A2471">
        <v>58131</v>
      </c>
      <c r="B2471" t="s">
        <v>37</v>
      </c>
      <c r="C2471" t="s">
        <v>38</v>
      </c>
      <c r="D2471" t="s">
        <v>674</v>
      </c>
      <c r="E2471" t="s">
        <v>40</v>
      </c>
      <c r="G2471" s="4">
        <v>43946.006643518519</v>
      </c>
      <c r="H2471" s="4">
        <v>43946.007280092593</v>
      </c>
      <c r="I2471" t="s">
        <v>1960</v>
      </c>
      <c r="J2471" s="5">
        <v>54.99999999999999999999999999999999999999</v>
      </c>
      <c r="K2471" t="s">
        <v>38</v>
      </c>
      <c r="M2471">
        <v>58132</v>
      </c>
      <c r="N2471" t="s">
        <v>705</v>
      </c>
      <c r="O2471" t="s">
        <v>706</v>
      </c>
      <c r="P2471" t="s">
        <v>38</v>
      </c>
      <c r="Q2471" t="s">
        <v>300</v>
      </c>
      <c r="R2471">
        <v>10.00000000000000000000000000000000000002</v>
      </c>
      <c r="S2471" t="s">
        <v>45</v>
      </c>
      <c r="T247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1">
        <v>58133</v>
      </c>
      <c r="V2471" t="s">
        <v>38</v>
      </c>
      <c r="W2471" t="s">
        <v>300</v>
      </c>
      <c r="X2471">
        <v>10.00000000000000000000000000000000000002</v>
      </c>
      <c r="Y2471">
        <v>0</v>
      </c>
      <c r="Z2471" t="s">
        <v>46</v>
      </c>
      <c r="AA2471">
        <v>58237</v>
      </c>
      <c r="AB2471" t="s">
        <v>2010</v>
      </c>
      <c r="AC2471" t="s">
        <v>103</v>
      </c>
      <c r="AD2471" t="s">
        <v>38</v>
      </c>
      <c r="AE2471" t="s">
        <v>49</v>
      </c>
      <c r="AF2471" t="s">
        <v>50</v>
      </c>
      <c r="AG2471">
        <v>0</v>
      </c>
      <c r="AH2471">
        <v>0</v>
      </c>
      <c r="AI2471" t="s">
        <v>51</v>
      </c>
      <c r="AJ2471" t="s">
        <v>51</v>
      </c>
      <c r="AK2471" t="s">
        <v>51</v>
      </c>
    </row>
    <row r="2472" spans="1:37" x14ac:dyDescent="0.2">
      <c r="A2472">
        <v>58131</v>
      </c>
      <c r="B2472" t="s">
        <v>37</v>
      </c>
      <c r="C2472" t="s">
        <v>38</v>
      </c>
      <c r="D2472" t="s">
        <v>674</v>
      </c>
      <c r="E2472" t="s">
        <v>40</v>
      </c>
      <c r="G2472" s="4">
        <v>43946.006643518519</v>
      </c>
      <c r="H2472" s="4">
        <v>43946.007280092593</v>
      </c>
      <c r="I2472" t="s">
        <v>1960</v>
      </c>
      <c r="J2472" s="5">
        <v>54.99999999999999999999999999999999999999</v>
      </c>
      <c r="K2472" t="s">
        <v>38</v>
      </c>
      <c r="M2472">
        <v>58132</v>
      </c>
      <c r="N2472" t="s">
        <v>705</v>
      </c>
      <c r="O2472" t="s">
        <v>706</v>
      </c>
      <c r="P2472" t="s">
        <v>38</v>
      </c>
      <c r="Q2472" t="s">
        <v>300</v>
      </c>
      <c r="R2472">
        <v>10.00000000000000000000000000000000000002</v>
      </c>
      <c r="S2472" t="s">
        <v>45</v>
      </c>
      <c r="T247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2">
        <v>58133</v>
      </c>
      <c r="V2472" t="s">
        <v>38</v>
      </c>
      <c r="W2472" t="s">
        <v>300</v>
      </c>
      <c r="X2472">
        <v>10.00000000000000000000000000000000000002</v>
      </c>
      <c r="Y2472">
        <v>0</v>
      </c>
      <c r="Z2472" t="s">
        <v>46</v>
      </c>
      <c r="AA2472">
        <v>58236</v>
      </c>
      <c r="AB2472" t="s">
        <v>2011</v>
      </c>
      <c r="AC2472" t="s">
        <v>103</v>
      </c>
      <c r="AD2472" t="s">
        <v>38</v>
      </c>
      <c r="AE2472" t="s">
        <v>49</v>
      </c>
      <c r="AF2472" t="s">
        <v>50</v>
      </c>
      <c r="AG2472">
        <v>0</v>
      </c>
      <c r="AH2472">
        <v>0</v>
      </c>
      <c r="AI2472" t="s">
        <v>51</v>
      </c>
      <c r="AJ2472" t="s">
        <v>51</v>
      </c>
      <c r="AK2472" t="s">
        <v>51</v>
      </c>
    </row>
    <row r="2473" spans="1:37" x14ac:dyDescent="0.2">
      <c r="A2473">
        <v>58131</v>
      </c>
      <c r="B2473" t="s">
        <v>37</v>
      </c>
      <c r="C2473" t="s">
        <v>38</v>
      </c>
      <c r="D2473" t="s">
        <v>674</v>
      </c>
      <c r="E2473" t="s">
        <v>40</v>
      </c>
      <c r="G2473" s="4">
        <v>43946.006643518519</v>
      </c>
      <c r="H2473" s="4">
        <v>43946.007280092593</v>
      </c>
      <c r="I2473" t="s">
        <v>1960</v>
      </c>
      <c r="J2473" s="5">
        <v>54.99999999999999999999999999999999999999</v>
      </c>
      <c r="K2473" t="s">
        <v>38</v>
      </c>
      <c r="M2473">
        <v>58132</v>
      </c>
      <c r="N2473" t="s">
        <v>705</v>
      </c>
      <c r="O2473" t="s">
        <v>706</v>
      </c>
      <c r="P2473" t="s">
        <v>38</v>
      </c>
      <c r="Q2473" t="s">
        <v>300</v>
      </c>
      <c r="R2473">
        <v>10.00000000000000000000000000000000000002</v>
      </c>
      <c r="S2473" t="s">
        <v>45</v>
      </c>
      <c r="T247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3">
        <v>58133</v>
      </c>
      <c r="V2473" t="s">
        <v>38</v>
      </c>
      <c r="W2473" t="s">
        <v>300</v>
      </c>
      <c r="X2473">
        <v>10.00000000000000000000000000000000000002</v>
      </c>
      <c r="Y2473">
        <v>0</v>
      </c>
      <c r="Z2473" t="s">
        <v>46</v>
      </c>
      <c r="AA2473">
        <v>58235</v>
      </c>
      <c r="AB2473" t="s">
        <v>2012</v>
      </c>
      <c r="AC2473" t="s">
        <v>103</v>
      </c>
      <c r="AD2473" t="s">
        <v>38</v>
      </c>
      <c r="AE2473" t="s">
        <v>49</v>
      </c>
      <c r="AF2473" t="s">
        <v>50</v>
      </c>
      <c r="AG2473">
        <v>0</v>
      </c>
      <c r="AH2473">
        <v>0</v>
      </c>
      <c r="AI2473" t="s">
        <v>51</v>
      </c>
      <c r="AJ2473" t="s">
        <v>51</v>
      </c>
      <c r="AK2473" t="s">
        <v>51</v>
      </c>
    </row>
    <row r="2474" spans="1:37" x14ac:dyDescent="0.2">
      <c r="A2474">
        <v>58131</v>
      </c>
      <c r="B2474" t="s">
        <v>37</v>
      </c>
      <c r="C2474" t="s">
        <v>38</v>
      </c>
      <c r="D2474" t="s">
        <v>674</v>
      </c>
      <c r="E2474" t="s">
        <v>40</v>
      </c>
      <c r="G2474" s="4">
        <v>43946.006643518519</v>
      </c>
      <c r="H2474" s="4">
        <v>43946.007280092593</v>
      </c>
      <c r="I2474" t="s">
        <v>1960</v>
      </c>
      <c r="J2474" s="5">
        <v>54.99999999999999999999999999999999999999</v>
      </c>
      <c r="K2474" t="s">
        <v>38</v>
      </c>
      <c r="M2474">
        <v>58132</v>
      </c>
      <c r="N2474" t="s">
        <v>705</v>
      </c>
      <c r="O2474" t="s">
        <v>706</v>
      </c>
      <c r="P2474" t="s">
        <v>38</v>
      </c>
      <c r="Q2474" t="s">
        <v>300</v>
      </c>
      <c r="R2474">
        <v>10.00000000000000000000000000000000000002</v>
      </c>
      <c r="S2474" t="s">
        <v>45</v>
      </c>
      <c r="T247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4">
        <v>58133</v>
      </c>
      <c r="V2474" t="s">
        <v>38</v>
      </c>
      <c r="W2474" t="s">
        <v>300</v>
      </c>
      <c r="X2474">
        <v>10.00000000000000000000000000000000000002</v>
      </c>
      <c r="Y2474">
        <v>0</v>
      </c>
      <c r="Z2474" t="s">
        <v>46</v>
      </c>
      <c r="AA2474">
        <v>58234</v>
      </c>
      <c r="AB2474" t="s">
        <v>2013</v>
      </c>
      <c r="AC2474" t="s">
        <v>103</v>
      </c>
      <c r="AD2474" t="s">
        <v>38</v>
      </c>
      <c r="AE2474" t="s">
        <v>49</v>
      </c>
      <c r="AF2474" t="s">
        <v>50</v>
      </c>
      <c r="AG2474">
        <v>0</v>
      </c>
      <c r="AH2474">
        <v>0</v>
      </c>
      <c r="AI2474" t="s">
        <v>51</v>
      </c>
      <c r="AJ2474" t="s">
        <v>51</v>
      </c>
      <c r="AK2474" t="s">
        <v>51</v>
      </c>
    </row>
    <row r="2475" spans="1:37" x14ac:dyDescent="0.2">
      <c r="A2475">
        <v>58131</v>
      </c>
      <c r="B2475" t="s">
        <v>37</v>
      </c>
      <c r="C2475" t="s">
        <v>38</v>
      </c>
      <c r="D2475" t="s">
        <v>674</v>
      </c>
      <c r="E2475" t="s">
        <v>40</v>
      </c>
      <c r="G2475" s="4">
        <v>43946.006643518519</v>
      </c>
      <c r="H2475" s="4">
        <v>43946.007280092593</v>
      </c>
      <c r="I2475" t="s">
        <v>1960</v>
      </c>
      <c r="J2475" s="5">
        <v>54.99999999999999999999999999999999999999</v>
      </c>
      <c r="K2475" t="s">
        <v>38</v>
      </c>
      <c r="M2475">
        <v>58132</v>
      </c>
      <c r="N2475" t="s">
        <v>705</v>
      </c>
      <c r="O2475" t="s">
        <v>706</v>
      </c>
      <c r="P2475" t="s">
        <v>38</v>
      </c>
      <c r="Q2475" t="s">
        <v>300</v>
      </c>
      <c r="R2475">
        <v>10.00000000000000000000000000000000000002</v>
      </c>
      <c r="S2475" t="s">
        <v>45</v>
      </c>
      <c r="T247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5">
        <v>58133</v>
      </c>
      <c r="V2475" t="s">
        <v>38</v>
      </c>
      <c r="W2475" t="s">
        <v>300</v>
      </c>
      <c r="X2475">
        <v>10.00000000000000000000000000000000000002</v>
      </c>
      <c r="Y2475">
        <v>0</v>
      </c>
      <c r="Z2475" t="s">
        <v>46</v>
      </c>
      <c r="AA2475">
        <v>58233</v>
      </c>
      <c r="AB2475" t="s">
        <v>2014</v>
      </c>
      <c r="AC2475" t="s">
        <v>103</v>
      </c>
      <c r="AD2475" t="s">
        <v>38</v>
      </c>
      <c r="AE2475" t="s">
        <v>49</v>
      </c>
      <c r="AF2475" t="s">
        <v>50</v>
      </c>
      <c r="AG2475">
        <v>0</v>
      </c>
      <c r="AH2475">
        <v>0</v>
      </c>
      <c r="AI2475" t="s">
        <v>51</v>
      </c>
      <c r="AJ2475" t="s">
        <v>51</v>
      </c>
      <c r="AK2475" t="s">
        <v>51</v>
      </c>
    </row>
    <row r="2476" spans="1:37" x14ac:dyDescent="0.2">
      <c r="A2476">
        <v>58131</v>
      </c>
      <c r="B2476" t="s">
        <v>37</v>
      </c>
      <c r="C2476" t="s">
        <v>38</v>
      </c>
      <c r="D2476" t="s">
        <v>674</v>
      </c>
      <c r="E2476" t="s">
        <v>40</v>
      </c>
      <c r="G2476" s="4">
        <v>43946.006643518519</v>
      </c>
      <c r="H2476" s="4">
        <v>43946.007280092593</v>
      </c>
      <c r="I2476" t="s">
        <v>1960</v>
      </c>
      <c r="J2476" s="5">
        <v>54.99999999999999999999999999999999999999</v>
      </c>
      <c r="K2476" t="s">
        <v>38</v>
      </c>
      <c r="M2476">
        <v>58132</v>
      </c>
      <c r="N2476" t="s">
        <v>705</v>
      </c>
      <c r="O2476" t="s">
        <v>706</v>
      </c>
      <c r="P2476" t="s">
        <v>38</v>
      </c>
      <c r="Q2476" t="s">
        <v>300</v>
      </c>
      <c r="R2476">
        <v>10.00000000000000000000000000000000000002</v>
      </c>
      <c r="S2476" t="s">
        <v>45</v>
      </c>
      <c r="T247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6">
        <v>58133</v>
      </c>
      <c r="V2476" t="s">
        <v>38</v>
      </c>
      <c r="W2476" t="s">
        <v>300</v>
      </c>
      <c r="X2476">
        <v>10.00000000000000000000000000000000000002</v>
      </c>
      <c r="Y2476">
        <v>0</v>
      </c>
      <c r="Z2476" t="s">
        <v>46</v>
      </c>
      <c r="AA2476">
        <v>58232</v>
      </c>
      <c r="AB2476" t="s">
        <v>2015</v>
      </c>
      <c r="AC2476" t="s">
        <v>103</v>
      </c>
      <c r="AD2476" t="s">
        <v>38</v>
      </c>
      <c r="AE2476" t="s">
        <v>49</v>
      </c>
      <c r="AF2476" t="s">
        <v>50</v>
      </c>
      <c r="AG2476">
        <v>0</v>
      </c>
      <c r="AH2476">
        <v>0</v>
      </c>
      <c r="AI2476" t="s">
        <v>51</v>
      </c>
      <c r="AJ2476" t="s">
        <v>51</v>
      </c>
      <c r="AK2476" t="s">
        <v>51</v>
      </c>
    </row>
    <row r="2477" spans="1:37" x14ac:dyDescent="0.2">
      <c r="A2477">
        <v>58131</v>
      </c>
      <c r="B2477" t="s">
        <v>37</v>
      </c>
      <c r="C2477" t="s">
        <v>38</v>
      </c>
      <c r="D2477" t="s">
        <v>674</v>
      </c>
      <c r="E2477" t="s">
        <v>40</v>
      </c>
      <c r="G2477" s="4">
        <v>43946.006643518519</v>
      </c>
      <c r="H2477" s="4">
        <v>43946.007280092593</v>
      </c>
      <c r="I2477" t="s">
        <v>1960</v>
      </c>
      <c r="J2477" s="5">
        <v>54.99999999999999999999999999999999999999</v>
      </c>
      <c r="K2477" t="s">
        <v>38</v>
      </c>
      <c r="M2477">
        <v>58132</v>
      </c>
      <c r="N2477" t="s">
        <v>705</v>
      </c>
      <c r="O2477" t="s">
        <v>706</v>
      </c>
      <c r="P2477" t="s">
        <v>38</v>
      </c>
      <c r="Q2477" t="s">
        <v>300</v>
      </c>
      <c r="R2477">
        <v>10.00000000000000000000000000000000000002</v>
      </c>
      <c r="S2477" t="s">
        <v>45</v>
      </c>
      <c r="T247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7">
        <v>58133</v>
      </c>
      <c r="V2477" t="s">
        <v>38</v>
      </c>
      <c r="W2477" t="s">
        <v>300</v>
      </c>
      <c r="X2477">
        <v>10.00000000000000000000000000000000000002</v>
      </c>
      <c r="Y2477">
        <v>0</v>
      </c>
      <c r="Z2477" t="s">
        <v>46</v>
      </c>
      <c r="AA2477">
        <v>58231</v>
      </c>
      <c r="AB2477" t="s">
        <v>2016</v>
      </c>
      <c r="AC2477" t="s">
        <v>103</v>
      </c>
      <c r="AD2477" t="s">
        <v>38</v>
      </c>
      <c r="AE2477" t="s">
        <v>49</v>
      </c>
      <c r="AF2477" t="s">
        <v>50</v>
      </c>
      <c r="AG2477">
        <v>0</v>
      </c>
      <c r="AH2477">
        <v>0</v>
      </c>
      <c r="AI2477" t="s">
        <v>51</v>
      </c>
      <c r="AJ2477" t="s">
        <v>51</v>
      </c>
      <c r="AK2477" t="s">
        <v>51</v>
      </c>
    </row>
    <row r="2478" spans="1:37" x14ac:dyDescent="0.2">
      <c r="A2478">
        <v>58131</v>
      </c>
      <c r="B2478" t="s">
        <v>37</v>
      </c>
      <c r="C2478" t="s">
        <v>38</v>
      </c>
      <c r="D2478" t="s">
        <v>674</v>
      </c>
      <c r="E2478" t="s">
        <v>40</v>
      </c>
      <c r="G2478" s="4">
        <v>43946.006643518519</v>
      </c>
      <c r="H2478" s="4">
        <v>43946.007280092593</v>
      </c>
      <c r="I2478" t="s">
        <v>1960</v>
      </c>
      <c r="J2478" s="5">
        <v>54.99999999999999999999999999999999999999</v>
      </c>
      <c r="K2478" t="s">
        <v>38</v>
      </c>
      <c r="M2478">
        <v>58132</v>
      </c>
      <c r="N2478" t="s">
        <v>705</v>
      </c>
      <c r="O2478" t="s">
        <v>706</v>
      </c>
      <c r="P2478" t="s">
        <v>38</v>
      </c>
      <c r="Q2478" t="s">
        <v>300</v>
      </c>
      <c r="R2478">
        <v>10.00000000000000000000000000000000000002</v>
      </c>
      <c r="S2478" t="s">
        <v>45</v>
      </c>
      <c r="T247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8">
        <v>58133</v>
      </c>
      <c r="V2478" t="s">
        <v>38</v>
      </c>
      <c r="W2478" t="s">
        <v>300</v>
      </c>
      <c r="X2478">
        <v>10.00000000000000000000000000000000000002</v>
      </c>
      <c r="Y2478">
        <v>0</v>
      </c>
      <c r="Z2478" t="s">
        <v>46</v>
      </c>
      <c r="AA2478">
        <v>58230</v>
      </c>
      <c r="AB2478" t="s">
        <v>2017</v>
      </c>
      <c r="AC2478" t="s">
        <v>103</v>
      </c>
      <c r="AD2478" t="s">
        <v>38</v>
      </c>
      <c r="AE2478" t="s">
        <v>49</v>
      </c>
      <c r="AF2478" t="s">
        <v>50</v>
      </c>
      <c r="AG2478">
        <v>0</v>
      </c>
      <c r="AH2478">
        <v>0</v>
      </c>
      <c r="AI2478" t="s">
        <v>51</v>
      </c>
      <c r="AJ2478" t="s">
        <v>51</v>
      </c>
      <c r="AK2478" t="s">
        <v>51</v>
      </c>
    </row>
    <row r="2479" spans="1:37" x14ac:dyDescent="0.2">
      <c r="A2479">
        <v>58131</v>
      </c>
      <c r="B2479" t="s">
        <v>37</v>
      </c>
      <c r="C2479" t="s">
        <v>38</v>
      </c>
      <c r="D2479" t="s">
        <v>674</v>
      </c>
      <c r="E2479" t="s">
        <v>40</v>
      </c>
      <c r="G2479" s="4">
        <v>43946.006643518519</v>
      </c>
      <c r="H2479" s="4">
        <v>43946.007280092593</v>
      </c>
      <c r="I2479" t="s">
        <v>1960</v>
      </c>
      <c r="J2479" s="5">
        <v>54.99999999999999999999999999999999999999</v>
      </c>
      <c r="K2479" t="s">
        <v>38</v>
      </c>
      <c r="M2479">
        <v>58132</v>
      </c>
      <c r="N2479" t="s">
        <v>705</v>
      </c>
      <c r="O2479" t="s">
        <v>706</v>
      </c>
      <c r="P2479" t="s">
        <v>38</v>
      </c>
      <c r="Q2479" t="s">
        <v>300</v>
      </c>
      <c r="R2479">
        <v>10.00000000000000000000000000000000000002</v>
      </c>
      <c r="S2479" t="s">
        <v>45</v>
      </c>
      <c r="T247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79">
        <v>58133</v>
      </c>
      <c r="V2479" t="s">
        <v>38</v>
      </c>
      <c r="W2479" t="s">
        <v>300</v>
      </c>
      <c r="X2479">
        <v>10.00000000000000000000000000000000000002</v>
      </c>
      <c r="Y2479">
        <v>0</v>
      </c>
      <c r="Z2479" t="s">
        <v>46</v>
      </c>
      <c r="AA2479">
        <v>58229</v>
      </c>
      <c r="AB2479" t="s">
        <v>2018</v>
      </c>
      <c r="AC2479" t="s">
        <v>103</v>
      </c>
      <c r="AD2479" t="s">
        <v>38</v>
      </c>
      <c r="AE2479" t="s">
        <v>49</v>
      </c>
      <c r="AF2479" t="s">
        <v>50</v>
      </c>
      <c r="AG2479">
        <v>0</v>
      </c>
      <c r="AH2479">
        <v>0</v>
      </c>
      <c r="AI2479" t="s">
        <v>51</v>
      </c>
      <c r="AJ2479" t="s">
        <v>51</v>
      </c>
      <c r="AK2479" t="s">
        <v>51</v>
      </c>
    </row>
    <row r="2480" spans="1:37" x14ac:dyDescent="0.2">
      <c r="A2480">
        <v>58131</v>
      </c>
      <c r="B2480" t="s">
        <v>37</v>
      </c>
      <c r="C2480" t="s">
        <v>38</v>
      </c>
      <c r="D2480" t="s">
        <v>674</v>
      </c>
      <c r="E2480" t="s">
        <v>40</v>
      </c>
      <c r="G2480" s="4">
        <v>43946.006643518519</v>
      </c>
      <c r="H2480" s="4">
        <v>43946.007280092593</v>
      </c>
      <c r="I2480" t="s">
        <v>1960</v>
      </c>
      <c r="J2480" s="5">
        <v>54.99999999999999999999999999999999999999</v>
      </c>
      <c r="K2480" t="s">
        <v>38</v>
      </c>
      <c r="M2480">
        <v>58132</v>
      </c>
      <c r="N2480" t="s">
        <v>705</v>
      </c>
      <c r="O2480" t="s">
        <v>706</v>
      </c>
      <c r="P2480" t="s">
        <v>38</v>
      </c>
      <c r="Q2480" t="s">
        <v>300</v>
      </c>
      <c r="R2480">
        <v>10.00000000000000000000000000000000000002</v>
      </c>
      <c r="S2480" t="s">
        <v>45</v>
      </c>
      <c r="T248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0">
        <v>58133</v>
      </c>
      <c r="V2480" t="s">
        <v>38</v>
      </c>
      <c r="W2480" t="s">
        <v>300</v>
      </c>
      <c r="X2480">
        <v>10.00000000000000000000000000000000000002</v>
      </c>
      <c r="Y2480">
        <v>0</v>
      </c>
      <c r="Z2480" t="s">
        <v>46</v>
      </c>
      <c r="AA2480">
        <v>58228</v>
      </c>
      <c r="AB2480" t="s">
        <v>2019</v>
      </c>
      <c r="AC2480" t="s">
        <v>103</v>
      </c>
      <c r="AD2480" t="s">
        <v>38</v>
      </c>
      <c r="AE2480" t="s">
        <v>49</v>
      </c>
      <c r="AF2480" t="s">
        <v>50</v>
      </c>
      <c r="AG2480">
        <v>0</v>
      </c>
      <c r="AH2480">
        <v>0</v>
      </c>
      <c r="AI2480" t="s">
        <v>51</v>
      </c>
      <c r="AJ2480" t="s">
        <v>51</v>
      </c>
      <c r="AK2480" t="s">
        <v>51</v>
      </c>
    </row>
    <row r="2481" spans="1:37" x14ac:dyDescent="0.2">
      <c r="A2481">
        <v>58131</v>
      </c>
      <c r="B2481" t="s">
        <v>37</v>
      </c>
      <c r="C2481" t="s">
        <v>38</v>
      </c>
      <c r="D2481" t="s">
        <v>674</v>
      </c>
      <c r="E2481" t="s">
        <v>40</v>
      </c>
      <c r="G2481" s="4">
        <v>43946.006643518519</v>
      </c>
      <c r="H2481" s="4">
        <v>43946.007280092593</v>
      </c>
      <c r="I2481" t="s">
        <v>1960</v>
      </c>
      <c r="J2481" s="5">
        <v>54.99999999999999999999999999999999999999</v>
      </c>
      <c r="K2481" t="s">
        <v>38</v>
      </c>
      <c r="M2481">
        <v>58132</v>
      </c>
      <c r="N2481" t="s">
        <v>705</v>
      </c>
      <c r="O2481" t="s">
        <v>706</v>
      </c>
      <c r="P2481" t="s">
        <v>38</v>
      </c>
      <c r="Q2481" t="s">
        <v>300</v>
      </c>
      <c r="R2481">
        <v>10.00000000000000000000000000000000000002</v>
      </c>
      <c r="S2481" t="s">
        <v>45</v>
      </c>
      <c r="T248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1">
        <v>58133</v>
      </c>
      <c r="V2481" t="s">
        <v>38</v>
      </c>
      <c r="W2481" t="s">
        <v>300</v>
      </c>
      <c r="X2481">
        <v>10.00000000000000000000000000000000000002</v>
      </c>
      <c r="Y2481">
        <v>0</v>
      </c>
      <c r="Z2481" t="s">
        <v>46</v>
      </c>
      <c r="AA2481">
        <v>58227</v>
      </c>
      <c r="AB2481" t="s">
        <v>2020</v>
      </c>
      <c r="AC2481" t="s">
        <v>103</v>
      </c>
      <c r="AD2481" t="s">
        <v>38</v>
      </c>
      <c r="AE2481" t="s">
        <v>49</v>
      </c>
      <c r="AF2481" t="s">
        <v>50</v>
      </c>
      <c r="AG2481">
        <v>0</v>
      </c>
      <c r="AH2481">
        <v>0</v>
      </c>
      <c r="AI2481" t="s">
        <v>51</v>
      </c>
      <c r="AJ2481" t="s">
        <v>51</v>
      </c>
      <c r="AK2481" t="s">
        <v>51</v>
      </c>
    </row>
    <row r="2482" spans="1:37" x14ac:dyDescent="0.2">
      <c r="A2482">
        <v>58131</v>
      </c>
      <c r="B2482" t="s">
        <v>37</v>
      </c>
      <c r="C2482" t="s">
        <v>38</v>
      </c>
      <c r="D2482" t="s">
        <v>674</v>
      </c>
      <c r="E2482" t="s">
        <v>40</v>
      </c>
      <c r="G2482" s="4">
        <v>43946.006643518519</v>
      </c>
      <c r="H2482" s="4">
        <v>43946.007280092593</v>
      </c>
      <c r="I2482" t="s">
        <v>1960</v>
      </c>
      <c r="J2482" s="5">
        <v>54.99999999999999999999999999999999999999</v>
      </c>
      <c r="K2482" t="s">
        <v>38</v>
      </c>
      <c r="M2482">
        <v>58132</v>
      </c>
      <c r="N2482" t="s">
        <v>705</v>
      </c>
      <c r="O2482" t="s">
        <v>706</v>
      </c>
      <c r="P2482" t="s">
        <v>38</v>
      </c>
      <c r="Q2482" t="s">
        <v>300</v>
      </c>
      <c r="R2482">
        <v>10.00000000000000000000000000000000000002</v>
      </c>
      <c r="S2482" t="s">
        <v>45</v>
      </c>
      <c r="T248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2">
        <v>58133</v>
      </c>
      <c r="V2482" t="s">
        <v>38</v>
      </c>
      <c r="W2482" t="s">
        <v>300</v>
      </c>
      <c r="X2482">
        <v>10.00000000000000000000000000000000000002</v>
      </c>
      <c r="Y2482">
        <v>0</v>
      </c>
      <c r="Z2482" t="s">
        <v>46</v>
      </c>
      <c r="AA2482">
        <v>58226</v>
      </c>
      <c r="AB2482" t="s">
        <v>2021</v>
      </c>
      <c r="AC2482" t="s">
        <v>103</v>
      </c>
      <c r="AD2482" t="s">
        <v>38</v>
      </c>
      <c r="AE2482" t="s">
        <v>49</v>
      </c>
      <c r="AF2482" t="s">
        <v>50</v>
      </c>
      <c r="AG2482">
        <v>0</v>
      </c>
      <c r="AH2482">
        <v>0</v>
      </c>
      <c r="AI2482" t="s">
        <v>51</v>
      </c>
      <c r="AJ2482" t="s">
        <v>51</v>
      </c>
      <c r="AK2482" t="s">
        <v>51</v>
      </c>
    </row>
    <row r="2483" spans="1:37" x14ac:dyDescent="0.2">
      <c r="A2483">
        <v>58131</v>
      </c>
      <c r="B2483" t="s">
        <v>37</v>
      </c>
      <c r="C2483" t="s">
        <v>38</v>
      </c>
      <c r="D2483" t="s">
        <v>674</v>
      </c>
      <c r="E2483" t="s">
        <v>40</v>
      </c>
      <c r="G2483" s="4">
        <v>43946.006643518519</v>
      </c>
      <c r="H2483" s="4">
        <v>43946.007280092593</v>
      </c>
      <c r="I2483" t="s">
        <v>1960</v>
      </c>
      <c r="J2483" s="5">
        <v>54.99999999999999999999999999999999999999</v>
      </c>
      <c r="K2483" t="s">
        <v>38</v>
      </c>
      <c r="M2483">
        <v>58132</v>
      </c>
      <c r="N2483" t="s">
        <v>705</v>
      </c>
      <c r="O2483" t="s">
        <v>706</v>
      </c>
      <c r="P2483" t="s">
        <v>38</v>
      </c>
      <c r="Q2483" t="s">
        <v>300</v>
      </c>
      <c r="R2483">
        <v>10.00000000000000000000000000000000000002</v>
      </c>
      <c r="S2483" t="s">
        <v>45</v>
      </c>
      <c r="T248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3">
        <v>58133</v>
      </c>
      <c r="V2483" t="s">
        <v>38</v>
      </c>
      <c r="W2483" t="s">
        <v>300</v>
      </c>
      <c r="X2483">
        <v>10.00000000000000000000000000000000000002</v>
      </c>
      <c r="Y2483">
        <v>0</v>
      </c>
      <c r="Z2483" t="s">
        <v>46</v>
      </c>
      <c r="AA2483">
        <v>58225</v>
      </c>
      <c r="AB2483" t="s">
        <v>2022</v>
      </c>
      <c r="AC2483" t="s">
        <v>103</v>
      </c>
      <c r="AD2483" t="s">
        <v>38</v>
      </c>
      <c r="AE2483" t="s">
        <v>49</v>
      </c>
      <c r="AF2483" t="s">
        <v>50</v>
      </c>
      <c r="AG2483">
        <v>0</v>
      </c>
      <c r="AH2483">
        <v>0</v>
      </c>
      <c r="AI2483" t="s">
        <v>51</v>
      </c>
      <c r="AJ2483" t="s">
        <v>51</v>
      </c>
      <c r="AK2483" t="s">
        <v>51</v>
      </c>
    </row>
    <row r="2484" spans="1:37" x14ac:dyDescent="0.2">
      <c r="A2484">
        <v>58131</v>
      </c>
      <c r="B2484" t="s">
        <v>37</v>
      </c>
      <c r="C2484" t="s">
        <v>38</v>
      </c>
      <c r="D2484" t="s">
        <v>674</v>
      </c>
      <c r="E2484" t="s">
        <v>40</v>
      </c>
      <c r="G2484" s="4">
        <v>43946.006643518519</v>
      </c>
      <c r="H2484" s="4">
        <v>43946.007280092593</v>
      </c>
      <c r="I2484" t="s">
        <v>1960</v>
      </c>
      <c r="J2484" s="5">
        <v>54.99999999999999999999999999999999999999</v>
      </c>
      <c r="K2484" t="s">
        <v>38</v>
      </c>
      <c r="M2484">
        <v>58132</v>
      </c>
      <c r="N2484" t="s">
        <v>705</v>
      </c>
      <c r="O2484" t="s">
        <v>706</v>
      </c>
      <c r="P2484" t="s">
        <v>38</v>
      </c>
      <c r="Q2484" t="s">
        <v>300</v>
      </c>
      <c r="R2484">
        <v>10.00000000000000000000000000000000000002</v>
      </c>
      <c r="S2484" t="s">
        <v>45</v>
      </c>
      <c r="T248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4">
        <v>58133</v>
      </c>
      <c r="V2484" t="s">
        <v>38</v>
      </c>
      <c r="W2484" t="s">
        <v>300</v>
      </c>
      <c r="X2484">
        <v>10.00000000000000000000000000000000000002</v>
      </c>
      <c r="Y2484">
        <v>0</v>
      </c>
      <c r="Z2484" t="s">
        <v>46</v>
      </c>
      <c r="AA2484">
        <v>58224</v>
      </c>
      <c r="AB2484" t="s">
        <v>2023</v>
      </c>
      <c r="AC2484" t="s">
        <v>103</v>
      </c>
      <c r="AD2484" t="s">
        <v>38</v>
      </c>
      <c r="AE2484" t="s">
        <v>49</v>
      </c>
      <c r="AF2484" t="s">
        <v>50</v>
      </c>
      <c r="AG2484">
        <v>0</v>
      </c>
      <c r="AH2484">
        <v>0</v>
      </c>
      <c r="AI2484" t="s">
        <v>51</v>
      </c>
      <c r="AJ2484" t="s">
        <v>51</v>
      </c>
      <c r="AK2484" t="s">
        <v>51</v>
      </c>
    </row>
    <row r="2485" spans="1:37" x14ac:dyDescent="0.2">
      <c r="A2485">
        <v>58131</v>
      </c>
      <c r="B2485" t="s">
        <v>37</v>
      </c>
      <c r="C2485" t="s">
        <v>38</v>
      </c>
      <c r="D2485" t="s">
        <v>674</v>
      </c>
      <c r="E2485" t="s">
        <v>40</v>
      </c>
      <c r="G2485" s="4">
        <v>43946.006643518519</v>
      </c>
      <c r="H2485" s="4">
        <v>43946.007280092593</v>
      </c>
      <c r="I2485" t="s">
        <v>1960</v>
      </c>
      <c r="J2485" s="5">
        <v>54.99999999999999999999999999999999999999</v>
      </c>
      <c r="K2485" t="s">
        <v>38</v>
      </c>
      <c r="M2485">
        <v>58132</v>
      </c>
      <c r="N2485" t="s">
        <v>705</v>
      </c>
      <c r="O2485" t="s">
        <v>706</v>
      </c>
      <c r="P2485" t="s">
        <v>38</v>
      </c>
      <c r="Q2485" t="s">
        <v>300</v>
      </c>
      <c r="R2485">
        <v>10.00000000000000000000000000000000000002</v>
      </c>
      <c r="S2485" t="s">
        <v>45</v>
      </c>
      <c r="T248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5">
        <v>58133</v>
      </c>
      <c r="V2485" t="s">
        <v>38</v>
      </c>
      <c r="W2485" t="s">
        <v>300</v>
      </c>
      <c r="X2485">
        <v>10.00000000000000000000000000000000000002</v>
      </c>
      <c r="Y2485">
        <v>0</v>
      </c>
      <c r="Z2485" t="s">
        <v>46</v>
      </c>
      <c r="AA2485">
        <v>58223</v>
      </c>
      <c r="AB2485" t="s">
        <v>2024</v>
      </c>
      <c r="AC2485" t="s">
        <v>103</v>
      </c>
      <c r="AD2485" t="s">
        <v>38</v>
      </c>
      <c r="AE2485" t="s">
        <v>49</v>
      </c>
      <c r="AF2485" t="s">
        <v>50</v>
      </c>
      <c r="AG2485">
        <v>0</v>
      </c>
      <c r="AH2485">
        <v>0</v>
      </c>
      <c r="AI2485" t="s">
        <v>51</v>
      </c>
      <c r="AJ2485" t="s">
        <v>51</v>
      </c>
      <c r="AK2485" t="s">
        <v>51</v>
      </c>
    </row>
    <row r="2486" spans="1:37" x14ac:dyDescent="0.2">
      <c r="A2486">
        <v>58131</v>
      </c>
      <c r="B2486" t="s">
        <v>37</v>
      </c>
      <c r="C2486" t="s">
        <v>38</v>
      </c>
      <c r="D2486" t="s">
        <v>674</v>
      </c>
      <c r="E2486" t="s">
        <v>40</v>
      </c>
      <c r="G2486" s="4">
        <v>43946.006643518519</v>
      </c>
      <c r="H2486" s="4">
        <v>43946.007280092593</v>
      </c>
      <c r="I2486" t="s">
        <v>1960</v>
      </c>
      <c r="J2486" s="5">
        <v>54.99999999999999999999999999999999999999</v>
      </c>
      <c r="K2486" t="s">
        <v>38</v>
      </c>
      <c r="M2486">
        <v>58132</v>
      </c>
      <c r="N2486" t="s">
        <v>705</v>
      </c>
      <c r="O2486" t="s">
        <v>706</v>
      </c>
      <c r="P2486" t="s">
        <v>38</v>
      </c>
      <c r="Q2486" t="s">
        <v>300</v>
      </c>
      <c r="R2486">
        <v>10.00000000000000000000000000000000000002</v>
      </c>
      <c r="S2486" t="s">
        <v>45</v>
      </c>
      <c r="T248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6">
        <v>58133</v>
      </c>
      <c r="V2486" t="s">
        <v>38</v>
      </c>
      <c r="W2486" t="s">
        <v>300</v>
      </c>
      <c r="X2486">
        <v>10.00000000000000000000000000000000000002</v>
      </c>
      <c r="Y2486">
        <v>0</v>
      </c>
      <c r="Z2486" t="s">
        <v>46</v>
      </c>
      <c r="AA2486">
        <v>58222</v>
      </c>
      <c r="AB2486" t="s">
        <v>2025</v>
      </c>
      <c r="AC2486" t="s">
        <v>103</v>
      </c>
      <c r="AD2486" t="s">
        <v>38</v>
      </c>
      <c r="AE2486" t="s">
        <v>49</v>
      </c>
      <c r="AF2486" t="s">
        <v>50</v>
      </c>
      <c r="AG2486">
        <v>0</v>
      </c>
      <c r="AH2486">
        <v>0</v>
      </c>
      <c r="AI2486" t="s">
        <v>51</v>
      </c>
      <c r="AJ2486" t="s">
        <v>51</v>
      </c>
      <c r="AK2486" t="s">
        <v>51</v>
      </c>
    </row>
    <row r="2487" spans="1:37" x14ac:dyDescent="0.2">
      <c r="A2487">
        <v>58131</v>
      </c>
      <c r="B2487" t="s">
        <v>37</v>
      </c>
      <c r="C2487" t="s">
        <v>38</v>
      </c>
      <c r="D2487" t="s">
        <v>674</v>
      </c>
      <c r="E2487" t="s">
        <v>40</v>
      </c>
      <c r="G2487" s="4">
        <v>43946.006643518519</v>
      </c>
      <c r="H2487" s="4">
        <v>43946.007280092593</v>
      </c>
      <c r="I2487" t="s">
        <v>1960</v>
      </c>
      <c r="J2487" s="5">
        <v>54.99999999999999999999999999999999999999</v>
      </c>
      <c r="K2487" t="s">
        <v>38</v>
      </c>
      <c r="M2487">
        <v>58132</v>
      </c>
      <c r="N2487" t="s">
        <v>705</v>
      </c>
      <c r="O2487" t="s">
        <v>706</v>
      </c>
      <c r="P2487" t="s">
        <v>38</v>
      </c>
      <c r="Q2487" t="s">
        <v>300</v>
      </c>
      <c r="R2487">
        <v>10.00000000000000000000000000000000000002</v>
      </c>
      <c r="S2487" t="s">
        <v>45</v>
      </c>
      <c r="T248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7">
        <v>58133</v>
      </c>
      <c r="V2487" t="s">
        <v>38</v>
      </c>
      <c r="W2487" t="s">
        <v>300</v>
      </c>
      <c r="X2487">
        <v>10.00000000000000000000000000000000000002</v>
      </c>
      <c r="Y2487">
        <v>0</v>
      </c>
      <c r="Z2487" t="s">
        <v>46</v>
      </c>
      <c r="AA2487">
        <v>58221</v>
      </c>
      <c r="AB2487" t="s">
        <v>2026</v>
      </c>
      <c r="AC2487" t="s">
        <v>103</v>
      </c>
      <c r="AD2487" t="s">
        <v>38</v>
      </c>
      <c r="AE2487" t="s">
        <v>49</v>
      </c>
      <c r="AF2487" t="s">
        <v>50</v>
      </c>
      <c r="AG2487">
        <v>0</v>
      </c>
      <c r="AH2487">
        <v>0</v>
      </c>
      <c r="AI2487" t="s">
        <v>51</v>
      </c>
      <c r="AJ2487" t="s">
        <v>51</v>
      </c>
      <c r="AK2487" t="s">
        <v>51</v>
      </c>
    </row>
    <row r="2488" spans="1:37" x14ac:dyDescent="0.2">
      <c r="A2488">
        <v>58131</v>
      </c>
      <c r="B2488" t="s">
        <v>37</v>
      </c>
      <c r="C2488" t="s">
        <v>38</v>
      </c>
      <c r="D2488" t="s">
        <v>674</v>
      </c>
      <c r="E2488" t="s">
        <v>40</v>
      </c>
      <c r="G2488" s="4">
        <v>43946.006643518519</v>
      </c>
      <c r="H2488" s="4">
        <v>43946.007280092593</v>
      </c>
      <c r="I2488" t="s">
        <v>1960</v>
      </c>
      <c r="J2488" s="5">
        <v>54.99999999999999999999999999999999999999</v>
      </c>
      <c r="K2488" t="s">
        <v>38</v>
      </c>
      <c r="M2488">
        <v>58132</v>
      </c>
      <c r="N2488" t="s">
        <v>705</v>
      </c>
      <c r="O2488" t="s">
        <v>706</v>
      </c>
      <c r="P2488" t="s">
        <v>38</v>
      </c>
      <c r="Q2488" t="s">
        <v>300</v>
      </c>
      <c r="R2488">
        <v>10.00000000000000000000000000000000000002</v>
      </c>
      <c r="S2488" t="s">
        <v>45</v>
      </c>
      <c r="T248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8">
        <v>58133</v>
      </c>
      <c r="V2488" t="s">
        <v>38</v>
      </c>
      <c r="W2488" t="s">
        <v>300</v>
      </c>
      <c r="X2488">
        <v>10.00000000000000000000000000000000000002</v>
      </c>
      <c r="Y2488">
        <v>0</v>
      </c>
      <c r="Z2488" t="s">
        <v>46</v>
      </c>
      <c r="AA2488">
        <v>58220</v>
      </c>
      <c r="AB2488" t="s">
        <v>2027</v>
      </c>
      <c r="AC2488" t="s">
        <v>103</v>
      </c>
      <c r="AD2488" t="s">
        <v>38</v>
      </c>
      <c r="AE2488" t="s">
        <v>49</v>
      </c>
      <c r="AF2488" t="s">
        <v>50</v>
      </c>
      <c r="AG2488">
        <v>0</v>
      </c>
      <c r="AH2488">
        <v>0</v>
      </c>
      <c r="AI2488" t="s">
        <v>51</v>
      </c>
      <c r="AJ2488" t="s">
        <v>51</v>
      </c>
      <c r="AK2488" t="s">
        <v>51</v>
      </c>
    </row>
    <row r="2489" spans="1:37" x14ac:dyDescent="0.2">
      <c r="A2489">
        <v>58131</v>
      </c>
      <c r="B2489" t="s">
        <v>37</v>
      </c>
      <c r="C2489" t="s">
        <v>38</v>
      </c>
      <c r="D2489" t="s">
        <v>674</v>
      </c>
      <c r="E2489" t="s">
        <v>40</v>
      </c>
      <c r="G2489" s="4">
        <v>43946.006643518519</v>
      </c>
      <c r="H2489" s="4">
        <v>43946.007280092593</v>
      </c>
      <c r="I2489" t="s">
        <v>1960</v>
      </c>
      <c r="J2489" s="5">
        <v>54.99999999999999999999999999999999999999</v>
      </c>
      <c r="K2489" t="s">
        <v>38</v>
      </c>
      <c r="M2489">
        <v>58132</v>
      </c>
      <c r="N2489" t="s">
        <v>705</v>
      </c>
      <c r="O2489" t="s">
        <v>706</v>
      </c>
      <c r="P2489" t="s">
        <v>38</v>
      </c>
      <c r="Q2489" t="s">
        <v>300</v>
      </c>
      <c r="R2489">
        <v>10.00000000000000000000000000000000000002</v>
      </c>
      <c r="S2489" t="s">
        <v>45</v>
      </c>
      <c r="T248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89">
        <v>58133</v>
      </c>
      <c r="V2489" t="s">
        <v>38</v>
      </c>
      <c r="W2489" t="s">
        <v>300</v>
      </c>
      <c r="X2489">
        <v>10.00000000000000000000000000000000000002</v>
      </c>
      <c r="Y2489">
        <v>0</v>
      </c>
      <c r="Z2489" t="s">
        <v>46</v>
      </c>
      <c r="AA2489">
        <v>58219</v>
      </c>
      <c r="AB2489" t="s">
        <v>2028</v>
      </c>
      <c r="AC2489" t="s">
        <v>103</v>
      </c>
      <c r="AD2489" t="s">
        <v>38</v>
      </c>
      <c r="AE2489" t="s">
        <v>49</v>
      </c>
      <c r="AF2489" t="s">
        <v>50</v>
      </c>
      <c r="AG2489">
        <v>0</v>
      </c>
      <c r="AH2489">
        <v>0</v>
      </c>
      <c r="AI2489" t="s">
        <v>51</v>
      </c>
      <c r="AJ2489" t="s">
        <v>51</v>
      </c>
      <c r="AK2489" t="s">
        <v>51</v>
      </c>
    </row>
    <row r="2490" spans="1:37" x14ac:dyDescent="0.2">
      <c r="A2490">
        <v>58131</v>
      </c>
      <c r="B2490" t="s">
        <v>37</v>
      </c>
      <c r="C2490" t="s">
        <v>38</v>
      </c>
      <c r="D2490" t="s">
        <v>674</v>
      </c>
      <c r="E2490" t="s">
        <v>40</v>
      </c>
      <c r="G2490" s="4">
        <v>43946.006643518519</v>
      </c>
      <c r="H2490" s="4">
        <v>43946.007280092593</v>
      </c>
      <c r="I2490" t="s">
        <v>1960</v>
      </c>
      <c r="J2490" s="5">
        <v>54.99999999999999999999999999999999999999</v>
      </c>
      <c r="K2490" t="s">
        <v>38</v>
      </c>
      <c r="M2490">
        <v>58132</v>
      </c>
      <c r="N2490" t="s">
        <v>705</v>
      </c>
      <c r="O2490" t="s">
        <v>706</v>
      </c>
      <c r="P2490" t="s">
        <v>38</v>
      </c>
      <c r="Q2490" t="s">
        <v>300</v>
      </c>
      <c r="R2490">
        <v>10.00000000000000000000000000000000000002</v>
      </c>
      <c r="S2490" t="s">
        <v>45</v>
      </c>
      <c r="T249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0">
        <v>58133</v>
      </c>
      <c r="V2490" t="s">
        <v>38</v>
      </c>
      <c r="W2490" t="s">
        <v>300</v>
      </c>
      <c r="X2490">
        <v>10.00000000000000000000000000000000000002</v>
      </c>
      <c r="Y2490">
        <v>0</v>
      </c>
      <c r="Z2490" t="s">
        <v>46</v>
      </c>
      <c r="AA2490">
        <v>58218</v>
      </c>
      <c r="AB2490" t="s">
        <v>2029</v>
      </c>
      <c r="AC2490" t="s">
        <v>103</v>
      </c>
      <c r="AD2490" t="s">
        <v>38</v>
      </c>
      <c r="AE2490" t="s">
        <v>49</v>
      </c>
      <c r="AF2490" t="s">
        <v>50</v>
      </c>
      <c r="AG2490">
        <v>0</v>
      </c>
      <c r="AH2490">
        <v>0</v>
      </c>
      <c r="AI2490" t="s">
        <v>51</v>
      </c>
      <c r="AJ2490" t="s">
        <v>51</v>
      </c>
      <c r="AK2490" t="s">
        <v>51</v>
      </c>
    </row>
    <row r="2491" spans="1:37" x14ac:dyDescent="0.2">
      <c r="A2491">
        <v>58131</v>
      </c>
      <c r="B2491" t="s">
        <v>37</v>
      </c>
      <c r="C2491" t="s">
        <v>38</v>
      </c>
      <c r="D2491" t="s">
        <v>674</v>
      </c>
      <c r="E2491" t="s">
        <v>40</v>
      </c>
      <c r="G2491" s="4">
        <v>43946.006643518519</v>
      </c>
      <c r="H2491" s="4">
        <v>43946.007280092593</v>
      </c>
      <c r="I2491" t="s">
        <v>1960</v>
      </c>
      <c r="J2491" s="5">
        <v>54.99999999999999999999999999999999999999</v>
      </c>
      <c r="K2491" t="s">
        <v>38</v>
      </c>
      <c r="M2491">
        <v>58132</v>
      </c>
      <c r="N2491" t="s">
        <v>705</v>
      </c>
      <c r="O2491" t="s">
        <v>706</v>
      </c>
      <c r="P2491" t="s">
        <v>38</v>
      </c>
      <c r="Q2491" t="s">
        <v>300</v>
      </c>
      <c r="R2491">
        <v>10.00000000000000000000000000000000000002</v>
      </c>
      <c r="S2491" t="s">
        <v>45</v>
      </c>
      <c r="T249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1">
        <v>58133</v>
      </c>
      <c r="V2491" t="s">
        <v>38</v>
      </c>
      <c r="W2491" t="s">
        <v>300</v>
      </c>
      <c r="X2491">
        <v>10.00000000000000000000000000000000000002</v>
      </c>
      <c r="Y2491">
        <v>0</v>
      </c>
      <c r="Z2491" t="s">
        <v>46</v>
      </c>
      <c r="AA2491">
        <v>58217</v>
      </c>
      <c r="AB2491" t="s">
        <v>2030</v>
      </c>
      <c r="AC2491" t="s">
        <v>103</v>
      </c>
      <c r="AD2491" t="s">
        <v>38</v>
      </c>
      <c r="AE2491" t="s">
        <v>49</v>
      </c>
      <c r="AF2491" t="s">
        <v>50</v>
      </c>
      <c r="AG2491">
        <v>.9999999999999999999999999999999999999996</v>
      </c>
      <c r="AH2491">
        <v>0</v>
      </c>
      <c r="AI2491" t="s">
        <v>51</v>
      </c>
      <c r="AJ2491" t="s">
        <v>51</v>
      </c>
      <c r="AK2491" t="s">
        <v>51</v>
      </c>
    </row>
    <row r="2492" spans="1:37" x14ac:dyDescent="0.2">
      <c r="A2492">
        <v>58131</v>
      </c>
      <c r="B2492" t="s">
        <v>37</v>
      </c>
      <c r="C2492" t="s">
        <v>38</v>
      </c>
      <c r="D2492" t="s">
        <v>674</v>
      </c>
      <c r="E2492" t="s">
        <v>40</v>
      </c>
      <c r="G2492" s="4">
        <v>43946.006643518519</v>
      </c>
      <c r="H2492" s="4">
        <v>43946.007280092593</v>
      </c>
      <c r="I2492" t="s">
        <v>1960</v>
      </c>
      <c r="J2492" s="5">
        <v>54.99999999999999999999999999999999999999</v>
      </c>
      <c r="K2492" t="s">
        <v>38</v>
      </c>
      <c r="M2492">
        <v>58132</v>
      </c>
      <c r="N2492" t="s">
        <v>705</v>
      </c>
      <c r="O2492" t="s">
        <v>706</v>
      </c>
      <c r="P2492" t="s">
        <v>38</v>
      </c>
      <c r="Q2492" t="s">
        <v>300</v>
      </c>
      <c r="R2492">
        <v>10.00000000000000000000000000000000000002</v>
      </c>
      <c r="S2492" t="s">
        <v>45</v>
      </c>
      <c r="T249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2">
        <v>58133</v>
      </c>
      <c r="V2492" t="s">
        <v>38</v>
      </c>
      <c r="W2492" t="s">
        <v>300</v>
      </c>
      <c r="X2492">
        <v>10.00000000000000000000000000000000000002</v>
      </c>
      <c r="Y2492">
        <v>0</v>
      </c>
      <c r="Z2492" t="s">
        <v>46</v>
      </c>
      <c r="AA2492">
        <v>58216</v>
      </c>
      <c r="AB2492" t="s">
        <v>2031</v>
      </c>
      <c r="AC2492" t="s">
        <v>103</v>
      </c>
      <c r="AD2492" t="s">
        <v>38</v>
      </c>
      <c r="AE2492" t="s">
        <v>49</v>
      </c>
      <c r="AF2492" t="s">
        <v>50</v>
      </c>
      <c r="AG2492">
        <v>0</v>
      </c>
      <c r="AH2492">
        <v>0</v>
      </c>
      <c r="AI2492" t="s">
        <v>51</v>
      </c>
      <c r="AJ2492" t="s">
        <v>51</v>
      </c>
      <c r="AK2492" t="s">
        <v>51</v>
      </c>
    </row>
    <row r="2493" spans="1:37" x14ac:dyDescent="0.2">
      <c r="A2493">
        <v>58131</v>
      </c>
      <c r="B2493" t="s">
        <v>37</v>
      </c>
      <c r="C2493" t="s">
        <v>38</v>
      </c>
      <c r="D2493" t="s">
        <v>674</v>
      </c>
      <c r="E2493" t="s">
        <v>40</v>
      </c>
      <c r="G2493" s="4">
        <v>43946.006643518519</v>
      </c>
      <c r="H2493" s="4">
        <v>43946.007280092593</v>
      </c>
      <c r="I2493" t="s">
        <v>1960</v>
      </c>
      <c r="J2493" s="5">
        <v>54.99999999999999999999999999999999999999</v>
      </c>
      <c r="K2493" t="s">
        <v>38</v>
      </c>
      <c r="M2493">
        <v>58132</v>
      </c>
      <c r="N2493" t="s">
        <v>705</v>
      </c>
      <c r="O2493" t="s">
        <v>706</v>
      </c>
      <c r="P2493" t="s">
        <v>38</v>
      </c>
      <c r="Q2493" t="s">
        <v>300</v>
      </c>
      <c r="R2493">
        <v>10.00000000000000000000000000000000000002</v>
      </c>
      <c r="S2493" t="s">
        <v>45</v>
      </c>
      <c r="T249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3">
        <v>58133</v>
      </c>
      <c r="V2493" t="s">
        <v>38</v>
      </c>
      <c r="W2493" t="s">
        <v>300</v>
      </c>
      <c r="X2493">
        <v>10.00000000000000000000000000000000000002</v>
      </c>
      <c r="Y2493">
        <v>0</v>
      </c>
      <c r="Z2493" t="s">
        <v>46</v>
      </c>
      <c r="AA2493">
        <v>58215</v>
      </c>
      <c r="AB2493" t="s">
        <v>2032</v>
      </c>
      <c r="AC2493" t="s">
        <v>103</v>
      </c>
      <c r="AD2493" t="s">
        <v>38</v>
      </c>
      <c r="AE2493" t="s">
        <v>49</v>
      </c>
      <c r="AF2493" t="s">
        <v>50</v>
      </c>
      <c r="AG2493">
        <v>0</v>
      </c>
      <c r="AH2493">
        <v>0</v>
      </c>
      <c r="AI2493" t="s">
        <v>51</v>
      </c>
      <c r="AJ2493" t="s">
        <v>51</v>
      </c>
      <c r="AK2493" t="s">
        <v>51</v>
      </c>
    </row>
    <row r="2494" spans="1:37" x14ac:dyDescent="0.2">
      <c r="A2494">
        <v>58131</v>
      </c>
      <c r="B2494" t="s">
        <v>37</v>
      </c>
      <c r="C2494" t="s">
        <v>38</v>
      </c>
      <c r="D2494" t="s">
        <v>674</v>
      </c>
      <c r="E2494" t="s">
        <v>40</v>
      </c>
      <c r="G2494" s="4">
        <v>43946.006643518519</v>
      </c>
      <c r="H2494" s="4">
        <v>43946.007280092593</v>
      </c>
      <c r="I2494" t="s">
        <v>1960</v>
      </c>
      <c r="J2494" s="5">
        <v>54.99999999999999999999999999999999999999</v>
      </c>
      <c r="K2494" t="s">
        <v>38</v>
      </c>
      <c r="M2494">
        <v>58132</v>
      </c>
      <c r="N2494" t="s">
        <v>705</v>
      </c>
      <c r="O2494" t="s">
        <v>706</v>
      </c>
      <c r="P2494" t="s">
        <v>38</v>
      </c>
      <c r="Q2494" t="s">
        <v>300</v>
      </c>
      <c r="R2494">
        <v>10.00000000000000000000000000000000000002</v>
      </c>
      <c r="S2494" t="s">
        <v>45</v>
      </c>
      <c r="T249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4">
        <v>58133</v>
      </c>
      <c r="V2494" t="s">
        <v>38</v>
      </c>
      <c r="W2494" t="s">
        <v>300</v>
      </c>
      <c r="X2494">
        <v>10.00000000000000000000000000000000000002</v>
      </c>
      <c r="Y2494">
        <v>0</v>
      </c>
      <c r="Z2494" t="s">
        <v>46</v>
      </c>
      <c r="AA2494">
        <v>58214</v>
      </c>
      <c r="AB2494" t="s">
        <v>2033</v>
      </c>
      <c r="AC2494" t="s">
        <v>103</v>
      </c>
      <c r="AD2494" t="s">
        <v>38</v>
      </c>
      <c r="AE2494" t="s">
        <v>49</v>
      </c>
      <c r="AF2494" t="s">
        <v>50</v>
      </c>
      <c r="AG2494">
        <v>0</v>
      </c>
      <c r="AH2494">
        <v>0</v>
      </c>
      <c r="AI2494" t="s">
        <v>51</v>
      </c>
      <c r="AJ2494" t="s">
        <v>51</v>
      </c>
      <c r="AK2494" t="s">
        <v>51</v>
      </c>
    </row>
    <row r="2495" spans="1:37" x14ac:dyDescent="0.2">
      <c r="A2495">
        <v>58131</v>
      </c>
      <c r="B2495" t="s">
        <v>37</v>
      </c>
      <c r="C2495" t="s">
        <v>38</v>
      </c>
      <c r="D2495" t="s">
        <v>674</v>
      </c>
      <c r="E2495" t="s">
        <v>40</v>
      </c>
      <c r="G2495" s="4">
        <v>43946.006643518519</v>
      </c>
      <c r="H2495" s="4">
        <v>43946.007280092593</v>
      </c>
      <c r="I2495" t="s">
        <v>1960</v>
      </c>
      <c r="J2495" s="5">
        <v>54.99999999999999999999999999999999999999</v>
      </c>
      <c r="K2495" t="s">
        <v>38</v>
      </c>
      <c r="M2495">
        <v>58132</v>
      </c>
      <c r="N2495" t="s">
        <v>705</v>
      </c>
      <c r="O2495" t="s">
        <v>706</v>
      </c>
      <c r="P2495" t="s">
        <v>38</v>
      </c>
      <c r="Q2495" t="s">
        <v>300</v>
      </c>
      <c r="R2495">
        <v>10.00000000000000000000000000000000000002</v>
      </c>
      <c r="S2495" t="s">
        <v>45</v>
      </c>
      <c r="T249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5">
        <v>58133</v>
      </c>
      <c r="V2495" t="s">
        <v>38</v>
      </c>
      <c r="W2495" t="s">
        <v>300</v>
      </c>
      <c r="X2495">
        <v>10.00000000000000000000000000000000000002</v>
      </c>
      <c r="Y2495">
        <v>0</v>
      </c>
      <c r="Z2495" t="s">
        <v>46</v>
      </c>
      <c r="AA2495">
        <v>58213</v>
      </c>
      <c r="AB2495" t="s">
        <v>2034</v>
      </c>
      <c r="AC2495" t="s">
        <v>103</v>
      </c>
      <c r="AD2495" t="s">
        <v>38</v>
      </c>
      <c r="AE2495" t="s">
        <v>49</v>
      </c>
      <c r="AF2495" t="s">
        <v>50</v>
      </c>
      <c r="AG2495">
        <v>0</v>
      </c>
      <c r="AH2495">
        <v>0</v>
      </c>
      <c r="AI2495" t="s">
        <v>51</v>
      </c>
      <c r="AJ2495" t="s">
        <v>51</v>
      </c>
      <c r="AK2495" t="s">
        <v>51</v>
      </c>
    </row>
    <row r="2496" spans="1:37" x14ac:dyDescent="0.2">
      <c r="A2496">
        <v>58131</v>
      </c>
      <c r="B2496" t="s">
        <v>37</v>
      </c>
      <c r="C2496" t="s">
        <v>38</v>
      </c>
      <c r="D2496" t="s">
        <v>674</v>
      </c>
      <c r="E2496" t="s">
        <v>40</v>
      </c>
      <c r="G2496" s="4">
        <v>43946.006643518519</v>
      </c>
      <c r="H2496" s="4">
        <v>43946.007280092593</v>
      </c>
      <c r="I2496" t="s">
        <v>1960</v>
      </c>
      <c r="J2496" s="5">
        <v>54.99999999999999999999999999999999999999</v>
      </c>
      <c r="K2496" t="s">
        <v>38</v>
      </c>
      <c r="M2496">
        <v>58132</v>
      </c>
      <c r="N2496" t="s">
        <v>705</v>
      </c>
      <c r="O2496" t="s">
        <v>706</v>
      </c>
      <c r="P2496" t="s">
        <v>38</v>
      </c>
      <c r="Q2496" t="s">
        <v>300</v>
      </c>
      <c r="R2496">
        <v>10.00000000000000000000000000000000000002</v>
      </c>
      <c r="S2496" t="s">
        <v>45</v>
      </c>
      <c r="T249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6">
        <v>58133</v>
      </c>
      <c r="V2496" t="s">
        <v>38</v>
      </c>
      <c r="W2496" t="s">
        <v>300</v>
      </c>
      <c r="X2496">
        <v>10.00000000000000000000000000000000000002</v>
      </c>
      <c r="Y2496">
        <v>0</v>
      </c>
      <c r="Z2496" t="s">
        <v>46</v>
      </c>
      <c r="AA2496">
        <v>58212</v>
      </c>
      <c r="AB2496" t="s">
        <v>2035</v>
      </c>
      <c r="AC2496" t="s">
        <v>103</v>
      </c>
      <c r="AD2496" t="s">
        <v>38</v>
      </c>
      <c r="AE2496" t="s">
        <v>49</v>
      </c>
      <c r="AF2496" t="s">
        <v>50</v>
      </c>
      <c r="AG2496">
        <v>0</v>
      </c>
      <c r="AH2496">
        <v>0</v>
      </c>
      <c r="AI2496" t="s">
        <v>51</v>
      </c>
      <c r="AJ2496" t="s">
        <v>51</v>
      </c>
      <c r="AK2496" t="s">
        <v>51</v>
      </c>
    </row>
    <row r="2497" spans="1:37" x14ac:dyDescent="0.2">
      <c r="A2497">
        <v>58131</v>
      </c>
      <c r="B2497" t="s">
        <v>37</v>
      </c>
      <c r="C2497" t="s">
        <v>38</v>
      </c>
      <c r="D2497" t="s">
        <v>674</v>
      </c>
      <c r="E2497" t="s">
        <v>40</v>
      </c>
      <c r="G2497" s="4">
        <v>43946.006643518519</v>
      </c>
      <c r="H2497" s="4">
        <v>43946.007280092593</v>
      </c>
      <c r="I2497" t="s">
        <v>1960</v>
      </c>
      <c r="J2497" s="5">
        <v>54.99999999999999999999999999999999999999</v>
      </c>
      <c r="K2497" t="s">
        <v>38</v>
      </c>
      <c r="M2497">
        <v>58132</v>
      </c>
      <c r="N2497" t="s">
        <v>705</v>
      </c>
      <c r="O2497" t="s">
        <v>706</v>
      </c>
      <c r="P2497" t="s">
        <v>38</v>
      </c>
      <c r="Q2497" t="s">
        <v>300</v>
      </c>
      <c r="R2497">
        <v>10.00000000000000000000000000000000000002</v>
      </c>
      <c r="S2497" t="s">
        <v>45</v>
      </c>
      <c r="T249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7">
        <v>58133</v>
      </c>
      <c r="V2497" t="s">
        <v>38</v>
      </c>
      <c r="W2497" t="s">
        <v>300</v>
      </c>
      <c r="X2497">
        <v>10.00000000000000000000000000000000000002</v>
      </c>
      <c r="Y2497">
        <v>0</v>
      </c>
      <c r="Z2497" t="s">
        <v>46</v>
      </c>
      <c r="AA2497">
        <v>58211</v>
      </c>
      <c r="AB2497" t="s">
        <v>2036</v>
      </c>
      <c r="AC2497" t="s">
        <v>103</v>
      </c>
      <c r="AD2497" t="s">
        <v>38</v>
      </c>
      <c r="AE2497" t="s">
        <v>49</v>
      </c>
      <c r="AF2497" t="s">
        <v>50</v>
      </c>
      <c r="AG2497">
        <v>0</v>
      </c>
      <c r="AH2497">
        <v>0</v>
      </c>
      <c r="AI2497" t="s">
        <v>51</v>
      </c>
      <c r="AJ2497" t="s">
        <v>51</v>
      </c>
      <c r="AK2497" t="s">
        <v>51</v>
      </c>
    </row>
    <row r="2498" spans="1:37" x14ac:dyDescent="0.2">
      <c r="A2498">
        <v>58131</v>
      </c>
      <c r="B2498" t="s">
        <v>37</v>
      </c>
      <c r="C2498" t="s">
        <v>38</v>
      </c>
      <c r="D2498" t="s">
        <v>674</v>
      </c>
      <c r="E2498" t="s">
        <v>40</v>
      </c>
      <c r="G2498" s="4">
        <v>43946.006643518519</v>
      </c>
      <c r="H2498" s="4">
        <v>43946.007280092593</v>
      </c>
      <c r="I2498" t="s">
        <v>1960</v>
      </c>
      <c r="J2498" s="5">
        <v>54.99999999999999999999999999999999999999</v>
      </c>
      <c r="K2498" t="s">
        <v>38</v>
      </c>
      <c r="M2498">
        <v>58132</v>
      </c>
      <c r="N2498" t="s">
        <v>705</v>
      </c>
      <c r="O2498" t="s">
        <v>706</v>
      </c>
      <c r="P2498" t="s">
        <v>38</v>
      </c>
      <c r="Q2498" t="s">
        <v>300</v>
      </c>
      <c r="R2498">
        <v>10.00000000000000000000000000000000000002</v>
      </c>
      <c r="S2498" t="s">
        <v>45</v>
      </c>
      <c r="T249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8">
        <v>58133</v>
      </c>
      <c r="V2498" t="s">
        <v>38</v>
      </c>
      <c r="W2498" t="s">
        <v>300</v>
      </c>
      <c r="X2498">
        <v>10.00000000000000000000000000000000000002</v>
      </c>
      <c r="Y2498">
        <v>0</v>
      </c>
      <c r="Z2498" t="s">
        <v>46</v>
      </c>
      <c r="AA2498">
        <v>58210</v>
      </c>
      <c r="AB2498" t="s">
        <v>2037</v>
      </c>
      <c r="AC2498" t="s">
        <v>103</v>
      </c>
      <c r="AD2498" t="s">
        <v>38</v>
      </c>
      <c r="AE2498" t="s">
        <v>49</v>
      </c>
      <c r="AF2498" t="s">
        <v>50</v>
      </c>
      <c r="AG2498">
        <v>0</v>
      </c>
      <c r="AH2498">
        <v>0</v>
      </c>
      <c r="AI2498" t="s">
        <v>51</v>
      </c>
      <c r="AJ2498" t="s">
        <v>51</v>
      </c>
      <c r="AK2498" t="s">
        <v>51</v>
      </c>
    </row>
    <row r="2499" spans="1:37" x14ac:dyDescent="0.2">
      <c r="A2499">
        <v>58131</v>
      </c>
      <c r="B2499" t="s">
        <v>37</v>
      </c>
      <c r="C2499" t="s">
        <v>38</v>
      </c>
      <c r="D2499" t="s">
        <v>674</v>
      </c>
      <c r="E2499" t="s">
        <v>40</v>
      </c>
      <c r="G2499" s="4">
        <v>43946.006643518519</v>
      </c>
      <c r="H2499" s="4">
        <v>43946.007280092593</v>
      </c>
      <c r="I2499" t="s">
        <v>1960</v>
      </c>
      <c r="J2499" s="5">
        <v>54.99999999999999999999999999999999999999</v>
      </c>
      <c r="K2499" t="s">
        <v>38</v>
      </c>
      <c r="M2499">
        <v>58132</v>
      </c>
      <c r="N2499" t="s">
        <v>705</v>
      </c>
      <c r="O2499" t="s">
        <v>706</v>
      </c>
      <c r="P2499" t="s">
        <v>38</v>
      </c>
      <c r="Q2499" t="s">
        <v>300</v>
      </c>
      <c r="R2499">
        <v>10.00000000000000000000000000000000000002</v>
      </c>
      <c r="S2499" t="s">
        <v>45</v>
      </c>
      <c r="T249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499">
        <v>58133</v>
      </c>
      <c r="V2499" t="s">
        <v>38</v>
      </c>
      <c r="W2499" t="s">
        <v>300</v>
      </c>
      <c r="X2499">
        <v>10.00000000000000000000000000000000000002</v>
      </c>
      <c r="Y2499">
        <v>0</v>
      </c>
      <c r="Z2499" t="s">
        <v>46</v>
      </c>
      <c r="AA2499">
        <v>58209</v>
      </c>
      <c r="AB2499" t="s">
        <v>2038</v>
      </c>
      <c r="AC2499" t="s">
        <v>103</v>
      </c>
      <c r="AD2499" t="s">
        <v>38</v>
      </c>
      <c r="AE2499" t="s">
        <v>49</v>
      </c>
      <c r="AF2499" t="s">
        <v>50</v>
      </c>
      <c r="AG2499">
        <v>0</v>
      </c>
      <c r="AH2499">
        <v>0</v>
      </c>
      <c r="AI2499" t="s">
        <v>51</v>
      </c>
      <c r="AJ2499" t="s">
        <v>51</v>
      </c>
      <c r="AK2499" t="s">
        <v>51</v>
      </c>
    </row>
    <row r="2500" spans="1:37" x14ac:dyDescent="0.2">
      <c r="A2500">
        <v>58131</v>
      </c>
      <c r="B2500" t="s">
        <v>37</v>
      </c>
      <c r="C2500" t="s">
        <v>38</v>
      </c>
      <c r="D2500" t="s">
        <v>674</v>
      </c>
      <c r="E2500" t="s">
        <v>40</v>
      </c>
      <c r="G2500" s="4">
        <v>43946.006643518519</v>
      </c>
      <c r="H2500" s="4">
        <v>43946.007280092593</v>
      </c>
      <c r="I2500" t="s">
        <v>1960</v>
      </c>
      <c r="J2500" s="5">
        <v>54.99999999999999999999999999999999999999</v>
      </c>
      <c r="K2500" t="s">
        <v>38</v>
      </c>
      <c r="M2500">
        <v>58132</v>
      </c>
      <c r="N2500" t="s">
        <v>705</v>
      </c>
      <c r="O2500" t="s">
        <v>706</v>
      </c>
      <c r="P2500" t="s">
        <v>38</v>
      </c>
      <c r="Q2500" t="s">
        <v>300</v>
      </c>
      <c r="R2500">
        <v>10.00000000000000000000000000000000000002</v>
      </c>
      <c r="S2500" t="s">
        <v>45</v>
      </c>
      <c r="T250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0">
        <v>58133</v>
      </c>
      <c r="V2500" t="s">
        <v>38</v>
      </c>
      <c r="W2500" t="s">
        <v>300</v>
      </c>
      <c r="X2500">
        <v>10.00000000000000000000000000000000000002</v>
      </c>
      <c r="Y2500">
        <v>0</v>
      </c>
      <c r="Z2500" t="s">
        <v>46</v>
      </c>
      <c r="AA2500">
        <v>58208</v>
      </c>
      <c r="AB2500" t="s">
        <v>2039</v>
      </c>
      <c r="AC2500" t="s">
        <v>103</v>
      </c>
      <c r="AD2500" t="s">
        <v>38</v>
      </c>
      <c r="AE2500" t="s">
        <v>49</v>
      </c>
      <c r="AF2500" t="s">
        <v>50</v>
      </c>
      <c r="AG2500">
        <v>0</v>
      </c>
      <c r="AH2500">
        <v>0</v>
      </c>
      <c r="AI2500" t="s">
        <v>51</v>
      </c>
      <c r="AJ2500" t="s">
        <v>51</v>
      </c>
      <c r="AK2500" t="s">
        <v>51</v>
      </c>
    </row>
    <row r="2501" spans="1:37" x14ac:dyDescent="0.2">
      <c r="A2501">
        <v>58131</v>
      </c>
      <c r="B2501" t="s">
        <v>37</v>
      </c>
      <c r="C2501" t="s">
        <v>38</v>
      </c>
      <c r="D2501" t="s">
        <v>674</v>
      </c>
      <c r="E2501" t="s">
        <v>40</v>
      </c>
      <c r="G2501" s="4">
        <v>43946.006643518519</v>
      </c>
      <c r="H2501" s="4">
        <v>43946.007280092593</v>
      </c>
      <c r="I2501" t="s">
        <v>1960</v>
      </c>
      <c r="J2501" s="5">
        <v>54.99999999999999999999999999999999999999</v>
      </c>
      <c r="K2501" t="s">
        <v>38</v>
      </c>
      <c r="M2501">
        <v>58132</v>
      </c>
      <c r="N2501" t="s">
        <v>705</v>
      </c>
      <c r="O2501" t="s">
        <v>706</v>
      </c>
      <c r="P2501" t="s">
        <v>38</v>
      </c>
      <c r="Q2501" t="s">
        <v>300</v>
      </c>
      <c r="R2501">
        <v>10.00000000000000000000000000000000000002</v>
      </c>
      <c r="S2501" t="s">
        <v>45</v>
      </c>
      <c r="T250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1">
        <v>58133</v>
      </c>
      <c r="V2501" t="s">
        <v>38</v>
      </c>
      <c r="W2501" t="s">
        <v>300</v>
      </c>
      <c r="X2501">
        <v>10.00000000000000000000000000000000000002</v>
      </c>
      <c r="Y2501">
        <v>0</v>
      </c>
      <c r="Z2501" t="s">
        <v>46</v>
      </c>
      <c r="AA2501">
        <v>58207</v>
      </c>
      <c r="AB2501" t="s">
        <v>2040</v>
      </c>
      <c r="AC2501" t="s">
        <v>103</v>
      </c>
      <c r="AD2501" t="s">
        <v>38</v>
      </c>
      <c r="AE2501" t="s">
        <v>49</v>
      </c>
      <c r="AF2501" t="s">
        <v>50</v>
      </c>
      <c r="AG2501">
        <v>0</v>
      </c>
      <c r="AH2501">
        <v>0</v>
      </c>
      <c r="AI2501" t="s">
        <v>51</v>
      </c>
      <c r="AJ2501" t="s">
        <v>51</v>
      </c>
      <c r="AK2501" t="s">
        <v>51</v>
      </c>
    </row>
    <row r="2502" spans="1:37" x14ac:dyDescent="0.2">
      <c r="A2502">
        <v>58131</v>
      </c>
      <c r="B2502" t="s">
        <v>37</v>
      </c>
      <c r="C2502" t="s">
        <v>38</v>
      </c>
      <c r="D2502" t="s">
        <v>674</v>
      </c>
      <c r="E2502" t="s">
        <v>40</v>
      </c>
      <c r="G2502" s="4">
        <v>43946.006643518519</v>
      </c>
      <c r="H2502" s="4">
        <v>43946.007280092593</v>
      </c>
      <c r="I2502" t="s">
        <v>1960</v>
      </c>
      <c r="J2502" s="5">
        <v>54.99999999999999999999999999999999999999</v>
      </c>
      <c r="K2502" t="s">
        <v>38</v>
      </c>
      <c r="M2502">
        <v>58132</v>
      </c>
      <c r="N2502" t="s">
        <v>705</v>
      </c>
      <c r="O2502" t="s">
        <v>706</v>
      </c>
      <c r="P2502" t="s">
        <v>38</v>
      </c>
      <c r="Q2502" t="s">
        <v>300</v>
      </c>
      <c r="R2502">
        <v>10.00000000000000000000000000000000000002</v>
      </c>
      <c r="S2502" t="s">
        <v>45</v>
      </c>
      <c r="T250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2">
        <v>58133</v>
      </c>
      <c r="V2502" t="s">
        <v>38</v>
      </c>
      <c r="W2502" t="s">
        <v>300</v>
      </c>
      <c r="X2502">
        <v>10.00000000000000000000000000000000000002</v>
      </c>
      <c r="Y2502">
        <v>0</v>
      </c>
      <c r="Z2502" t="s">
        <v>46</v>
      </c>
      <c r="AA2502">
        <v>58206</v>
      </c>
      <c r="AB2502" t="s">
        <v>2041</v>
      </c>
      <c r="AC2502" t="s">
        <v>103</v>
      </c>
      <c r="AD2502" t="s">
        <v>38</v>
      </c>
      <c r="AE2502" t="s">
        <v>49</v>
      </c>
      <c r="AF2502" t="s">
        <v>50</v>
      </c>
      <c r="AG2502">
        <v>0</v>
      </c>
      <c r="AH2502">
        <v>0</v>
      </c>
      <c r="AI2502" t="s">
        <v>51</v>
      </c>
      <c r="AJ2502" t="s">
        <v>51</v>
      </c>
      <c r="AK2502" t="s">
        <v>51</v>
      </c>
    </row>
    <row r="2503" spans="1:37" x14ac:dyDescent="0.2">
      <c r="A2503">
        <v>58131</v>
      </c>
      <c r="B2503" t="s">
        <v>37</v>
      </c>
      <c r="C2503" t="s">
        <v>38</v>
      </c>
      <c r="D2503" t="s">
        <v>674</v>
      </c>
      <c r="E2503" t="s">
        <v>40</v>
      </c>
      <c r="G2503" s="4">
        <v>43946.006643518519</v>
      </c>
      <c r="H2503" s="4">
        <v>43946.007280092593</v>
      </c>
      <c r="I2503" t="s">
        <v>1960</v>
      </c>
      <c r="J2503" s="5">
        <v>54.99999999999999999999999999999999999999</v>
      </c>
      <c r="K2503" t="s">
        <v>38</v>
      </c>
      <c r="M2503">
        <v>58132</v>
      </c>
      <c r="N2503" t="s">
        <v>705</v>
      </c>
      <c r="O2503" t="s">
        <v>706</v>
      </c>
      <c r="P2503" t="s">
        <v>38</v>
      </c>
      <c r="Q2503" t="s">
        <v>300</v>
      </c>
      <c r="R2503">
        <v>10.00000000000000000000000000000000000002</v>
      </c>
      <c r="S2503" t="s">
        <v>45</v>
      </c>
      <c r="T250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3">
        <v>58133</v>
      </c>
      <c r="V2503" t="s">
        <v>38</v>
      </c>
      <c r="W2503" t="s">
        <v>300</v>
      </c>
      <c r="X2503">
        <v>10.00000000000000000000000000000000000002</v>
      </c>
      <c r="Y2503">
        <v>0</v>
      </c>
      <c r="Z2503" t="s">
        <v>46</v>
      </c>
      <c r="AA2503">
        <v>58205</v>
      </c>
      <c r="AB2503" t="s">
        <v>2042</v>
      </c>
      <c r="AC2503" t="s">
        <v>103</v>
      </c>
      <c r="AD2503" t="s">
        <v>38</v>
      </c>
      <c r="AE2503" t="s">
        <v>49</v>
      </c>
      <c r="AF2503" t="s">
        <v>50</v>
      </c>
      <c r="AG2503">
        <v>0</v>
      </c>
      <c r="AH2503">
        <v>0</v>
      </c>
      <c r="AI2503" t="s">
        <v>51</v>
      </c>
      <c r="AJ2503" t="s">
        <v>51</v>
      </c>
      <c r="AK2503" t="s">
        <v>51</v>
      </c>
    </row>
    <row r="2504" spans="1:37" x14ac:dyDescent="0.2">
      <c r="A2504">
        <v>58131</v>
      </c>
      <c r="B2504" t="s">
        <v>37</v>
      </c>
      <c r="C2504" t="s">
        <v>38</v>
      </c>
      <c r="D2504" t="s">
        <v>674</v>
      </c>
      <c r="E2504" t="s">
        <v>40</v>
      </c>
      <c r="G2504" s="4">
        <v>43946.006643518519</v>
      </c>
      <c r="H2504" s="4">
        <v>43946.007280092593</v>
      </c>
      <c r="I2504" t="s">
        <v>1960</v>
      </c>
      <c r="J2504" s="5">
        <v>54.99999999999999999999999999999999999999</v>
      </c>
      <c r="K2504" t="s">
        <v>38</v>
      </c>
      <c r="M2504">
        <v>58132</v>
      </c>
      <c r="N2504" t="s">
        <v>705</v>
      </c>
      <c r="O2504" t="s">
        <v>706</v>
      </c>
      <c r="P2504" t="s">
        <v>38</v>
      </c>
      <c r="Q2504" t="s">
        <v>300</v>
      </c>
      <c r="R2504">
        <v>10.00000000000000000000000000000000000002</v>
      </c>
      <c r="S2504" t="s">
        <v>45</v>
      </c>
      <c r="T250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4">
        <v>58133</v>
      </c>
      <c r="V2504" t="s">
        <v>38</v>
      </c>
      <c r="W2504" t="s">
        <v>300</v>
      </c>
      <c r="X2504">
        <v>10.00000000000000000000000000000000000002</v>
      </c>
      <c r="Y2504">
        <v>0</v>
      </c>
      <c r="Z2504" t="s">
        <v>46</v>
      </c>
      <c r="AA2504">
        <v>58204</v>
      </c>
      <c r="AB2504" t="s">
        <v>2043</v>
      </c>
      <c r="AC2504" t="s">
        <v>103</v>
      </c>
      <c r="AD2504" t="s">
        <v>38</v>
      </c>
      <c r="AE2504" t="s">
        <v>49</v>
      </c>
      <c r="AF2504" t="s">
        <v>50</v>
      </c>
      <c r="AG2504">
        <v>0</v>
      </c>
      <c r="AH2504">
        <v>0</v>
      </c>
      <c r="AI2504" t="s">
        <v>51</v>
      </c>
      <c r="AJ2504" t="s">
        <v>51</v>
      </c>
      <c r="AK2504" t="s">
        <v>51</v>
      </c>
    </row>
    <row r="2505" spans="1:37" x14ac:dyDescent="0.2">
      <c r="A2505">
        <v>58131</v>
      </c>
      <c r="B2505" t="s">
        <v>37</v>
      </c>
      <c r="C2505" t="s">
        <v>38</v>
      </c>
      <c r="D2505" t="s">
        <v>674</v>
      </c>
      <c r="E2505" t="s">
        <v>40</v>
      </c>
      <c r="G2505" s="4">
        <v>43946.006643518519</v>
      </c>
      <c r="H2505" s="4">
        <v>43946.007280092593</v>
      </c>
      <c r="I2505" t="s">
        <v>1960</v>
      </c>
      <c r="J2505" s="5">
        <v>54.99999999999999999999999999999999999999</v>
      </c>
      <c r="K2505" t="s">
        <v>38</v>
      </c>
      <c r="M2505">
        <v>58132</v>
      </c>
      <c r="N2505" t="s">
        <v>705</v>
      </c>
      <c r="O2505" t="s">
        <v>706</v>
      </c>
      <c r="P2505" t="s">
        <v>38</v>
      </c>
      <c r="Q2505" t="s">
        <v>300</v>
      </c>
      <c r="R2505">
        <v>10.00000000000000000000000000000000000002</v>
      </c>
      <c r="S2505" t="s">
        <v>45</v>
      </c>
      <c r="T250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5">
        <v>58133</v>
      </c>
      <c r="V2505" t="s">
        <v>38</v>
      </c>
      <c r="W2505" t="s">
        <v>300</v>
      </c>
      <c r="X2505">
        <v>10.00000000000000000000000000000000000002</v>
      </c>
      <c r="Y2505">
        <v>0</v>
      </c>
      <c r="Z2505" t="s">
        <v>46</v>
      </c>
      <c r="AA2505">
        <v>58203</v>
      </c>
      <c r="AB2505" t="s">
        <v>2044</v>
      </c>
      <c r="AC2505" t="s">
        <v>103</v>
      </c>
      <c r="AD2505" t="s">
        <v>38</v>
      </c>
      <c r="AE2505" t="s">
        <v>49</v>
      </c>
      <c r="AF2505" t="s">
        <v>50</v>
      </c>
      <c r="AG2505">
        <v>0</v>
      </c>
      <c r="AH2505">
        <v>0</v>
      </c>
      <c r="AI2505" t="s">
        <v>51</v>
      </c>
      <c r="AJ2505" t="s">
        <v>51</v>
      </c>
      <c r="AK2505" t="s">
        <v>51</v>
      </c>
    </row>
    <row r="2506" spans="1:37" x14ac:dyDescent="0.2">
      <c r="A2506">
        <v>58131</v>
      </c>
      <c r="B2506" t="s">
        <v>37</v>
      </c>
      <c r="C2506" t="s">
        <v>38</v>
      </c>
      <c r="D2506" t="s">
        <v>674</v>
      </c>
      <c r="E2506" t="s">
        <v>40</v>
      </c>
      <c r="G2506" s="4">
        <v>43946.006643518519</v>
      </c>
      <c r="H2506" s="4">
        <v>43946.007280092593</v>
      </c>
      <c r="I2506" t="s">
        <v>1960</v>
      </c>
      <c r="J2506" s="5">
        <v>54.99999999999999999999999999999999999999</v>
      </c>
      <c r="K2506" t="s">
        <v>38</v>
      </c>
      <c r="M2506">
        <v>58132</v>
      </c>
      <c r="N2506" t="s">
        <v>705</v>
      </c>
      <c r="O2506" t="s">
        <v>706</v>
      </c>
      <c r="P2506" t="s">
        <v>38</v>
      </c>
      <c r="Q2506" t="s">
        <v>300</v>
      </c>
      <c r="R2506">
        <v>10.00000000000000000000000000000000000002</v>
      </c>
      <c r="S2506" t="s">
        <v>45</v>
      </c>
      <c r="T250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6">
        <v>58133</v>
      </c>
      <c r="V2506" t="s">
        <v>38</v>
      </c>
      <c r="W2506" t="s">
        <v>300</v>
      </c>
      <c r="X2506">
        <v>10.00000000000000000000000000000000000002</v>
      </c>
      <c r="Y2506">
        <v>0</v>
      </c>
      <c r="Z2506" t="s">
        <v>46</v>
      </c>
      <c r="AA2506">
        <v>58202</v>
      </c>
      <c r="AB2506" t="s">
        <v>2045</v>
      </c>
      <c r="AC2506" t="s">
        <v>103</v>
      </c>
      <c r="AD2506" t="s">
        <v>38</v>
      </c>
      <c r="AE2506" t="s">
        <v>49</v>
      </c>
      <c r="AF2506" t="s">
        <v>50</v>
      </c>
      <c r="AG2506">
        <v>0</v>
      </c>
      <c r="AH2506">
        <v>0</v>
      </c>
      <c r="AI2506" t="s">
        <v>51</v>
      </c>
      <c r="AJ2506" t="s">
        <v>51</v>
      </c>
      <c r="AK2506" t="s">
        <v>51</v>
      </c>
    </row>
    <row r="2507" spans="1:37" x14ac:dyDescent="0.2">
      <c r="A2507">
        <v>58131</v>
      </c>
      <c r="B2507" t="s">
        <v>37</v>
      </c>
      <c r="C2507" t="s">
        <v>38</v>
      </c>
      <c r="D2507" t="s">
        <v>674</v>
      </c>
      <c r="E2507" t="s">
        <v>40</v>
      </c>
      <c r="G2507" s="4">
        <v>43946.006643518519</v>
      </c>
      <c r="H2507" s="4">
        <v>43946.007280092593</v>
      </c>
      <c r="I2507" t="s">
        <v>1960</v>
      </c>
      <c r="J2507" s="5">
        <v>54.99999999999999999999999999999999999999</v>
      </c>
      <c r="K2507" t="s">
        <v>38</v>
      </c>
      <c r="M2507">
        <v>58132</v>
      </c>
      <c r="N2507" t="s">
        <v>705</v>
      </c>
      <c r="O2507" t="s">
        <v>706</v>
      </c>
      <c r="P2507" t="s">
        <v>38</v>
      </c>
      <c r="Q2507" t="s">
        <v>300</v>
      </c>
      <c r="R2507">
        <v>10.00000000000000000000000000000000000002</v>
      </c>
      <c r="S2507" t="s">
        <v>45</v>
      </c>
      <c r="T250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7">
        <v>58133</v>
      </c>
      <c r="V2507" t="s">
        <v>38</v>
      </c>
      <c r="W2507" t="s">
        <v>300</v>
      </c>
      <c r="X2507">
        <v>10.00000000000000000000000000000000000002</v>
      </c>
      <c r="Y2507">
        <v>0</v>
      </c>
      <c r="Z2507" t="s">
        <v>46</v>
      </c>
      <c r="AA2507">
        <v>58201</v>
      </c>
      <c r="AB2507" t="s">
        <v>2046</v>
      </c>
      <c r="AC2507" t="s">
        <v>103</v>
      </c>
      <c r="AD2507" t="s">
        <v>38</v>
      </c>
      <c r="AE2507" t="s">
        <v>49</v>
      </c>
      <c r="AF2507" t="s">
        <v>50</v>
      </c>
      <c r="AG2507">
        <v>0</v>
      </c>
      <c r="AH2507">
        <v>0</v>
      </c>
      <c r="AI2507" t="s">
        <v>51</v>
      </c>
      <c r="AJ2507" t="s">
        <v>51</v>
      </c>
      <c r="AK2507" t="s">
        <v>51</v>
      </c>
    </row>
    <row r="2508" spans="1:37" x14ac:dyDescent="0.2">
      <c r="A2508">
        <v>58131</v>
      </c>
      <c r="B2508" t="s">
        <v>37</v>
      </c>
      <c r="C2508" t="s">
        <v>38</v>
      </c>
      <c r="D2508" t="s">
        <v>674</v>
      </c>
      <c r="E2508" t="s">
        <v>40</v>
      </c>
      <c r="G2508" s="4">
        <v>43946.006643518519</v>
      </c>
      <c r="H2508" s="4">
        <v>43946.007280092593</v>
      </c>
      <c r="I2508" t="s">
        <v>1960</v>
      </c>
      <c r="J2508" s="5">
        <v>54.99999999999999999999999999999999999999</v>
      </c>
      <c r="K2508" t="s">
        <v>38</v>
      </c>
      <c r="M2508">
        <v>58132</v>
      </c>
      <c r="N2508" t="s">
        <v>705</v>
      </c>
      <c r="O2508" t="s">
        <v>706</v>
      </c>
      <c r="P2508" t="s">
        <v>38</v>
      </c>
      <c r="Q2508" t="s">
        <v>300</v>
      </c>
      <c r="R2508">
        <v>10.00000000000000000000000000000000000002</v>
      </c>
      <c r="S2508" t="s">
        <v>45</v>
      </c>
      <c r="T250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8">
        <v>58133</v>
      </c>
      <c r="V2508" t="s">
        <v>38</v>
      </c>
      <c r="W2508" t="s">
        <v>300</v>
      </c>
      <c r="X2508">
        <v>10.00000000000000000000000000000000000002</v>
      </c>
      <c r="Y2508">
        <v>0</v>
      </c>
      <c r="Z2508" t="s">
        <v>46</v>
      </c>
      <c r="AA2508">
        <v>58200</v>
      </c>
      <c r="AB2508" t="s">
        <v>2047</v>
      </c>
      <c r="AC2508" t="s">
        <v>103</v>
      </c>
      <c r="AD2508" t="s">
        <v>38</v>
      </c>
      <c r="AE2508" t="s">
        <v>49</v>
      </c>
      <c r="AF2508" t="s">
        <v>50</v>
      </c>
      <c r="AG2508">
        <v>0</v>
      </c>
      <c r="AH2508">
        <v>0</v>
      </c>
      <c r="AI2508" t="s">
        <v>51</v>
      </c>
      <c r="AJ2508" t="s">
        <v>51</v>
      </c>
      <c r="AK2508" t="s">
        <v>51</v>
      </c>
    </row>
    <row r="2509" spans="1:37" x14ac:dyDescent="0.2">
      <c r="A2509">
        <v>58131</v>
      </c>
      <c r="B2509" t="s">
        <v>37</v>
      </c>
      <c r="C2509" t="s">
        <v>38</v>
      </c>
      <c r="D2509" t="s">
        <v>674</v>
      </c>
      <c r="E2509" t="s">
        <v>40</v>
      </c>
      <c r="G2509" s="4">
        <v>43946.006643518519</v>
      </c>
      <c r="H2509" s="4">
        <v>43946.007280092593</v>
      </c>
      <c r="I2509" t="s">
        <v>1960</v>
      </c>
      <c r="J2509" s="5">
        <v>54.99999999999999999999999999999999999999</v>
      </c>
      <c r="K2509" t="s">
        <v>38</v>
      </c>
      <c r="M2509">
        <v>58132</v>
      </c>
      <c r="N2509" t="s">
        <v>705</v>
      </c>
      <c r="O2509" t="s">
        <v>706</v>
      </c>
      <c r="P2509" t="s">
        <v>38</v>
      </c>
      <c r="Q2509" t="s">
        <v>300</v>
      </c>
      <c r="R2509">
        <v>10.00000000000000000000000000000000000002</v>
      </c>
      <c r="S2509" t="s">
        <v>45</v>
      </c>
      <c r="T250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09">
        <v>58133</v>
      </c>
      <c r="V2509" t="s">
        <v>38</v>
      </c>
      <c r="W2509" t="s">
        <v>300</v>
      </c>
      <c r="X2509">
        <v>10.00000000000000000000000000000000000002</v>
      </c>
      <c r="Y2509">
        <v>0</v>
      </c>
      <c r="Z2509" t="s">
        <v>46</v>
      </c>
      <c r="AA2509">
        <v>58199</v>
      </c>
      <c r="AB2509" t="s">
        <v>2048</v>
      </c>
      <c r="AC2509" t="s">
        <v>103</v>
      </c>
      <c r="AD2509" t="s">
        <v>38</v>
      </c>
      <c r="AE2509" t="s">
        <v>49</v>
      </c>
      <c r="AF2509" t="s">
        <v>50</v>
      </c>
      <c r="AG2509">
        <v>0</v>
      </c>
      <c r="AH2509">
        <v>0</v>
      </c>
      <c r="AI2509" t="s">
        <v>51</v>
      </c>
      <c r="AJ2509" t="s">
        <v>51</v>
      </c>
      <c r="AK2509" t="s">
        <v>51</v>
      </c>
    </row>
    <row r="2510" spans="1:37" x14ac:dyDescent="0.2">
      <c r="A2510">
        <v>58131</v>
      </c>
      <c r="B2510" t="s">
        <v>37</v>
      </c>
      <c r="C2510" t="s">
        <v>38</v>
      </c>
      <c r="D2510" t="s">
        <v>674</v>
      </c>
      <c r="E2510" t="s">
        <v>40</v>
      </c>
      <c r="G2510" s="4">
        <v>43946.006643518519</v>
      </c>
      <c r="H2510" s="4">
        <v>43946.007280092593</v>
      </c>
      <c r="I2510" t="s">
        <v>1960</v>
      </c>
      <c r="J2510" s="5">
        <v>54.99999999999999999999999999999999999999</v>
      </c>
      <c r="K2510" t="s">
        <v>38</v>
      </c>
      <c r="M2510">
        <v>58132</v>
      </c>
      <c r="N2510" t="s">
        <v>705</v>
      </c>
      <c r="O2510" t="s">
        <v>706</v>
      </c>
      <c r="P2510" t="s">
        <v>38</v>
      </c>
      <c r="Q2510" t="s">
        <v>300</v>
      </c>
      <c r="R2510">
        <v>10.00000000000000000000000000000000000002</v>
      </c>
      <c r="S2510" t="s">
        <v>45</v>
      </c>
      <c r="T251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0">
        <v>58133</v>
      </c>
      <c r="V2510" t="s">
        <v>38</v>
      </c>
      <c r="W2510" t="s">
        <v>300</v>
      </c>
      <c r="X2510">
        <v>10.00000000000000000000000000000000000002</v>
      </c>
      <c r="Y2510">
        <v>0</v>
      </c>
      <c r="Z2510" t="s">
        <v>46</v>
      </c>
      <c r="AA2510">
        <v>58198</v>
      </c>
      <c r="AB2510" t="s">
        <v>2049</v>
      </c>
      <c r="AC2510" t="s">
        <v>103</v>
      </c>
      <c r="AD2510" t="s">
        <v>38</v>
      </c>
      <c r="AE2510" t="s">
        <v>49</v>
      </c>
      <c r="AF2510" t="s">
        <v>50</v>
      </c>
      <c r="AG2510">
        <v>0</v>
      </c>
      <c r="AH2510">
        <v>0</v>
      </c>
      <c r="AI2510" t="s">
        <v>51</v>
      </c>
      <c r="AJ2510" t="s">
        <v>51</v>
      </c>
      <c r="AK2510" t="s">
        <v>51</v>
      </c>
    </row>
    <row r="2511" spans="1:37" x14ac:dyDescent="0.2">
      <c r="A2511">
        <v>58131</v>
      </c>
      <c r="B2511" t="s">
        <v>37</v>
      </c>
      <c r="C2511" t="s">
        <v>38</v>
      </c>
      <c r="D2511" t="s">
        <v>674</v>
      </c>
      <c r="E2511" t="s">
        <v>40</v>
      </c>
      <c r="G2511" s="4">
        <v>43946.006643518519</v>
      </c>
      <c r="H2511" s="4">
        <v>43946.007280092593</v>
      </c>
      <c r="I2511" t="s">
        <v>1960</v>
      </c>
      <c r="J2511" s="5">
        <v>54.99999999999999999999999999999999999999</v>
      </c>
      <c r="K2511" t="s">
        <v>38</v>
      </c>
      <c r="M2511">
        <v>58132</v>
      </c>
      <c r="N2511" t="s">
        <v>705</v>
      </c>
      <c r="O2511" t="s">
        <v>706</v>
      </c>
      <c r="P2511" t="s">
        <v>38</v>
      </c>
      <c r="Q2511" t="s">
        <v>300</v>
      </c>
      <c r="R2511">
        <v>10.00000000000000000000000000000000000002</v>
      </c>
      <c r="S2511" t="s">
        <v>45</v>
      </c>
      <c r="T251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1">
        <v>58133</v>
      </c>
      <c r="V2511" t="s">
        <v>38</v>
      </c>
      <c r="W2511" t="s">
        <v>300</v>
      </c>
      <c r="X2511">
        <v>10.00000000000000000000000000000000000002</v>
      </c>
      <c r="Y2511">
        <v>0</v>
      </c>
      <c r="Z2511" t="s">
        <v>46</v>
      </c>
      <c r="AA2511">
        <v>58197</v>
      </c>
      <c r="AB2511" t="s">
        <v>2050</v>
      </c>
      <c r="AC2511" t="s">
        <v>103</v>
      </c>
      <c r="AD2511" t="s">
        <v>38</v>
      </c>
      <c r="AE2511" t="s">
        <v>49</v>
      </c>
      <c r="AF2511" t="s">
        <v>50</v>
      </c>
      <c r="AG2511">
        <v>0</v>
      </c>
      <c r="AH2511">
        <v>0</v>
      </c>
      <c r="AI2511" t="s">
        <v>51</v>
      </c>
      <c r="AJ2511" t="s">
        <v>51</v>
      </c>
      <c r="AK2511" t="s">
        <v>51</v>
      </c>
    </row>
    <row r="2512" spans="1:37" x14ac:dyDescent="0.2">
      <c r="A2512">
        <v>58131</v>
      </c>
      <c r="B2512" t="s">
        <v>37</v>
      </c>
      <c r="C2512" t="s">
        <v>38</v>
      </c>
      <c r="D2512" t="s">
        <v>674</v>
      </c>
      <c r="E2512" t="s">
        <v>40</v>
      </c>
      <c r="G2512" s="4">
        <v>43946.006643518519</v>
      </c>
      <c r="H2512" s="4">
        <v>43946.007280092593</v>
      </c>
      <c r="I2512" t="s">
        <v>1960</v>
      </c>
      <c r="J2512" s="5">
        <v>54.99999999999999999999999999999999999999</v>
      </c>
      <c r="K2512" t="s">
        <v>38</v>
      </c>
      <c r="M2512">
        <v>58132</v>
      </c>
      <c r="N2512" t="s">
        <v>705</v>
      </c>
      <c r="O2512" t="s">
        <v>706</v>
      </c>
      <c r="P2512" t="s">
        <v>38</v>
      </c>
      <c r="Q2512" t="s">
        <v>300</v>
      </c>
      <c r="R2512">
        <v>10.00000000000000000000000000000000000002</v>
      </c>
      <c r="S2512" t="s">
        <v>45</v>
      </c>
      <c r="T251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2">
        <v>58133</v>
      </c>
      <c r="V2512" t="s">
        <v>38</v>
      </c>
      <c r="W2512" t="s">
        <v>300</v>
      </c>
      <c r="X2512">
        <v>10.00000000000000000000000000000000000002</v>
      </c>
      <c r="Y2512">
        <v>0</v>
      </c>
      <c r="Z2512" t="s">
        <v>46</v>
      </c>
      <c r="AA2512">
        <v>58196</v>
      </c>
      <c r="AB2512" t="s">
        <v>2051</v>
      </c>
      <c r="AC2512" t="s">
        <v>103</v>
      </c>
      <c r="AD2512" t="s">
        <v>38</v>
      </c>
      <c r="AE2512" t="s">
        <v>49</v>
      </c>
      <c r="AF2512" t="s">
        <v>50</v>
      </c>
      <c r="AG2512">
        <v>0</v>
      </c>
      <c r="AH2512">
        <v>0</v>
      </c>
      <c r="AI2512" t="s">
        <v>51</v>
      </c>
      <c r="AJ2512" t="s">
        <v>51</v>
      </c>
      <c r="AK2512" t="s">
        <v>51</v>
      </c>
    </row>
    <row r="2513" spans="1:37" x14ac:dyDescent="0.2">
      <c r="A2513">
        <v>58131</v>
      </c>
      <c r="B2513" t="s">
        <v>37</v>
      </c>
      <c r="C2513" t="s">
        <v>38</v>
      </c>
      <c r="D2513" t="s">
        <v>674</v>
      </c>
      <c r="E2513" t="s">
        <v>40</v>
      </c>
      <c r="G2513" s="4">
        <v>43946.006643518519</v>
      </c>
      <c r="H2513" s="4">
        <v>43946.007280092593</v>
      </c>
      <c r="I2513" t="s">
        <v>1960</v>
      </c>
      <c r="J2513" s="5">
        <v>54.99999999999999999999999999999999999999</v>
      </c>
      <c r="K2513" t="s">
        <v>38</v>
      </c>
      <c r="M2513">
        <v>58132</v>
      </c>
      <c r="N2513" t="s">
        <v>705</v>
      </c>
      <c r="O2513" t="s">
        <v>706</v>
      </c>
      <c r="P2513" t="s">
        <v>38</v>
      </c>
      <c r="Q2513" t="s">
        <v>300</v>
      </c>
      <c r="R2513">
        <v>10.00000000000000000000000000000000000002</v>
      </c>
      <c r="S2513" t="s">
        <v>45</v>
      </c>
      <c r="T251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3">
        <v>58133</v>
      </c>
      <c r="V2513" t="s">
        <v>38</v>
      </c>
      <c r="W2513" t="s">
        <v>300</v>
      </c>
      <c r="X2513">
        <v>10.00000000000000000000000000000000000002</v>
      </c>
      <c r="Y2513">
        <v>0</v>
      </c>
      <c r="Z2513" t="s">
        <v>46</v>
      </c>
      <c r="AA2513">
        <v>58195</v>
      </c>
      <c r="AB2513" t="s">
        <v>2052</v>
      </c>
      <c r="AC2513" t="s">
        <v>103</v>
      </c>
      <c r="AD2513" t="s">
        <v>38</v>
      </c>
      <c r="AE2513" t="s">
        <v>49</v>
      </c>
      <c r="AF2513" t="s">
        <v>50</v>
      </c>
      <c r="AG2513">
        <v>0</v>
      </c>
      <c r="AH2513">
        <v>0</v>
      </c>
      <c r="AI2513" t="s">
        <v>51</v>
      </c>
      <c r="AJ2513" t="s">
        <v>51</v>
      </c>
      <c r="AK2513" t="s">
        <v>51</v>
      </c>
    </row>
    <row r="2514" spans="1:37" x14ac:dyDescent="0.2">
      <c r="A2514">
        <v>58131</v>
      </c>
      <c r="B2514" t="s">
        <v>37</v>
      </c>
      <c r="C2514" t="s">
        <v>38</v>
      </c>
      <c r="D2514" t="s">
        <v>674</v>
      </c>
      <c r="E2514" t="s">
        <v>40</v>
      </c>
      <c r="G2514" s="4">
        <v>43946.006643518519</v>
      </c>
      <c r="H2514" s="4">
        <v>43946.007280092593</v>
      </c>
      <c r="I2514" t="s">
        <v>1960</v>
      </c>
      <c r="J2514" s="5">
        <v>54.99999999999999999999999999999999999999</v>
      </c>
      <c r="K2514" t="s">
        <v>38</v>
      </c>
      <c r="M2514">
        <v>58132</v>
      </c>
      <c r="N2514" t="s">
        <v>705</v>
      </c>
      <c r="O2514" t="s">
        <v>706</v>
      </c>
      <c r="P2514" t="s">
        <v>38</v>
      </c>
      <c r="Q2514" t="s">
        <v>300</v>
      </c>
      <c r="R2514">
        <v>10.00000000000000000000000000000000000002</v>
      </c>
      <c r="S2514" t="s">
        <v>45</v>
      </c>
      <c r="T251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4">
        <v>58133</v>
      </c>
      <c r="V2514" t="s">
        <v>38</v>
      </c>
      <c r="W2514" t="s">
        <v>300</v>
      </c>
      <c r="X2514">
        <v>10.00000000000000000000000000000000000002</v>
      </c>
      <c r="Y2514">
        <v>0</v>
      </c>
      <c r="Z2514" t="s">
        <v>46</v>
      </c>
      <c r="AA2514">
        <v>58194</v>
      </c>
      <c r="AB2514" t="s">
        <v>2053</v>
      </c>
      <c r="AC2514" t="s">
        <v>103</v>
      </c>
      <c r="AD2514" t="s">
        <v>38</v>
      </c>
      <c r="AE2514" t="s">
        <v>49</v>
      </c>
      <c r="AF2514" t="s">
        <v>50</v>
      </c>
      <c r="AG2514">
        <v>0</v>
      </c>
      <c r="AH2514">
        <v>0</v>
      </c>
      <c r="AI2514" t="s">
        <v>51</v>
      </c>
      <c r="AJ2514" t="s">
        <v>51</v>
      </c>
      <c r="AK2514" t="s">
        <v>51</v>
      </c>
    </row>
    <row r="2515" spans="1:37" x14ac:dyDescent="0.2">
      <c r="A2515">
        <v>58131</v>
      </c>
      <c r="B2515" t="s">
        <v>37</v>
      </c>
      <c r="C2515" t="s">
        <v>38</v>
      </c>
      <c r="D2515" t="s">
        <v>674</v>
      </c>
      <c r="E2515" t="s">
        <v>40</v>
      </c>
      <c r="G2515" s="4">
        <v>43946.006643518519</v>
      </c>
      <c r="H2515" s="4">
        <v>43946.007280092593</v>
      </c>
      <c r="I2515" t="s">
        <v>1960</v>
      </c>
      <c r="J2515" s="5">
        <v>54.99999999999999999999999999999999999999</v>
      </c>
      <c r="K2515" t="s">
        <v>38</v>
      </c>
      <c r="M2515">
        <v>58132</v>
      </c>
      <c r="N2515" t="s">
        <v>705</v>
      </c>
      <c r="O2515" t="s">
        <v>706</v>
      </c>
      <c r="P2515" t="s">
        <v>38</v>
      </c>
      <c r="Q2515" t="s">
        <v>300</v>
      </c>
      <c r="R2515">
        <v>10.00000000000000000000000000000000000002</v>
      </c>
      <c r="S2515" t="s">
        <v>45</v>
      </c>
      <c r="T251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5">
        <v>58133</v>
      </c>
      <c r="V2515" t="s">
        <v>38</v>
      </c>
      <c r="W2515" t="s">
        <v>300</v>
      </c>
      <c r="X2515">
        <v>10.00000000000000000000000000000000000002</v>
      </c>
      <c r="Y2515">
        <v>0</v>
      </c>
      <c r="Z2515" t="s">
        <v>46</v>
      </c>
      <c r="AA2515">
        <v>58193</v>
      </c>
      <c r="AB2515" t="s">
        <v>2054</v>
      </c>
      <c r="AC2515" t="s">
        <v>103</v>
      </c>
      <c r="AD2515" t="s">
        <v>38</v>
      </c>
      <c r="AE2515" t="s">
        <v>49</v>
      </c>
      <c r="AF2515" t="s">
        <v>50</v>
      </c>
      <c r="AG2515">
        <v>0</v>
      </c>
      <c r="AH2515">
        <v>0</v>
      </c>
      <c r="AI2515" t="s">
        <v>51</v>
      </c>
      <c r="AJ2515" t="s">
        <v>51</v>
      </c>
      <c r="AK2515" t="s">
        <v>51</v>
      </c>
    </row>
    <row r="2516" spans="1:37" x14ac:dyDescent="0.2">
      <c r="A2516">
        <v>58131</v>
      </c>
      <c r="B2516" t="s">
        <v>37</v>
      </c>
      <c r="C2516" t="s">
        <v>38</v>
      </c>
      <c r="D2516" t="s">
        <v>674</v>
      </c>
      <c r="E2516" t="s">
        <v>40</v>
      </c>
      <c r="G2516" s="4">
        <v>43946.006643518519</v>
      </c>
      <c r="H2516" s="4">
        <v>43946.007280092593</v>
      </c>
      <c r="I2516" t="s">
        <v>1960</v>
      </c>
      <c r="J2516" s="5">
        <v>54.99999999999999999999999999999999999999</v>
      </c>
      <c r="K2516" t="s">
        <v>38</v>
      </c>
      <c r="M2516">
        <v>58132</v>
      </c>
      <c r="N2516" t="s">
        <v>705</v>
      </c>
      <c r="O2516" t="s">
        <v>706</v>
      </c>
      <c r="P2516" t="s">
        <v>38</v>
      </c>
      <c r="Q2516" t="s">
        <v>300</v>
      </c>
      <c r="R2516">
        <v>10.00000000000000000000000000000000000002</v>
      </c>
      <c r="S2516" t="s">
        <v>45</v>
      </c>
      <c r="T251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6">
        <v>58133</v>
      </c>
      <c r="V2516" t="s">
        <v>38</v>
      </c>
      <c r="W2516" t="s">
        <v>300</v>
      </c>
      <c r="X2516">
        <v>10.00000000000000000000000000000000000002</v>
      </c>
      <c r="Y2516">
        <v>0</v>
      </c>
      <c r="Z2516" t="s">
        <v>46</v>
      </c>
      <c r="AA2516">
        <v>58192</v>
      </c>
      <c r="AB2516" t="s">
        <v>2055</v>
      </c>
      <c r="AC2516" t="s">
        <v>103</v>
      </c>
      <c r="AD2516" t="s">
        <v>38</v>
      </c>
      <c r="AE2516" t="s">
        <v>49</v>
      </c>
      <c r="AF2516" t="s">
        <v>50</v>
      </c>
      <c r="AG2516">
        <v>0</v>
      </c>
      <c r="AH2516">
        <v>0</v>
      </c>
      <c r="AI2516" t="s">
        <v>51</v>
      </c>
      <c r="AJ2516" t="s">
        <v>51</v>
      </c>
      <c r="AK2516" t="s">
        <v>51</v>
      </c>
    </row>
    <row r="2517" spans="1:37" x14ac:dyDescent="0.2">
      <c r="A2517">
        <v>58131</v>
      </c>
      <c r="B2517" t="s">
        <v>37</v>
      </c>
      <c r="C2517" t="s">
        <v>38</v>
      </c>
      <c r="D2517" t="s">
        <v>674</v>
      </c>
      <c r="E2517" t="s">
        <v>40</v>
      </c>
      <c r="G2517" s="4">
        <v>43946.006643518519</v>
      </c>
      <c r="H2517" s="4">
        <v>43946.007280092593</v>
      </c>
      <c r="I2517" t="s">
        <v>1960</v>
      </c>
      <c r="J2517" s="5">
        <v>54.99999999999999999999999999999999999999</v>
      </c>
      <c r="K2517" t="s">
        <v>38</v>
      </c>
      <c r="M2517">
        <v>58132</v>
      </c>
      <c r="N2517" t="s">
        <v>705</v>
      </c>
      <c r="O2517" t="s">
        <v>706</v>
      </c>
      <c r="P2517" t="s">
        <v>38</v>
      </c>
      <c r="Q2517" t="s">
        <v>300</v>
      </c>
      <c r="R2517">
        <v>10.00000000000000000000000000000000000002</v>
      </c>
      <c r="S2517" t="s">
        <v>45</v>
      </c>
      <c r="T251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7">
        <v>58133</v>
      </c>
      <c r="V2517" t="s">
        <v>38</v>
      </c>
      <c r="W2517" t="s">
        <v>300</v>
      </c>
      <c r="X2517">
        <v>10.00000000000000000000000000000000000002</v>
      </c>
      <c r="Y2517">
        <v>0</v>
      </c>
      <c r="Z2517" t="s">
        <v>46</v>
      </c>
      <c r="AA2517">
        <v>58191</v>
      </c>
      <c r="AB2517" t="s">
        <v>2056</v>
      </c>
      <c r="AC2517" t="s">
        <v>103</v>
      </c>
      <c r="AD2517" t="s">
        <v>38</v>
      </c>
      <c r="AE2517" t="s">
        <v>49</v>
      </c>
      <c r="AF2517" t="s">
        <v>50</v>
      </c>
      <c r="AG2517">
        <v>0</v>
      </c>
      <c r="AH2517">
        <v>0</v>
      </c>
      <c r="AI2517" t="s">
        <v>51</v>
      </c>
      <c r="AJ2517" t="s">
        <v>51</v>
      </c>
      <c r="AK2517" t="s">
        <v>51</v>
      </c>
    </row>
    <row r="2518" spans="1:37" x14ac:dyDescent="0.2">
      <c r="A2518">
        <v>58131</v>
      </c>
      <c r="B2518" t="s">
        <v>37</v>
      </c>
      <c r="C2518" t="s">
        <v>38</v>
      </c>
      <c r="D2518" t="s">
        <v>674</v>
      </c>
      <c r="E2518" t="s">
        <v>40</v>
      </c>
      <c r="G2518" s="4">
        <v>43946.006643518519</v>
      </c>
      <c r="H2518" s="4">
        <v>43946.007280092593</v>
      </c>
      <c r="I2518" t="s">
        <v>1960</v>
      </c>
      <c r="J2518" s="5">
        <v>54.99999999999999999999999999999999999999</v>
      </c>
      <c r="K2518" t="s">
        <v>38</v>
      </c>
      <c r="M2518">
        <v>58132</v>
      </c>
      <c r="N2518" t="s">
        <v>705</v>
      </c>
      <c r="O2518" t="s">
        <v>706</v>
      </c>
      <c r="P2518" t="s">
        <v>38</v>
      </c>
      <c r="Q2518" t="s">
        <v>300</v>
      </c>
      <c r="R2518">
        <v>10.00000000000000000000000000000000000002</v>
      </c>
      <c r="S2518" t="s">
        <v>45</v>
      </c>
      <c r="T251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8">
        <v>58133</v>
      </c>
      <c r="V2518" t="s">
        <v>38</v>
      </c>
      <c r="W2518" t="s">
        <v>300</v>
      </c>
      <c r="X2518">
        <v>10.00000000000000000000000000000000000002</v>
      </c>
      <c r="Y2518">
        <v>0</v>
      </c>
      <c r="Z2518" t="s">
        <v>46</v>
      </c>
      <c r="AA2518">
        <v>58190</v>
      </c>
      <c r="AB2518" t="s">
        <v>2057</v>
      </c>
      <c r="AC2518" t="s">
        <v>103</v>
      </c>
      <c r="AD2518" t="s">
        <v>38</v>
      </c>
      <c r="AE2518" t="s">
        <v>49</v>
      </c>
      <c r="AF2518" t="s">
        <v>50</v>
      </c>
      <c r="AG2518">
        <v>0</v>
      </c>
      <c r="AH2518">
        <v>0</v>
      </c>
      <c r="AI2518" t="s">
        <v>51</v>
      </c>
      <c r="AJ2518" t="s">
        <v>51</v>
      </c>
      <c r="AK2518" t="s">
        <v>51</v>
      </c>
    </row>
    <row r="2519" spans="1:37" x14ac:dyDescent="0.2">
      <c r="A2519">
        <v>58131</v>
      </c>
      <c r="B2519" t="s">
        <v>37</v>
      </c>
      <c r="C2519" t="s">
        <v>38</v>
      </c>
      <c r="D2519" t="s">
        <v>674</v>
      </c>
      <c r="E2519" t="s">
        <v>40</v>
      </c>
      <c r="G2519" s="4">
        <v>43946.006643518519</v>
      </c>
      <c r="H2519" s="4">
        <v>43946.007280092593</v>
      </c>
      <c r="I2519" t="s">
        <v>1960</v>
      </c>
      <c r="J2519" s="5">
        <v>54.99999999999999999999999999999999999999</v>
      </c>
      <c r="K2519" t="s">
        <v>38</v>
      </c>
      <c r="M2519">
        <v>58132</v>
      </c>
      <c r="N2519" t="s">
        <v>705</v>
      </c>
      <c r="O2519" t="s">
        <v>706</v>
      </c>
      <c r="P2519" t="s">
        <v>38</v>
      </c>
      <c r="Q2519" t="s">
        <v>300</v>
      </c>
      <c r="R2519">
        <v>10.00000000000000000000000000000000000002</v>
      </c>
      <c r="S2519" t="s">
        <v>45</v>
      </c>
      <c r="T251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19">
        <v>58133</v>
      </c>
      <c r="V2519" t="s">
        <v>38</v>
      </c>
      <c r="W2519" t="s">
        <v>300</v>
      </c>
      <c r="X2519">
        <v>10.00000000000000000000000000000000000002</v>
      </c>
      <c r="Y2519">
        <v>0</v>
      </c>
      <c r="Z2519" t="s">
        <v>46</v>
      </c>
      <c r="AA2519">
        <v>58189</v>
      </c>
      <c r="AB2519" t="s">
        <v>2058</v>
      </c>
      <c r="AC2519" t="s">
        <v>103</v>
      </c>
      <c r="AD2519" t="s">
        <v>38</v>
      </c>
      <c r="AE2519" t="s">
        <v>49</v>
      </c>
      <c r="AF2519" t="s">
        <v>50</v>
      </c>
      <c r="AG2519">
        <v>0</v>
      </c>
      <c r="AH2519">
        <v>0</v>
      </c>
      <c r="AI2519" t="s">
        <v>51</v>
      </c>
      <c r="AJ2519" t="s">
        <v>51</v>
      </c>
      <c r="AK2519" t="s">
        <v>51</v>
      </c>
    </row>
    <row r="2520" spans="1:37" x14ac:dyDescent="0.2">
      <c r="A2520">
        <v>58131</v>
      </c>
      <c r="B2520" t="s">
        <v>37</v>
      </c>
      <c r="C2520" t="s">
        <v>38</v>
      </c>
      <c r="D2520" t="s">
        <v>674</v>
      </c>
      <c r="E2520" t="s">
        <v>40</v>
      </c>
      <c r="G2520" s="4">
        <v>43946.006643518519</v>
      </c>
      <c r="H2520" s="4">
        <v>43946.007280092593</v>
      </c>
      <c r="I2520" t="s">
        <v>1960</v>
      </c>
      <c r="J2520" s="5">
        <v>54.99999999999999999999999999999999999999</v>
      </c>
      <c r="K2520" t="s">
        <v>38</v>
      </c>
      <c r="M2520">
        <v>58132</v>
      </c>
      <c r="N2520" t="s">
        <v>705</v>
      </c>
      <c r="O2520" t="s">
        <v>706</v>
      </c>
      <c r="P2520" t="s">
        <v>38</v>
      </c>
      <c r="Q2520" t="s">
        <v>300</v>
      </c>
      <c r="R2520">
        <v>10.00000000000000000000000000000000000002</v>
      </c>
      <c r="S2520" t="s">
        <v>45</v>
      </c>
      <c r="T252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0">
        <v>58133</v>
      </c>
      <c r="V2520" t="s">
        <v>38</v>
      </c>
      <c r="W2520" t="s">
        <v>300</v>
      </c>
      <c r="X2520">
        <v>10.00000000000000000000000000000000000002</v>
      </c>
      <c r="Y2520">
        <v>0</v>
      </c>
      <c r="Z2520" t="s">
        <v>46</v>
      </c>
      <c r="AA2520">
        <v>58188</v>
      </c>
      <c r="AB2520" t="s">
        <v>2059</v>
      </c>
      <c r="AC2520" t="s">
        <v>103</v>
      </c>
      <c r="AD2520" t="s">
        <v>38</v>
      </c>
      <c r="AE2520" t="s">
        <v>49</v>
      </c>
      <c r="AF2520" t="s">
        <v>50</v>
      </c>
      <c r="AG2520">
        <v>0</v>
      </c>
      <c r="AH2520">
        <v>0</v>
      </c>
      <c r="AI2520" t="s">
        <v>51</v>
      </c>
      <c r="AJ2520" t="s">
        <v>51</v>
      </c>
      <c r="AK2520" t="s">
        <v>51</v>
      </c>
    </row>
    <row r="2521" spans="1:37" x14ac:dyDescent="0.2">
      <c r="A2521">
        <v>58131</v>
      </c>
      <c r="B2521" t="s">
        <v>37</v>
      </c>
      <c r="C2521" t="s">
        <v>38</v>
      </c>
      <c r="D2521" t="s">
        <v>674</v>
      </c>
      <c r="E2521" t="s">
        <v>40</v>
      </c>
      <c r="G2521" s="4">
        <v>43946.006643518519</v>
      </c>
      <c r="H2521" s="4">
        <v>43946.007280092593</v>
      </c>
      <c r="I2521" t="s">
        <v>1960</v>
      </c>
      <c r="J2521" s="5">
        <v>54.99999999999999999999999999999999999999</v>
      </c>
      <c r="K2521" t="s">
        <v>38</v>
      </c>
      <c r="M2521">
        <v>58132</v>
      </c>
      <c r="N2521" t="s">
        <v>705</v>
      </c>
      <c r="O2521" t="s">
        <v>706</v>
      </c>
      <c r="P2521" t="s">
        <v>38</v>
      </c>
      <c r="Q2521" t="s">
        <v>300</v>
      </c>
      <c r="R2521">
        <v>10.00000000000000000000000000000000000002</v>
      </c>
      <c r="S2521" t="s">
        <v>45</v>
      </c>
      <c r="T252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1">
        <v>58133</v>
      </c>
      <c r="V2521" t="s">
        <v>38</v>
      </c>
      <c r="W2521" t="s">
        <v>300</v>
      </c>
      <c r="X2521">
        <v>10.00000000000000000000000000000000000002</v>
      </c>
      <c r="Y2521">
        <v>0</v>
      </c>
      <c r="Z2521" t="s">
        <v>46</v>
      </c>
      <c r="AA2521">
        <v>58187</v>
      </c>
      <c r="AB2521" t="s">
        <v>2060</v>
      </c>
      <c r="AC2521" t="s">
        <v>103</v>
      </c>
      <c r="AD2521" t="s">
        <v>38</v>
      </c>
      <c r="AE2521" t="s">
        <v>49</v>
      </c>
      <c r="AF2521" t="s">
        <v>50</v>
      </c>
      <c r="AG2521">
        <v>0</v>
      </c>
      <c r="AH2521">
        <v>0</v>
      </c>
      <c r="AI2521" t="s">
        <v>51</v>
      </c>
      <c r="AJ2521" t="s">
        <v>51</v>
      </c>
      <c r="AK2521" t="s">
        <v>51</v>
      </c>
    </row>
    <row r="2522" spans="1:37" x14ac:dyDescent="0.2">
      <c r="A2522">
        <v>58131</v>
      </c>
      <c r="B2522" t="s">
        <v>37</v>
      </c>
      <c r="C2522" t="s">
        <v>38</v>
      </c>
      <c r="D2522" t="s">
        <v>674</v>
      </c>
      <c r="E2522" t="s">
        <v>40</v>
      </c>
      <c r="G2522" s="4">
        <v>43946.006643518519</v>
      </c>
      <c r="H2522" s="4">
        <v>43946.007280092593</v>
      </c>
      <c r="I2522" t="s">
        <v>1960</v>
      </c>
      <c r="J2522" s="5">
        <v>54.99999999999999999999999999999999999999</v>
      </c>
      <c r="K2522" t="s">
        <v>38</v>
      </c>
      <c r="M2522">
        <v>58132</v>
      </c>
      <c r="N2522" t="s">
        <v>705</v>
      </c>
      <c r="O2522" t="s">
        <v>706</v>
      </c>
      <c r="P2522" t="s">
        <v>38</v>
      </c>
      <c r="Q2522" t="s">
        <v>300</v>
      </c>
      <c r="R2522">
        <v>10.00000000000000000000000000000000000002</v>
      </c>
      <c r="S2522" t="s">
        <v>45</v>
      </c>
      <c r="T252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2">
        <v>58133</v>
      </c>
      <c r="V2522" t="s">
        <v>38</v>
      </c>
      <c r="W2522" t="s">
        <v>300</v>
      </c>
      <c r="X2522">
        <v>10.00000000000000000000000000000000000002</v>
      </c>
      <c r="Y2522">
        <v>0</v>
      </c>
      <c r="Z2522" t="s">
        <v>46</v>
      </c>
      <c r="AA2522">
        <v>58186</v>
      </c>
      <c r="AB2522" t="s">
        <v>2061</v>
      </c>
      <c r="AC2522" t="s">
        <v>103</v>
      </c>
      <c r="AD2522" t="s">
        <v>38</v>
      </c>
      <c r="AE2522" t="s">
        <v>49</v>
      </c>
      <c r="AF2522" t="s">
        <v>50</v>
      </c>
      <c r="AG2522">
        <v>0</v>
      </c>
      <c r="AH2522">
        <v>0</v>
      </c>
      <c r="AI2522" t="s">
        <v>51</v>
      </c>
      <c r="AJ2522" t="s">
        <v>51</v>
      </c>
      <c r="AK2522" t="s">
        <v>51</v>
      </c>
    </row>
    <row r="2523" spans="1:37" x14ac:dyDescent="0.2">
      <c r="A2523">
        <v>58131</v>
      </c>
      <c r="B2523" t="s">
        <v>37</v>
      </c>
      <c r="C2523" t="s">
        <v>38</v>
      </c>
      <c r="D2523" t="s">
        <v>674</v>
      </c>
      <c r="E2523" t="s">
        <v>40</v>
      </c>
      <c r="G2523" s="4">
        <v>43946.006643518519</v>
      </c>
      <c r="H2523" s="4">
        <v>43946.007280092593</v>
      </c>
      <c r="I2523" t="s">
        <v>1960</v>
      </c>
      <c r="J2523" s="5">
        <v>54.99999999999999999999999999999999999999</v>
      </c>
      <c r="K2523" t="s">
        <v>38</v>
      </c>
      <c r="M2523">
        <v>58132</v>
      </c>
      <c r="N2523" t="s">
        <v>705</v>
      </c>
      <c r="O2523" t="s">
        <v>706</v>
      </c>
      <c r="P2523" t="s">
        <v>38</v>
      </c>
      <c r="Q2523" t="s">
        <v>300</v>
      </c>
      <c r="R2523">
        <v>10.00000000000000000000000000000000000002</v>
      </c>
      <c r="S2523" t="s">
        <v>45</v>
      </c>
      <c r="T252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3">
        <v>58133</v>
      </c>
      <c r="V2523" t="s">
        <v>38</v>
      </c>
      <c r="W2523" t="s">
        <v>300</v>
      </c>
      <c r="X2523">
        <v>10.00000000000000000000000000000000000002</v>
      </c>
      <c r="Y2523">
        <v>0</v>
      </c>
      <c r="Z2523" t="s">
        <v>46</v>
      </c>
      <c r="AA2523">
        <v>58185</v>
      </c>
      <c r="AB2523" t="s">
        <v>2062</v>
      </c>
      <c r="AC2523" t="s">
        <v>103</v>
      </c>
      <c r="AD2523" t="s">
        <v>38</v>
      </c>
      <c r="AE2523" t="s">
        <v>49</v>
      </c>
      <c r="AF2523" t="s">
        <v>50</v>
      </c>
      <c r="AG2523">
        <v>0</v>
      </c>
      <c r="AH2523">
        <v>0</v>
      </c>
      <c r="AI2523" t="s">
        <v>51</v>
      </c>
      <c r="AJ2523" t="s">
        <v>51</v>
      </c>
      <c r="AK2523" t="s">
        <v>51</v>
      </c>
    </row>
    <row r="2524" spans="1:37" x14ac:dyDescent="0.2">
      <c r="A2524">
        <v>58131</v>
      </c>
      <c r="B2524" t="s">
        <v>37</v>
      </c>
      <c r="C2524" t="s">
        <v>38</v>
      </c>
      <c r="D2524" t="s">
        <v>674</v>
      </c>
      <c r="E2524" t="s">
        <v>40</v>
      </c>
      <c r="G2524" s="4">
        <v>43946.006643518519</v>
      </c>
      <c r="H2524" s="4">
        <v>43946.007280092593</v>
      </c>
      <c r="I2524" t="s">
        <v>1960</v>
      </c>
      <c r="J2524" s="5">
        <v>54.99999999999999999999999999999999999999</v>
      </c>
      <c r="K2524" t="s">
        <v>38</v>
      </c>
      <c r="M2524">
        <v>58132</v>
      </c>
      <c r="N2524" t="s">
        <v>705</v>
      </c>
      <c r="O2524" t="s">
        <v>706</v>
      </c>
      <c r="P2524" t="s">
        <v>38</v>
      </c>
      <c r="Q2524" t="s">
        <v>300</v>
      </c>
      <c r="R2524">
        <v>10.00000000000000000000000000000000000002</v>
      </c>
      <c r="S2524" t="s">
        <v>45</v>
      </c>
      <c r="T252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4">
        <v>58133</v>
      </c>
      <c r="V2524" t="s">
        <v>38</v>
      </c>
      <c r="W2524" t="s">
        <v>300</v>
      </c>
      <c r="X2524">
        <v>10.00000000000000000000000000000000000002</v>
      </c>
      <c r="Y2524">
        <v>0</v>
      </c>
      <c r="Z2524" t="s">
        <v>46</v>
      </c>
      <c r="AA2524">
        <v>58184</v>
      </c>
      <c r="AB2524" t="s">
        <v>2063</v>
      </c>
      <c r="AC2524" t="s">
        <v>103</v>
      </c>
      <c r="AD2524" t="s">
        <v>38</v>
      </c>
      <c r="AE2524" t="s">
        <v>49</v>
      </c>
      <c r="AF2524" t="s">
        <v>50</v>
      </c>
      <c r="AG2524">
        <v>0</v>
      </c>
      <c r="AH2524">
        <v>0</v>
      </c>
      <c r="AI2524" t="s">
        <v>51</v>
      </c>
      <c r="AJ2524" t="s">
        <v>51</v>
      </c>
      <c r="AK2524" t="s">
        <v>51</v>
      </c>
    </row>
    <row r="2525" spans="1:37" x14ac:dyDescent="0.2">
      <c r="A2525">
        <v>58131</v>
      </c>
      <c r="B2525" t="s">
        <v>37</v>
      </c>
      <c r="C2525" t="s">
        <v>38</v>
      </c>
      <c r="D2525" t="s">
        <v>674</v>
      </c>
      <c r="E2525" t="s">
        <v>40</v>
      </c>
      <c r="G2525" s="4">
        <v>43946.006643518519</v>
      </c>
      <c r="H2525" s="4">
        <v>43946.007280092593</v>
      </c>
      <c r="I2525" t="s">
        <v>1960</v>
      </c>
      <c r="J2525" s="5">
        <v>54.99999999999999999999999999999999999999</v>
      </c>
      <c r="K2525" t="s">
        <v>38</v>
      </c>
      <c r="M2525">
        <v>58132</v>
      </c>
      <c r="N2525" t="s">
        <v>705</v>
      </c>
      <c r="O2525" t="s">
        <v>706</v>
      </c>
      <c r="P2525" t="s">
        <v>38</v>
      </c>
      <c r="Q2525" t="s">
        <v>300</v>
      </c>
      <c r="R2525">
        <v>10.00000000000000000000000000000000000002</v>
      </c>
      <c r="S2525" t="s">
        <v>45</v>
      </c>
      <c r="T252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5">
        <v>58133</v>
      </c>
      <c r="V2525" t="s">
        <v>38</v>
      </c>
      <c r="W2525" t="s">
        <v>300</v>
      </c>
      <c r="X2525">
        <v>10.00000000000000000000000000000000000002</v>
      </c>
      <c r="Y2525">
        <v>0</v>
      </c>
      <c r="Z2525" t="s">
        <v>46</v>
      </c>
      <c r="AA2525">
        <v>58183</v>
      </c>
      <c r="AB2525" t="s">
        <v>2064</v>
      </c>
      <c r="AC2525" t="s">
        <v>103</v>
      </c>
      <c r="AD2525" t="s">
        <v>38</v>
      </c>
      <c r="AE2525" t="s">
        <v>49</v>
      </c>
      <c r="AF2525" t="s">
        <v>50</v>
      </c>
      <c r="AG2525">
        <v>0</v>
      </c>
      <c r="AH2525">
        <v>0</v>
      </c>
      <c r="AI2525" t="s">
        <v>51</v>
      </c>
      <c r="AJ2525" t="s">
        <v>51</v>
      </c>
      <c r="AK2525" t="s">
        <v>51</v>
      </c>
    </row>
    <row r="2526" spans="1:37" x14ac:dyDescent="0.2">
      <c r="A2526">
        <v>58131</v>
      </c>
      <c r="B2526" t="s">
        <v>37</v>
      </c>
      <c r="C2526" t="s">
        <v>38</v>
      </c>
      <c r="D2526" t="s">
        <v>674</v>
      </c>
      <c r="E2526" t="s">
        <v>40</v>
      </c>
      <c r="G2526" s="4">
        <v>43946.006643518519</v>
      </c>
      <c r="H2526" s="4">
        <v>43946.007280092593</v>
      </c>
      <c r="I2526" t="s">
        <v>1960</v>
      </c>
      <c r="J2526" s="5">
        <v>54.99999999999999999999999999999999999999</v>
      </c>
      <c r="K2526" t="s">
        <v>38</v>
      </c>
      <c r="M2526">
        <v>58132</v>
      </c>
      <c r="N2526" t="s">
        <v>705</v>
      </c>
      <c r="O2526" t="s">
        <v>706</v>
      </c>
      <c r="P2526" t="s">
        <v>38</v>
      </c>
      <c r="Q2526" t="s">
        <v>300</v>
      </c>
      <c r="R2526">
        <v>10.00000000000000000000000000000000000002</v>
      </c>
      <c r="S2526" t="s">
        <v>45</v>
      </c>
      <c r="T252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6">
        <v>58133</v>
      </c>
      <c r="V2526" t="s">
        <v>38</v>
      </c>
      <c r="W2526" t="s">
        <v>300</v>
      </c>
      <c r="X2526">
        <v>10.00000000000000000000000000000000000002</v>
      </c>
      <c r="Y2526">
        <v>0</v>
      </c>
      <c r="Z2526" t="s">
        <v>46</v>
      </c>
      <c r="AA2526">
        <v>58182</v>
      </c>
      <c r="AB2526" t="s">
        <v>2065</v>
      </c>
      <c r="AC2526" t="s">
        <v>103</v>
      </c>
      <c r="AD2526" t="s">
        <v>38</v>
      </c>
      <c r="AE2526" t="s">
        <v>49</v>
      </c>
      <c r="AF2526" t="s">
        <v>50</v>
      </c>
      <c r="AG2526">
        <v>0</v>
      </c>
      <c r="AH2526">
        <v>0</v>
      </c>
      <c r="AI2526" t="s">
        <v>51</v>
      </c>
      <c r="AJ2526" t="s">
        <v>51</v>
      </c>
      <c r="AK2526" t="s">
        <v>51</v>
      </c>
    </row>
    <row r="2527" spans="1:37" x14ac:dyDescent="0.2">
      <c r="A2527">
        <v>58131</v>
      </c>
      <c r="B2527" t="s">
        <v>37</v>
      </c>
      <c r="C2527" t="s">
        <v>38</v>
      </c>
      <c r="D2527" t="s">
        <v>674</v>
      </c>
      <c r="E2527" t="s">
        <v>40</v>
      </c>
      <c r="G2527" s="4">
        <v>43946.006643518519</v>
      </c>
      <c r="H2527" s="4">
        <v>43946.007280092593</v>
      </c>
      <c r="I2527" t="s">
        <v>1960</v>
      </c>
      <c r="J2527" s="5">
        <v>54.99999999999999999999999999999999999999</v>
      </c>
      <c r="K2527" t="s">
        <v>38</v>
      </c>
      <c r="M2527">
        <v>58132</v>
      </c>
      <c r="N2527" t="s">
        <v>705</v>
      </c>
      <c r="O2527" t="s">
        <v>706</v>
      </c>
      <c r="P2527" t="s">
        <v>38</v>
      </c>
      <c r="Q2527" t="s">
        <v>300</v>
      </c>
      <c r="R2527">
        <v>10.00000000000000000000000000000000000002</v>
      </c>
      <c r="S2527" t="s">
        <v>45</v>
      </c>
      <c r="T252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7">
        <v>58133</v>
      </c>
      <c r="V2527" t="s">
        <v>38</v>
      </c>
      <c r="W2527" t="s">
        <v>300</v>
      </c>
      <c r="X2527">
        <v>10.00000000000000000000000000000000000002</v>
      </c>
      <c r="Y2527">
        <v>0</v>
      </c>
      <c r="Z2527" t="s">
        <v>46</v>
      </c>
      <c r="AA2527">
        <v>58181</v>
      </c>
      <c r="AB2527" t="s">
        <v>2066</v>
      </c>
      <c r="AC2527" t="s">
        <v>103</v>
      </c>
      <c r="AD2527" t="s">
        <v>38</v>
      </c>
      <c r="AE2527" t="s">
        <v>49</v>
      </c>
      <c r="AF2527" t="s">
        <v>50</v>
      </c>
      <c r="AG2527">
        <v>0</v>
      </c>
      <c r="AH2527">
        <v>0</v>
      </c>
      <c r="AI2527" t="s">
        <v>51</v>
      </c>
      <c r="AJ2527" t="s">
        <v>51</v>
      </c>
      <c r="AK2527" t="s">
        <v>51</v>
      </c>
    </row>
    <row r="2528" spans="1:37" x14ac:dyDescent="0.2">
      <c r="A2528">
        <v>58131</v>
      </c>
      <c r="B2528" t="s">
        <v>37</v>
      </c>
      <c r="C2528" t="s">
        <v>38</v>
      </c>
      <c r="D2528" t="s">
        <v>674</v>
      </c>
      <c r="E2528" t="s">
        <v>40</v>
      </c>
      <c r="G2528" s="4">
        <v>43946.006643518519</v>
      </c>
      <c r="H2528" s="4">
        <v>43946.007280092593</v>
      </c>
      <c r="I2528" t="s">
        <v>1960</v>
      </c>
      <c r="J2528" s="5">
        <v>54.99999999999999999999999999999999999999</v>
      </c>
      <c r="K2528" t="s">
        <v>38</v>
      </c>
      <c r="M2528">
        <v>58132</v>
      </c>
      <c r="N2528" t="s">
        <v>705</v>
      </c>
      <c r="O2528" t="s">
        <v>706</v>
      </c>
      <c r="P2528" t="s">
        <v>38</v>
      </c>
      <c r="Q2528" t="s">
        <v>300</v>
      </c>
      <c r="R2528">
        <v>10.00000000000000000000000000000000000002</v>
      </c>
      <c r="S2528" t="s">
        <v>45</v>
      </c>
      <c r="T252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8">
        <v>58133</v>
      </c>
      <c r="V2528" t="s">
        <v>38</v>
      </c>
      <c r="W2528" t="s">
        <v>300</v>
      </c>
      <c r="X2528">
        <v>10.00000000000000000000000000000000000002</v>
      </c>
      <c r="Y2528">
        <v>0</v>
      </c>
      <c r="Z2528" t="s">
        <v>46</v>
      </c>
      <c r="AA2528">
        <v>58180</v>
      </c>
      <c r="AB2528" t="s">
        <v>2067</v>
      </c>
      <c r="AC2528" t="s">
        <v>103</v>
      </c>
      <c r="AD2528" t="s">
        <v>38</v>
      </c>
      <c r="AE2528" t="s">
        <v>49</v>
      </c>
      <c r="AF2528" t="s">
        <v>50</v>
      </c>
      <c r="AG2528">
        <v>0</v>
      </c>
      <c r="AH2528">
        <v>0</v>
      </c>
      <c r="AI2528" t="s">
        <v>51</v>
      </c>
      <c r="AJ2528" t="s">
        <v>51</v>
      </c>
      <c r="AK2528" t="s">
        <v>51</v>
      </c>
    </row>
    <row r="2529" spans="1:37" x14ac:dyDescent="0.2">
      <c r="A2529">
        <v>58131</v>
      </c>
      <c r="B2529" t="s">
        <v>37</v>
      </c>
      <c r="C2529" t="s">
        <v>38</v>
      </c>
      <c r="D2529" t="s">
        <v>674</v>
      </c>
      <c r="E2529" t="s">
        <v>40</v>
      </c>
      <c r="G2529" s="4">
        <v>43946.006643518519</v>
      </c>
      <c r="H2529" s="4">
        <v>43946.007280092593</v>
      </c>
      <c r="I2529" t="s">
        <v>1960</v>
      </c>
      <c r="J2529" s="5">
        <v>54.99999999999999999999999999999999999999</v>
      </c>
      <c r="K2529" t="s">
        <v>38</v>
      </c>
      <c r="M2529">
        <v>58132</v>
      </c>
      <c r="N2529" t="s">
        <v>705</v>
      </c>
      <c r="O2529" t="s">
        <v>706</v>
      </c>
      <c r="P2529" t="s">
        <v>38</v>
      </c>
      <c r="Q2529" t="s">
        <v>300</v>
      </c>
      <c r="R2529">
        <v>10.00000000000000000000000000000000000002</v>
      </c>
      <c r="S2529" t="s">
        <v>45</v>
      </c>
      <c r="T252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29">
        <v>58133</v>
      </c>
      <c r="V2529" t="s">
        <v>38</v>
      </c>
      <c r="W2529" t="s">
        <v>300</v>
      </c>
      <c r="X2529">
        <v>10.00000000000000000000000000000000000002</v>
      </c>
      <c r="Y2529">
        <v>0</v>
      </c>
      <c r="Z2529" t="s">
        <v>46</v>
      </c>
      <c r="AA2529">
        <v>58179</v>
      </c>
      <c r="AB2529" t="s">
        <v>2068</v>
      </c>
      <c r="AC2529" t="s">
        <v>103</v>
      </c>
      <c r="AD2529" t="s">
        <v>38</v>
      </c>
      <c r="AE2529" t="s">
        <v>49</v>
      </c>
      <c r="AF2529" t="s">
        <v>50</v>
      </c>
      <c r="AG2529">
        <v>0</v>
      </c>
      <c r="AH2529">
        <v>0</v>
      </c>
      <c r="AI2529" t="s">
        <v>51</v>
      </c>
      <c r="AJ2529" t="s">
        <v>51</v>
      </c>
      <c r="AK2529" t="s">
        <v>51</v>
      </c>
    </row>
    <row r="2530" spans="1:37" x14ac:dyDescent="0.2">
      <c r="A2530">
        <v>58131</v>
      </c>
      <c r="B2530" t="s">
        <v>37</v>
      </c>
      <c r="C2530" t="s">
        <v>38</v>
      </c>
      <c r="D2530" t="s">
        <v>674</v>
      </c>
      <c r="E2530" t="s">
        <v>40</v>
      </c>
      <c r="G2530" s="4">
        <v>43946.006643518519</v>
      </c>
      <c r="H2530" s="4">
        <v>43946.007280092593</v>
      </c>
      <c r="I2530" t="s">
        <v>1960</v>
      </c>
      <c r="J2530" s="5">
        <v>54.99999999999999999999999999999999999999</v>
      </c>
      <c r="K2530" t="s">
        <v>38</v>
      </c>
      <c r="M2530">
        <v>58132</v>
      </c>
      <c r="N2530" t="s">
        <v>705</v>
      </c>
      <c r="O2530" t="s">
        <v>706</v>
      </c>
      <c r="P2530" t="s">
        <v>38</v>
      </c>
      <c r="Q2530" t="s">
        <v>300</v>
      </c>
      <c r="R2530">
        <v>10.00000000000000000000000000000000000002</v>
      </c>
      <c r="S2530" t="s">
        <v>45</v>
      </c>
      <c r="T253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0">
        <v>58133</v>
      </c>
      <c r="V2530" t="s">
        <v>38</v>
      </c>
      <c r="W2530" t="s">
        <v>300</v>
      </c>
      <c r="X2530">
        <v>10.00000000000000000000000000000000000002</v>
      </c>
      <c r="Y2530">
        <v>0</v>
      </c>
      <c r="Z2530" t="s">
        <v>46</v>
      </c>
      <c r="AA2530">
        <v>58178</v>
      </c>
      <c r="AB2530" t="s">
        <v>2069</v>
      </c>
      <c r="AC2530" t="s">
        <v>103</v>
      </c>
      <c r="AD2530" t="s">
        <v>38</v>
      </c>
      <c r="AE2530" t="s">
        <v>49</v>
      </c>
      <c r="AF2530" t="s">
        <v>50</v>
      </c>
      <c r="AG2530">
        <v>0</v>
      </c>
      <c r="AH2530">
        <v>0</v>
      </c>
      <c r="AI2530" t="s">
        <v>51</v>
      </c>
      <c r="AJ2530" t="s">
        <v>51</v>
      </c>
      <c r="AK2530" t="s">
        <v>51</v>
      </c>
    </row>
    <row r="2531" spans="1:37" x14ac:dyDescent="0.2">
      <c r="A2531">
        <v>58131</v>
      </c>
      <c r="B2531" t="s">
        <v>37</v>
      </c>
      <c r="C2531" t="s">
        <v>38</v>
      </c>
      <c r="D2531" t="s">
        <v>674</v>
      </c>
      <c r="E2531" t="s">
        <v>40</v>
      </c>
      <c r="G2531" s="4">
        <v>43946.006643518519</v>
      </c>
      <c r="H2531" s="4">
        <v>43946.007280092593</v>
      </c>
      <c r="I2531" t="s">
        <v>1960</v>
      </c>
      <c r="J2531" s="5">
        <v>54.99999999999999999999999999999999999999</v>
      </c>
      <c r="K2531" t="s">
        <v>38</v>
      </c>
      <c r="M2531">
        <v>58132</v>
      </c>
      <c r="N2531" t="s">
        <v>705</v>
      </c>
      <c r="O2531" t="s">
        <v>706</v>
      </c>
      <c r="P2531" t="s">
        <v>38</v>
      </c>
      <c r="Q2531" t="s">
        <v>300</v>
      </c>
      <c r="R2531">
        <v>10.00000000000000000000000000000000000002</v>
      </c>
      <c r="S2531" t="s">
        <v>45</v>
      </c>
      <c r="T253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1">
        <v>58133</v>
      </c>
      <c r="V2531" t="s">
        <v>38</v>
      </c>
      <c r="W2531" t="s">
        <v>300</v>
      </c>
      <c r="X2531">
        <v>10.00000000000000000000000000000000000002</v>
      </c>
      <c r="Y2531">
        <v>0</v>
      </c>
      <c r="Z2531" t="s">
        <v>46</v>
      </c>
      <c r="AA2531">
        <v>58177</v>
      </c>
      <c r="AB2531" t="s">
        <v>2070</v>
      </c>
      <c r="AC2531" t="s">
        <v>103</v>
      </c>
      <c r="AD2531" t="s">
        <v>38</v>
      </c>
      <c r="AE2531" t="s">
        <v>49</v>
      </c>
      <c r="AF2531" t="s">
        <v>50</v>
      </c>
      <c r="AG2531">
        <v>0</v>
      </c>
      <c r="AH2531">
        <v>0</v>
      </c>
      <c r="AI2531" t="s">
        <v>51</v>
      </c>
      <c r="AJ2531" t="s">
        <v>51</v>
      </c>
      <c r="AK2531" t="s">
        <v>51</v>
      </c>
    </row>
    <row r="2532" spans="1:37" x14ac:dyDescent="0.2">
      <c r="A2532">
        <v>58131</v>
      </c>
      <c r="B2532" t="s">
        <v>37</v>
      </c>
      <c r="C2532" t="s">
        <v>38</v>
      </c>
      <c r="D2532" t="s">
        <v>674</v>
      </c>
      <c r="E2532" t="s">
        <v>40</v>
      </c>
      <c r="G2532" s="4">
        <v>43946.006643518519</v>
      </c>
      <c r="H2532" s="4">
        <v>43946.007280092593</v>
      </c>
      <c r="I2532" t="s">
        <v>1960</v>
      </c>
      <c r="J2532" s="5">
        <v>54.99999999999999999999999999999999999999</v>
      </c>
      <c r="K2532" t="s">
        <v>38</v>
      </c>
      <c r="M2532">
        <v>58132</v>
      </c>
      <c r="N2532" t="s">
        <v>705</v>
      </c>
      <c r="O2532" t="s">
        <v>706</v>
      </c>
      <c r="P2532" t="s">
        <v>38</v>
      </c>
      <c r="Q2532" t="s">
        <v>300</v>
      </c>
      <c r="R2532">
        <v>10.00000000000000000000000000000000000002</v>
      </c>
      <c r="S2532" t="s">
        <v>45</v>
      </c>
      <c r="T253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2">
        <v>58133</v>
      </c>
      <c r="V2532" t="s">
        <v>38</v>
      </c>
      <c r="W2532" t="s">
        <v>300</v>
      </c>
      <c r="X2532">
        <v>10.00000000000000000000000000000000000002</v>
      </c>
      <c r="Y2532">
        <v>0</v>
      </c>
      <c r="Z2532" t="s">
        <v>46</v>
      </c>
      <c r="AA2532">
        <v>58176</v>
      </c>
      <c r="AB2532" t="s">
        <v>2071</v>
      </c>
      <c r="AC2532" t="s">
        <v>103</v>
      </c>
      <c r="AD2532" t="s">
        <v>38</v>
      </c>
      <c r="AE2532" t="s">
        <v>49</v>
      </c>
      <c r="AF2532" t="s">
        <v>50</v>
      </c>
      <c r="AG2532">
        <v>0</v>
      </c>
      <c r="AH2532">
        <v>0</v>
      </c>
      <c r="AI2532" t="s">
        <v>51</v>
      </c>
      <c r="AJ2532" t="s">
        <v>51</v>
      </c>
      <c r="AK2532" t="s">
        <v>51</v>
      </c>
    </row>
    <row r="2533" spans="1:37" x14ac:dyDescent="0.2">
      <c r="A2533">
        <v>58131</v>
      </c>
      <c r="B2533" t="s">
        <v>37</v>
      </c>
      <c r="C2533" t="s">
        <v>38</v>
      </c>
      <c r="D2533" t="s">
        <v>674</v>
      </c>
      <c r="E2533" t="s">
        <v>40</v>
      </c>
      <c r="G2533" s="4">
        <v>43946.006643518519</v>
      </c>
      <c r="H2533" s="4">
        <v>43946.007280092593</v>
      </c>
      <c r="I2533" t="s">
        <v>1960</v>
      </c>
      <c r="J2533" s="5">
        <v>54.99999999999999999999999999999999999999</v>
      </c>
      <c r="K2533" t="s">
        <v>38</v>
      </c>
      <c r="M2533">
        <v>58132</v>
      </c>
      <c r="N2533" t="s">
        <v>705</v>
      </c>
      <c r="O2533" t="s">
        <v>706</v>
      </c>
      <c r="P2533" t="s">
        <v>38</v>
      </c>
      <c r="Q2533" t="s">
        <v>300</v>
      </c>
      <c r="R2533">
        <v>10.00000000000000000000000000000000000002</v>
      </c>
      <c r="S2533" t="s">
        <v>45</v>
      </c>
      <c r="T253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3">
        <v>58133</v>
      </c>
      <c r="V2533" t="s">
        <v>38</v>
      </c>
      <c r="W2533" t="s">
        <v>300</v>
      </c>
      <c r="X2533">
        <v>10.00000000000000000000000000000000000002</v>
      </c>
      <c r="Y2533">
        <v>0</v>
      </c>
      <c r="Z2533" t="s">
        <v>46</v>
      </c>
      <c r="AA2533">
        <v>58175</v>
      </c>
      <c r="AB2533" t="s">
        <v>2072</v>
      </c>
      <c r="AC2533" t="s">
        <v>103</v>
      </c>
      <c r="AD2533" t="s">
        <v>38</v>
      </c>
      <c r="AE2533" t="s">
        <v>49</v>
      </c>
      <c r="AF2533" t="s">
        <v>50</v>
      </c>
      <c r="AG2533">
        <v>0</v>
      </c>
      <c r="AH2533">
        <v>0</v>
      </c>
      <c r="AI2533" t="s">
        <v>51</v>
      </c>
      <c r="AJ2533" t="s">
        <v>51</v>
      </c>
      <c r="AK2533" t="s">
        <v>51</v>
      </c>
    </row>
    <row r="2534" spans="1:37" x14ac:dyDescent="0.2">
      <c r="A2534">
        <v>58131</v>
      </c>
      <c r="B2534" t="s">
        <v>37</v>
      </c>
      <c r="C2534" t="s">
        <v>38</v>
      </c>
      <c r="D2534" t="s">
        <v>674</v>
      </c>
      <c r="E2534" t="s">
        <v>40</v>
      </c>
      <c r="G2534" s="4">
        <v>43946.006643518519</v>
      </c>
      <c r="H2534" s="4">
        <v>43946.007280092593</v>
      </c>
      <c r="I2534" t="s">
        <v>1960</v>
      </c>
      <c r="J2534" s="5">
        <v>54.99999999999999999999999999999999999999</v>
      </c>
      <c r="K2534" t="s">
        <v>38</v>
      </c>
      <c r="M2534">
        <v>58132</v>
      </c>
      <c r="N2534" t="s">
        <v>705</v>
      </c>
      <c r="O2534" t="s">
        <v>706</v>
      </c>
      <c r="P2534" t="s">
        <v>38</v>
      </c>
      <c r="Q2534" t="s">
        <v>300</v>
      </c>
      <c r="R2534">
        <v>10.00000000000000000000000000000000000002</v>
      </c>
      <c r="S2534" t="s">
        <v>45</v>
      </c>
      <c r="T253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4">
        <v>58133</v>
      </c>
      <c r="V2534" t="s">
        <v>38</v>
      </c>
      <c r="W2534" t="s">
        <v>300</v>
      </c>
      <c r="X2534">
        <v>10.00000000000000000000000000000000000002</v>
      </c>
      <c r="Y2534">
        <v>0</v>
      </c>
      <c r="Z2534" t="s">
        <v>46</v>
      </c>
      <c r="AA2534">
        <v>58174</v>
      </c>
      <c r="AB2534" t="s">
        <v>2073</v>
      </c>
      <c r="AC2534" t="s">
        <v>103</v>
      </c>
      <c r="AD2534" t="s">
        <v>38</v>
      </c>
      <c r="AE2534" t="s">
        <v>49</v>
      </c>
      <c r="AF2534" t="s">
        <v>50</v>
      </c>
      <c r="AG2534">
        <v>0</v>
      </c>
      <c r="AH2534">
        <v>0</v>
      </c>
      <c r="AI2534" t="s">
        <v>51</v>
      </c>
      <c r="AJ2534" t="s">
        <v>51</v>
      </c>
      <c r="AK2534" t="s">
        <v>51</v>
      </c>
    </row>
    <row r="2535" spans="1:37" x14ac:dyDescent="0.2">
      <c r="A2535">
        <v>58131</v>
      </c>
      <c r="B2535" t="s">
        <v>37</v>
      </c>
      <c r="C2535" t="s">
        <v>38</v>
      </c>
      <c r="D2535" t="s">
        <v>674</v>
      </c>
      <c r="E2535" t="s">
        <v>40</v>
      </c>
      <c r="G2535" s="4">
        <v>43946.006643518519</v>
      </c>
      <c r="H2535" s="4">
        <v>43946.007280092593</v>
      </c>
      <c r="I2535" t="s">
        <v>1960</v>
      </c>
      <c r="J2535" s="5">
        <v>54.99999999999999999999999999999999999999</v>
      </c>
      <c r="K2535" t="s">
        <v>38</v>
      </c>
      <c r="M2535">
        <v>58132</v>
      </c>
      <c r="N2535" t="s">
        <v>705</v>
      </c>
      <c r="O2535" t="s">
        <v>706</v>
      </c>
      <c r="P2535" t="s">
        <v>38</v>
      </c>
      <c r="Q2535" t="s">
        <v>300</v>
      </c>
      <c r="R2535">
        <v>10.00000000000000000000000000000000000002</v>
      </c>
      <c r="S2535" t="s">
        <v>45</v>
      </c>
      <c r="T253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5">
        <v>58133</v>
      </c>
      <c r="V2535" t="s">
        <v>38</v>
      </c>
      <c r="W2535" t="s">
        <v>300</v>
      </c>
      <c r="X2535">
        <v>10.00000000000000000000000000000000000002</v>
      </c>
      <c r="Y2535">
        <v>0</v>
      </c>
      <c r="Z2535" t="s">
        <v>46</v>
      </c>
      <c r="AA2535">
        <v>58173</v>
      </c>
      <c r="AB2535" t="s">
        <v>2074</v>
      </c>
      <c r="AC2535" t="s">
        <v>103</v>
      </c>
      <c r="AD2535" t="s">
        <v>38</v>
      </c>
      <c r="AE2535" t="s">
        <v>49</v>
      </c>
      <c r="AF2535" t="s">
        <v>50</v>
      </c>
      <c r="AG2535">
        <v>0</v>
      </c>
      <c r="AH2535">
        <v>0</v>
      </c>
      <c r="AI2535" t="s">
        <v>51</v>
      </c>
      <c r="AJ2535" t="s">
        <v>51</v>
      </c>
      <c r="AK2535" t="s">
        <v>51</v>
      </c>
    </row>
    <row r="2536" spans="1:37" x14ac:dyDescent="0.2">
      <c r="A2536">
        <v>58131</v>
      </c>
      <c r="B2536" t="s">
        <v>37</v>
      </c>
      <c r="C2536" t="s">
        <v>38</v>
      </c>
      <c r="D2536" t="s">
        <v>674</v>
      </c>
      <c r="E2536" t="s">
        <v>40</v>
      </c>
      <c r="G2536" s="4">
        <v>43946.006643518519</v>
      </c>
      <c r="H2536" s="4">
        <v>43946.007280092593</v>
      </c>
      <c r="I2536" t="s">
        <v>1960</v>
      </c>
      <c r="J2536" s="5">
        <v>54.99999999999999999999999999999999999999</v>
      </c>
      <c r="K2536" t="s">
        <v>38</v>
      </c>
      <c r="M2536">
        <v>58132</v>
      </c>
      <c r="N2536" t="s">
        <v>705</v>
      </c>
      <c r="O2536" t="s">
        <v>706</v>
      </c>
      <c r="P2536" t="s">
        <v>38</v>
      </c>
      <c r="Q2536" t="s">
        <v>300</v>
      </c>
      <c r="R2536">
        <v>10.00000000000000000000000000000000000002</v>
      </c>
      <c r="S2536" t="s">
        <v>45</v>
      </c>
      <c r="T253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6">
        <v>58133</v>
      </c>
      <c r="V2536" t="s">
        <v>38</v>
      </c>
      <c r="W2536" t="s">
        <v>300</v>
      </c>
      <c r="X2536">
        <v>10.00000000000000000000000000000000000002</v>
      </c>
      <c r="Y2536">
        <v>0</v>
      </c>
      <c r="Z2536" t="s">
        <v>46</v>
      </c>
      <c r="AA2536">
        <v>58172</v>
      </c>
      <c r="AB2536" t="s">
        <v>2075</v>
      </c>
      <c r="AC2536" t="s">
        <v>103</v>
      </c>
      <c r="AD2536" t="s">
        <v>38</v>
      </c>
      <c r="AE2536" t="s">
        <v>49</v>
      </c>
      <c r="AF2536" t="s">
        <v>50</v>
      </c>
      <c r="AG2536">
        <v>0</v>
      </c>
      <c r="AH2536">
        <v>0</v>
      </c>
      <c r="AI2536" t="s">
        <v>51</v>
      </c>
      <c r="AJ2536" t="s">
        <v>51</v>
      </c>
      <c r="AK2536" t="s">
        <v>51</v>
      </c>
    </row>
    <row r="2537" spans="1:37" x14ac:dyDescent="0.2">
      <c r="A2537">
        <v>58131</v>
      </c>
      <c r="B2537" t="s">
        <v>37</v>
      </c>
      <c r="C2537" t="s">
        <v>38</v>
      </c>
      <c r="D2537" t="s">
        <v>674</v>
      </c>
      <c r="E2537" t="s">
        <v>40</v>
      </c>
      <c r="G2537" s="4">
        <v>43946.006643518519</v>
      </c>
      <c r="H2537" s="4">
        <v>43946.007280092593</v>
      </c>
      <c r="I2537" t="s">
        <v>1960</v>
      </c>
      <c r="J2537" s="5">
        <v>54.99999999999999999999999999999999999999</v>
      </c>
      <c r="K2537" t="s">
        <v>38</v>
      </c>
      <c r="M2537">
        <v>58132</v>
      </c>
      <c r="N2537" t="s">
        <v>705</v>
      </c>
      <c r="O2537" t="s">
        <v>706</v>
      </c>
      <c r="P2537" t="s">
        <v>38</v>
      </c>
      <c r="Q2537" t="s">
        <v>300</v>
      </c>
      <c r="R2537">
        <v>10.00000000000000000000000000000000000002</v>
      </c>
      <c r="S2537" t="s">
        <v>45</v>
      </c>
      <c r="T253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7">
        <v>58133</v>
      </c>
      <c r="V2537" t="s">
        <v>38</v>
      </c>
      <c r="W2537" t="s">
        <v>300</v>
      </c>
      <c r="X2537">
        <v>10.00000000000000000000000000000000000002</v>
      </c>
      <c r="Y2537">
        <v>0</v>
      </c>
      <c r="Z2537" t="s">
        <v>46</v>
      </c>
      <c r="AA2537">
        <v>58171</v>
      </c>
      <c r="AB2537" t="s">
        <v>2076</v>
      </c>
      <c r="AC2537" t="s">
        <v>103</v>
      </c>
      <c r="AD2537" t="s">
        <v>38</v>
      </c>
      <c r="AE2537" t="s">
        <v>49</v>
      </c>
      <c r="AF2537" t="s">
        <v>50</v>
      </c>
      <c r="AG2537">
        <v>0</v>
      </c>
      <c r="AH2537">
        <v>0</v>
      </c>
      <c r="AI2537" t="s">
        <v>51</v>
      </c>
      <c r="AJ2537" t="s">
        <v>51</v>
      </c>
      <c r="AK2537" t="s">
        <v>51</v>
      </c>
    </row>
    <row r="2538" spans="1:37" x14ac:dyDescent="0.2">
      <c r="A2538">
        <v>58131</v>
      </c>
      <c r="B2538" t="s">
        <v>37</v>
      </c>
      <c r="C2538" t="s">
        <v>38</v>
      </c>
      <c r="D2538" t="s">
        <v>674</v>
      </c>
      <c r="E2538" t="s">
        <v>40</v>
      </c>
      <c r="G2538" s="4">
        <v>43946.006643518519</v>
      </c>
      <c r="H2538" s="4">
        <v>43946.007280092593</v>
      </c>
      <c r="I2538" t="s">
        <v>1960</v>
      </c>
      <c r="J2538" s="5">
        <v>54.99999999999999999999999999999999999999</v>
      </c>
      <c r="K2538" t="s">
        <v>38</v>
      </c>
      <c r="M2538">
        <v>58132</v>
      </c>
      <c r="N2538" t="s">
        <v>705</v>
      </c>
      <c r="O2538" t="s">
        <v>706</v>
      </c>
      <c r="P2538" t="s">
        <v>38</v>
      </c>
      <c r="Q2538" t="s">
        <v>300</v>
      </c>
      <c r="R2538">
        <v>10.00000000000000000000000000000000000002</v>
      </c>
      <c r="S2538" t="s">
        <v>45</v>
      </c>
      <c r="T253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8">
        <v>58133</v>
      </c>
      <c r="V2538" t="s">
        <v>38</v>
      </c>
      <c r="W2538" t="s">
        <v>300</v>
      </c>
      <c r="X2538">
        <v>10.00000000000000000000000000000000000002</v>
      </c>
      <c r="Y2538">
        <v>0</v>
      </c>
      <c r="Z2538" t="s">
        <v>46</v>
      </c>
      <c r="AA2538">
        <v>58170</v>
      </c>
      <c r="AB2538" t="s">
        <v>2077</v>
      </c>
      <c r="AC2538" t="s">
        <v>103</v>
      </c>
      <c r="AD2538" t="s">
        <v>38</v>
      </c>
      <c r="AE2538" t="s">
        <v>49</v>
      </c>
      <c r="AF2538" t="s">
        <v>50</v>
      </c>
      <c r="AG2538">
        <v>0</v>
      </c>
      <c r="AH2538">
        <v>0</v>
      </c>
      <c r="AI2538" t="s">
        <v>51</v>
      </c>
      <c r="AJ2538" t="s">
        <v>51</v>
      </c>
      <c r="AK2538" t="s">
        <v>51</v>
      </c>
    </row>
    <row r="2539" spans="1:37" x14ac:dyDescent="0.2">
      <c r="A2539">
        <v>58131</v>
      </c>
      <c r="B2539" t="s">
        <v>37</v>
      </c>
      <c r="C2539" t="s">
        <v>38</v>
      </c>
      <c r="D2539" t="s">
        <v>674</v>
      </c>
      <c r="E2539" t="s">
        <v>40</v>
      </c>
      <c r="G2539" s="4">
        <v>43946.006643518519</v>
      </c>
      <c r="H2539" s="4">
        <v>43946.007280092593</v>
      </c>
      <c r="I2539" t="s">
        <v>1960</v>
      </c>
      <c r="J2539" s="5">
        <v>54.99999999999999999999999999999999999999</v>
      </c>
      <c r="K2539" t="s">
        <v>38</v>
      </c>
      <c r="M2539">
        <v>58132</v>
      </c>
      <c r="N2539" t="s">
        <v>705</v>
      </c>
      <c r="O2539" t="s">
        <v>706</v>
      </c>
      <c r="P2539" t="s">
        <v>38</v>
      </c>
      <c r="Q2539" t="s">
        <v>300</v>
      </c>
      <c r="R2539">
        <v>10.00000000000000000000000000000000000002</v>
      </c>
      <c r="S2539" t="s">
        <v>45</v>
      </c>
      <c r="T253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39">
        <v>58133</v>
      </c>
      <c r="V2539" t="s">
        <v>38</v>
      </c>
      <c r="W2539" t="s">
        <v>300</v>
      </c>
      <c r="X2539">
        <v>10.00000000000000000000000000000000000002</v>
      </c>
      <c r="Y2539">
        <v>0</v>
      </c>
      <c r="Z2539" t="s">
        <v>46</v>
      </c>
      <c r="AA2539">
        <v>58169</v>
      </c>
      <c r="AB2539" t="s">
        <v>2078</v>
      </c>
      <c r="AC2539" t="s">
        <v>103</v>
      </c>
      <c r="AD2539" t="s">
        <v>38</v>
      </c>
      <c r="AE2539" t="s">
        <v>49</v>
      </c>
      <c r="AF2539" t="s">
        <v>50</v>
      </c>
      <c r="AG2539">
        <v>0</v>
      </c>
      <c r="AH2539">
        <v>0</v>
      </c>
      <c r="AI2539" t="s">
        <v>51</v>
      </c>
      <c r="AJ2539" t="s">
        <v>51</v>
      </c>
      <c r="AK2539" t="s">
        <v>51</v>
      </c>
    </row>
    <row r="2540" spans="1:37" x14ac:dyDescent="0.2">
      <c r="A2540">
        <v>58131</v>
      </c>
      <c r="B2540" t="s">
        <v>37</v>
      </c>
      <c r="C2540" t="s">
        <v>38</v>
      </c>
      <c r="D2540" t="s">
        <v>674</v>
      </c>
      <c r="E2540" t="s">
        <v>40</v>
      </c>
      <c r="G2540" s="4">
        <v>43946.006643518519</v>
      </c>
      <c r="H2540" s="4">
        <v>43946.007280092593</v>
      </c>
      <c r="I2540" t="s">
        <v>1960</v>
      </c>
      <c r="J2540" s="5">
        <v>54.99999999999999999999999999999999999999</v>
      </c>
      <c r="K2540" t="s">
        <v>38</v>
      </c>
      <c r="M2540">
        <v>58132</v>
      </c>
      <c r="N2540" t="s">
        <v>705</v>
      </c>
      <c r="O2540" t="s">
        <v>706</v>
      </c>
      <c r="P2540" t="s">
        <v>38</v>
      </c>
      <c r="Q2540" t="s">
        <v>300</v>
      </c>
      <c r="R2540">
        <v>10.00000000000000000000000000000000000002</v>
      </c>
      <c r="S2540" t="s">
        <v>45</v>
      </c>
      <c r="T254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0">
        <v>58133</v>
      </c>
      <c r="V2540" t="s">
        <v>38</v>
      </c>
      <c r="W2540" t="s">
        <v>300</v>
      </c>
      <c r="X2540">
        <v>10.00000000000000000000000000000000000002</v>
      </c>
      <c r="Y2540">
        <v>0</v>
      </c>
      <c r="Z2540" t="s">
        <v>46</v>
      </c>
      <c r="AA2540">
        <v>58168</v>
      </c>
      <c r="AB2540" t="s">
        <v>2079</v>
      </c>
      <c r="AC2540" t="s">
        <v>103</v>
      </c>
      <c r="AD2540" t="s">
        <v>38</v>
      </c>
      <c r="AE2540" t="s">
        <v>49</v>
      </c>
      <c r="AF2540" t="s">
        <v>50</v>
      </c>
      <c r="AG2540">
        <v>0</v>
      </c>
      <c r="AH2540">
        <v>0</v>
      </c>
      <c r="AI2540" t="s">
        <v>51</v>
      </c>
      <c r="AJ2540" t="s">
        <v>51</v>
      </c>
      <c r="AK2540" t="s">
        <v>51</v>
      </c>
    </row>
    <row r="2541" spans="1:37" x14ac:dyDescent="0.2">
      <c r="A2541">
        <v>58131</v>
      </c>
      <c r="B2541" t="s">
        <v>37</v>
      </c>
      <c r="C2541" t="s">
        <v>38</v>
      </c>
      <c r="D2541" t="s">
        <v>674</v>
      </c>
      <c r="E2541" t="s">
        <v>40</v>
      </c>
      <c r="G2541" s="4">
        <v>43946.006643518519</v>
      </c>
      <c r="H2541" s="4">
        <v>43946.007280092593</v>
      </c>
      <c r="I2541" t="s">
        <v>1960</v>
      </c>
      <c r="J2541" s="5">
        <v>54.99999999999999999999999999999999999999</v>
      </c>
      <c r="K2541" t="s">
        <v>38</v>
      </c>
      <c r="M2541">
        <v>58132</v>
      </c>
      <c r="N2541" t="s">
        <v>705</v>
      </c>
      <c r="O2541" t="s">
        <v>706</v>
      </c>
      <c r="P2541" t="s">
        <v>38</v>
      </c>
      <c r="Q2541" t="s">
        <v>300</v>
      </c>
      <c r="R2541">
        <v>10.00000000000000000000000000000000000002</v>
      </c>
      <c r="S2541" t="s">
        <v>45</v>
      </c>
      <c r="T254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1">
        <v>58133</v>
      </c>
      <c r="V2541" t="s">
        <v>38</v>
      </c>
      <c r="W2541" t="s">
        <v>300</v>
      </c>
      <c r="X2541">
        <v>10.00000000000000000000000000000000000002</v>
      </c>
      <c r="Y2541">
        <v>0</v>
      </c>
      <c r="Z2541" t="s">
        <v>46</v>
      </c>
      <c r="AA2541">
        <v>58167</v>
      </c>
      <c r="AB2541" t="s">
        <v>2080</v>
      </c>
      <c r="AC2541" t="s">
        <v>103</v>
      </c>
      <c r="AD2541" t="s">
        <v>38</v>
      </c>
      <c r="AE2541" t="s">
        <v>49</v>
      </c>
      <c r="AF2541" t="s">
        <v>50</v>
      </c>
      <c r="AG2541">
        <v>0</v>
      </c>
      <c r="AH2541">
        <v>0</v>
      </c>
      <c r="AI2541" t="s">
        <v>51</v>
      </c>
      <c r="AJ2541" t="s">
        <v>51</v>
      </c>
      <c r="AK2541" t="s">
        <v>51</v>
      </c>
    </row>
    <row r="2542" spans="1:37" x14ac:dyDescent="0.2">
      <c r="A2542">
        <v>58131</v>
      </c>
      <c r="B2542" t="s">
        <v>37</v>
      </c>
      <c r="C2542" t="s">
        <v>38</v>
      </c>
      <c r="D2542" t="s">
        <v>674</v>
      </c>
      <c r="E2542" t="s">
        <v>40</v>
      </c>
      <c r="G2542" s="4">
        <v>43946.006643518519</v>
      </c>
      <c r="H2542" s="4">
        <v>43946.007280092593</v>
      </c>
      <c r="I2542" t="s">
        <v>1960</v>
      </c>
      <c r="J2542" s="5">
        <v>54.99999999999999999999999999999999999999</v>
      </c>
      <c r="K2542" t="s">
        <v>38</v>
      </c>
      <c r="M2542">
        <v>58132</v>
      </c>
      <c r="N2542" t="s">
        <v>705</v>
      </c>
      <c r="O2542" t="s">
        <v>706</v>
      </c>
      <c r="P2542" t="s">
        <v>38</v>
      </c>
      <c r="Q2542" t="s">
        <v>300</v>
      </c>
      <c r="R2542">
        <v>10.00000000000000000000000000000000000002</v>
      </c>
      <c r="S2542" t="s">
        <v>45</v>
      </c>
      <c r="T254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2">
        <v>58133</v>
      </c>
      <c r="V2542" t="s">
        <v>38</v>
      </c>
      <c r="W2542" t="s">
        <v>300</v>
      </c>
      <c r="X2542">
        <v>10.00000000000000000000000000000000000002</v>
      </c>
      <c r="Y2542">
        <v>0</v>
      </c>
      <c r="Z2542" t="s">
        <v>46</v>
      </c>
      <c r="AA2542">
        <v>58166</v>
      </c>
      <c r="AB2542" t="s">
        <v>2081</v>
      </c>
      <c r="AC2542" t="s">
        <v>103</v>
      </c>
      <c r="AD2542" t="s">
        <v>38</v>
      </c>
      <c r="AE2542" t="s">
        <v>49</v>
      </c>
      <c r="AF2542" t="s">
        <v>50</v>
      </c>
      <c r="AG2542">
        <v>0</v>
      </c>
      <c r="AH2542">
        <v>0</v>
      </c>
      <c r="AI2542" t="s">
        <v>51</v>
      </c>
      <c r="AJ2542" t="s">
        <v>51</v>
      </c>
      <c r="AK2542" t="s">
        <v>51</v>
      </c>
    </row>
    <row r="2543" spans="1:37" x14ac:dyDescent="0.2">
      <c r="A2543">
        <v>58131</v>
      </c>
      <c r="B2543" t="s">
        <v>37</v>
      </c>
      <c r="C2543" t="s">
        <v>38</v>
      </c>
      <c r="D2543" t="s">
        <v>674</v>
      </c>
      <c r="E2543" t="s">
        <v>40</v>
      </c>
      <c r="G2543" s="4">
        <v>43946.006643518519</v>
      </c>
      <c r="H2543" s="4">
        <v>43946.007280092593</v>
      </c>
      <c r="I2543" t="s">
        <v>1960</v>
      </c>
      <c r="J2543" s="5">
        <v>54.99999999999999999999999999999999999999</v>
      </c>
      <c r="K2543" t="s">
        <v>38</v>
      </c>
      <c r="M2543">
        <v>58132</v>
      </c>
      <c r="N2543" t="s">
        <v>705</v>
      </c>
      <c r="O2543" t="s">
        <v>706</v>
      </c>
      <c r="P2543" t="s">
        <v>38</v>
      </c>
      <c r="Q2543" t="s">
        <v>300</v>
      </c>
      <c r="R2543">
        <v>10.00000000000000000000000000000000000002</v>
      </c>
      <c r="S2543" t="s">
        <v>45</v>
      </c>
      <c r="T254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3">
        <v>58133</v>
      </c>
      <c r="V2543" t="s">
        <v>38</v>
      </c>
      <c r="W2543" t="s">
        <v>300</v>
      </c>
      <c r="X2543">
        <v>10.00000000000000000000000000000000000002</v>
      </c>
      <c r="Y2543">
        <v>0</v>
      </c>
      <c r="Z2543" t="s">
        <v>46</v>
      </c>
      <c r="AA2543">
        <v>58165</v>
      </c>
      <c r="AB2543" t="s">
        <v>2082</v>
      </c>
      <c r="AC2543" t="s">
        <v>103</v>
      </c>
      <c r="AD2543" t="s">
        <v>38</v>
      </c>
      <c r="AE2543" t="s">
        <v>49</v>
      </c>
      <c r="AF2543" t="s">
        <v>50</v>
      </c>
      <c r="AG2543">
        <v>0</v>
      </c>
      <c r="AH2543">
        <v>0</v>
      </c>
      <c r="AI2543" t="s">
        <v>51</v>
      </c>
      <c r="AJ2543" t="s">
        <v>51</v>
      </c>
      <c r="AK2543" t="s">
        <v>51</v>
      </c>
    </row>
    <row r="2544" spans="1:37" x14ac:dyDescent="0.2">
      <c r="A2544">
        <v>58131</v>
      </c>
      <c r="B2544" t="s">
        <v>37</v>
      </c>
      <c r="C2544" t="s">
        <v>38</v>
      </c>
      <c r="D2544" t="s">
        <v>674</v>
      </c>
      <c r="E2544" t="s">
        <v>40</v>
      </c>
      <c r="G2544" s="4">
        <v>43946.006643518519</v>
      </c>
      <c r="H2544" s="4">
        <v>43946.007280092593</v>
      </c>
      <c r="I2544" t="s">
        <v>1960</v>
      </c>
      <c r="J2544" s="5">
        <v>54.99999999999999999999999999999999999999</v>
      </c>
      <c r="K2544" t="s">
        <v>38</v>
      </c>
      <c r="M2544">
        <v>58132</v>
      </c>
      <c r="N2544" t="s">
        <v>705</v>
      </c>
      <c r="O2544" t="s">
        <v>706</v>
      </c>
      <c r="P2544" t="s">
        <v>38</v>
      </c>
      <c r="Q2544" t="s">
        <v>300</v>
      </c>
      <c r="R2544">
        <v>10.00000000000000000000000000000000000002</v>
      </c>
      <c r="S2544" t="s">
        <v>45</v>
      </c>
      <c r="T254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4">
        <v>58133</v>
      </c>
      <c r="V2544" t="s">
        <v>38</v>
      </c>
      <c r="W2544" t="s">
        <v>300</v>
      </c>
      <c r="X2544">
        <v>10.00000000000000000000000000000000000002</v>
      </c>
      <c r="Y2544">
        <v>0</v>
      </c>
      <c r="Z2544" t="s">
        <v>46</v>
      </c>
      <c r="AA2544">
        <v>58164</v>
      </c>
      <c r="AB2544" t="s">
        <v>2083</v>
      </c>
      <c r="AC2544" t="s">
        <v>103</v>
      </c>
      <c r="AD2544" t="s">
        <v>38</v>
      </c>
      <c r="AE2544" t="s">
        <v>49</v>
      </c>
      <c r="AF2544" t="s">
        <v>50</v>
      </c>
      <c r="AG2544">
        <v>0</v>
      </c>
      <c r="AH2544">
        <v>0</v>
      </c>
      <c r="AI2544" t="s">
        <v>51</v>
      </c>
      <c r="AJ2544" t="s">
        <v>51</v>
      </c>
      <c r="AK2544" t="s">
        <v>51</v>
      </c>
    </row>
    <row r="2545" spans="1:37" x14ac:dyDescent="0.2">
      <c r="A2545">
        <v>58131</v>
      </c>
      <c r="B2545" t="s">
        <v>37</v>
      </c>
      <c r="C2545" t="s">
        <v>38</v>
      </c>
      <c r="D2545" t="s">
        <v>674</v>
      </c>
      <c r="E2545" t="s">
        <v>40</v>
      </c>
      <c r="G2545" s="4">
        <v>43946.006643518519</v>
      </c>
      <c r="H2545" s="4">
        <v>43946.007280092593</v>
      </c>
      <c r="I2545" t="s">
        <v>1960</v>
      </c>
      <c r="J2545" s="5">
        <v>54.99999999999999999999999999999999999999</v>
      </c>
      <c r="K2545" t="s">
        <v>38</v>
      </c>
      <c r="M2545">
        <v>58132</v>
      </c>
      <c r="N2545" t="s">
        <v>705</v>
      </c>
      <c r="O2545" t="s">
        <v>706</v>
      </c>
      <c r="P2545" t="s">
        <v>38</v>
      </c>
      <c r="Q2545" t="s">
        <v>300</v>
      </c>
      <c r="R2545">
        <v>10.00000000000000000000000000000000000002</v>
      </c>
      <c r="S2545" t="s">
        <v>45</v>
      </c>
      <c r="T254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5">
        <v>58133</v>
      </c>
      <c r="V2545" t="s">
        <v>38</v>
      </c>
      <c r="W2545" t="s">
        <v>300</v>
      </c>
      <c r="X2545">
        <v>10.00000000000000000000000000000000000002</v>
      </c>
      <c r="Y2545">
        <v>0</v>
      </c>
      <c r="Z2545" t="s">
        <v>46</v>
      </c>
      <c r="AA2545">
        <v>58163</v>
      </c>
      <c r="AB2545" t="s">
        <v>2084</v>
      </c>
      <c r="AC2545" t="s">
        <v>103</v>
      </c>
      <c r="AD2545" t="s">
        <v>38</v>
      </c>
      <c r="AE2545" t="s">
        <v>49</v>
      </c>
      <c r="AF2545" t="s">
        <v>50</v>
      </c>
      <c r="AG2545">
        <v>0</v>
      </c>
      <c r="AH2545">
        <v>0</v>
      </c>
      <c r="AI2545" t="s">
        <v>51</v>
      </c>
      <c r="AJ2545" t="s">
        <v>51</v>
      </c>
      <c r="AK2545" t="s">
        <v>51</v>
      </c>
    </row>
    <row r="2546" spans="1:37" x14ac:dyDescent="0.2">
      <c r="A2546">
        <v>58131</v>
      </c>
      <c r="B2546" t="s">
        <v>37</v>
      </c>
      <c r="C2546" t="s">
        <v>38</v>
      </c>
      <c r="D2546" t="s">
        <v>674</v>
      </c>
      <c r="E2546" t="s">
        <v>40</v>
      </c>
      <c r="G2546" s="4">
        <v>43946.006643518519</v>
      </c>
      <c r="H2546" s="4">
        <v>43946.007280092593</v>
      </c>
      <c r="I2546" t="s">
        <v>1960</v>
      </c>
      <c r="J2546" s="5">
        <v>54.99999999999999999999999999999999999999</v>
      </c>
      <c r="K2546" t="s">
        <v>38</v>
      </c>
      <c r="M2546">
        <v>58132</v>
      </c>
      <c r="N2546" t="s">
        <v>705</v>
      </c>
      <c r="O2546" t="s">
        <v>706</v>
      </c>
      <c r="P2546" t="s">
        <v>38</v>
      </c>
      <c r="Q2546" t="s">
        <v>300</v>
      </c>
      <c r="R2546">
        <v>10.00000000000000000000000000000000000002</v>
      </c>
      <c r="S2546" t="s">
        <v>45</v>
      </c>
      <c r="T254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6">
        <v>58133</v>
      </c>
      <c r="V2546" t="s">
        <v>38</v>
      </c>
      <c r="W2546" t="s">
        <v>300</v>
      </c>
      <c r="X2546">
        <v>10.00000000000000000000000000000000000002</v>
      </c>
      <c r="Y2546">
        <v>0</v>
      </c>
      <c r="Z2546" t="s">
        <v>46</v>
      </c>
      <c r="AA2546">
        <v>58162</v>
      </c>
      <c r="AB2546" t="s">
        <v>2085</v>
      </c>
      <c r="AC2546" t="s">
        <v>103</v>
      </c>
      <c r="AD2546" t="s">
        <v>38</v>
      </c>
      <c r="AE2546" t="s">
        <v>49</v>
      </c>
      <c r="AF2546" t="s">
        <v>50</v>
      </c>
      <c r="AG2546">
        <v>0</v>
      </c>
      <c r="AH2546">
        <v>0</v>
      </c>
      <c r="AI2546" t="s">
        <v>51</v>
      </c>
      <c r="AJ2546" t="s">
        <v>51</v>
      </c>
      <c r="AK2546" t="s">
        <v>51</v>
      </c>
    </row>
    <row r="2547" spans="1:37" x14ac:dyDescent="0.2">
      <c r="A2547">
        <v>58131</v>
      </c>
      <c r="B2547" t="s">
        <v>37</v>
      </c>
      <c r="C2547" t="s">
        <v>38</v>
      </c>
      <c r="D2547" t="s">
        <v>674</v>
      </c>
      <c r="E2547" t="s">
        <v>40</v>
      </c>
      <c r="G2547" s="4">
        <v>43946.006643518519</v>
      </c>
      <c r="H2547" s="4">
        <v>43946.007280092593</v>
      </c>
      <c r="I2547" t="s">
        <v>1960</v>
      </c>
      <c r="J2547" s="5">
        <v>54.99999999999999999999999999999999999999</v>
      </c>
      <c r="K2547" t="s">
        <v>38</v>
      </c>
      <c r="M2547">
        <v>58132</v>
      </c>
      <c r="N2547" t="s">
        <v>705</v>
      </c>
      <c r="O2547" t="s">
        <v>706</v>
      </c>
      <c r="P2547" t="s">
        <v>38</v>
      </c>
      <c r="Q2547" t="s">
        <v>300</v>
      </c>
      <c r="R2547">
        <v>10.00000000000000000000000000000000000002</v>
      </c>
      <c r="S2547" t="s">
        <v>45</v>
      </c>
      <c r="T254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7">
        <v>58133</v>
      </c>
      <c r="V2547" t="s">
        <v>38</v>
      </c>
      <c r="W2547" t="s">
        <v>300</v>
      </c>
      <c r="X2547">
        <v>10.00000000000000000000000000000000000002</v>
      </c>
      <c r="Y2547">
        <v>0</v>
      </c>
      <c r="Z2547" t="s">
        <v>46</v>
      </c>
      <c r="AA2547">
        <v>58161</v>
      </c>
      <c r="AB2547" t="s">
        <v>2086</v>
      </c>
      <c r="AC2547" t="s">
        <v>103</v>
      </c>
      <c r="AD2547" t="s">
        <v>38</v>
      </c>
      <c r="AE2547" t="s">
        <v>49</v>
      </c>
      <c r="AF2547" t="s">
        <v>50</v>
      </c>
      <c r="AG2547">
        <v>0</v>
      </c>
      <c r="AH2547">
        <v>0</v>
      </c>
      <c r="AI2547" t="s">
        <v>51</v>
      </c>
      <c r="AJ2547" t="s">
        <v>51</v>
      </c>
      <c r="AK2547" t="s">
        <v>51</v>
      </c>
    </row>
    <row r="2548" spans="1:37" x14ac:dyDescent="0.2">
      <c r="A2548">
        <v>58131</v>
      </c>
      <c r="B2548" t="s">
        <v>37</v>
      </c>
      <c r="C2548" t="s">
        <v>38</v>
      </c>
      <c r="D2548" t="s">
        <v>674</v>
      </c>
      <c r="E2548" t="s">
        <v>40</v>
      </c>
      <c r="G2548" s="4">
        <v>43946.006643518519</v>
      </c>
      <c r="H2548" s="4">
        <v>43946.007280092593</v>
      </c>
      <c r="I2548" t="s">
        <v>1960</v>
      </c>
      <c r="J2548" s="5">
        <v>54.99999999999999999999999999999999999999</v>
      </c>
      <c r="K2548" t="s">
        <v>38</v>
      </c>
      <c r="M2548">
        <v>58132</v>
      </c>
      <c r="N2548" t="s">
        <v>705</v>
      </c>
      <c r="O2548" t="s">
        <v>706</v>
      </c>
      <c r="P2548" t="s">
        <v>38</v>
      </c>
      <c r="Q2548" t="s">
        <v>300</v>
      </c>
      <c r="R2548">
        <v>10.00000000000000000000000000000000000002</v>
      </c>
      <c r="S2548" t="s">
        <v>45</v>
      </c>
      <c r="T254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8">
        <v>58133</v>
      </c>
      <c r="V2548" t="s">
        <v>38</v>
      </c>
      <c r="W2548" t="s">
        <v>300</v>
      </c>
      <c r="X2548">
        <v>10.00000000000000000000000000000000000002</v>
      </c>
      <c r="Y2548">
        <v>0</v>
      </c>
      <c r="Z2548" t="s">
        <v>46</v>
      </c>
      <c r="AA2548">
        <v>58160</v>
      </c>
      <c r="AB2548" t="s">
        <v>2087</v>
      </c>
      <c r="AC2548" t="s">
        <v>103</v>
      </c>
      <c r="AD2548" t="s">
        <v>38</v>
      </c>
      <c r="AE2548" t="s">
        <v>49</v>
      </c>
      <c r="AF2548" t="s">
        <v>50</v>
      </c>
      <c r="AG2548">
        <v>0</v>
      </c>
      <c r="AH2548">
        <v>0</v>
      </c>
      <c r="AI2548" t="s">
        <v>51</v>
      </c>
      <c r="AJ2548" t="s">
        <v>51</v>
      </c>
      <c r="AK2548" t="s">
        <v>51</v>
      </c>
    </row>
    <row r="2549" spans="1:37" x14ac:dyDescent="0.2">
      <c r="A2549">
        <v>58131</v>
      </c>
      <c r="B2549" t="s">
        <v>37</v>
      </c>
      <c r="C2549" t="s">
        <v>38</v>
      </c>
      <c r="D2549" t="s">
        <v>674</v>
      </c>
      <c r="E2549" t="s">
        <v>40</v>
      </c>
      <c r="G2549" s="4">
        <v>43946.006643518519</v>
      </c>
      <c r="H2549" s="4">
        <v>43946.007280092593</v>
      </c>
      <c r="I2549" t="s">
        <v>1960</v>
      </c>
      <c r="J2549" s="5">
        <v>54.99999999999999999999999999999999999999</v>
      </c>
      <c r="K2549" t="s">
        <v>38</v>
      </c>
      <c r="M2549">
        <v>58132</v>
      </c>
      <c r="N2549" t="s">
        <v>705</v>
      </c>
      <c r="O2549" t="s">
        <v>706</v>
      </c>
      <c r="P2549" t="s">
        <v>38</v>
      </c>
      <c r="Q2549" t="s">
        <v>300</v>
      </c>
      <c r="R2549">
        <v>10.00000000000000000000000000000000000002</v>
      </c>
      <c r="S2549" t="s">
        <v>45</v>
      </c>
      <c r="T254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49">
        <v>58133</v>
      </c>
      <c r="V2549" t="s">
        <v>38</v>
      </c>
      <c r="W2549" t="s">
        <v>300</v>
      </c>
      <c r="X2549">
        <v>10.00000000000000000000000000000000000002</v>
      </c>
      <c r="Y2549">
        <v>0</v>
      </c>
      <c r="Z2549" t="s">
        <v>46</v>
      </c>
      <c r="AA2549">
        <v>58159</v>
      </c>
      <c r="AB2549" t="s">
        <v>2088</v>
      </c>
      <c r="AC2549" t="s">
        <v>103</v>
      </c>
      <c r="AD2549" t="s">
        <v>38</v>
      </c>
      <c r="AE2549" t="s">
        <v>49</v>
      </c>
      <c r="AF2549" t="s">
        <v>50</v>
      </c>
      <c r="AG2549">
        <v>0</v>
      </c>
      <c r="AH2549">
        <v>0</v>
      </c>
      <c r="AI2549" t="s">
        <v>51</v>
      </c>
      <c r="AJ2549" t="s">
        <v>51</v>
      </c>
      <c r="AK2549" t="s">
        <v>51</v>
      </c>
    </row>
    <row r="2550" spans="1:37" x14ac:dyDescent="0.2">
      <c r="A2550">
        <v>58131</v>
      </c>
      <c r="B2550" t="s">
        <v>37</v>
      </c>
      <c r="C2550" t="s">
        <v>38</v>
      </c>
      <c r="D2550" t="s">
        <v>674</v>
      </c>
      <c r="E2550" t="s">
        <v>40</v>
      </c>
      <c r="G2550" s="4">
        <v>43946.006643518519</v>
      </c>
      <c r="H2550" s="4">
        <v>43946.007280092593</v>
      </c>
      <c r="I2550" t="s">
        <v>1960</v>
      </c>
      <c r="J2550" s="5">
        <v>54.99999999999999999999999999999999999999</v>
      </c>
      <c r="K2550" t="s">
        <v>38</v>
      </c>
      <c r="M2550">
        <v>58132</v>
      </c>
      <c r="N2550" t="s">
        <v>705</v>
      </c>
      <c r="O2550" t="s">
        <v>706</v>
      </c>
      <c r="P2550" t="s">
        <v>38</v>
      </c>
      <c r="Q2550" t="s">
        <v>300</v>
      </c>
      <c r="R2550">
        <v>10.00000000000000000000000000000000000002</v>
      </c>
      <c r="S2550" t="s">
        <v>45</v>
      </c>
      <c r="T255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0">
        <v>58133</v>
      </c>
      <c r="V2550" t="s">
        <v>38</v>
      </c>
      <c r="W2550" t="s">
        <v>300</v>
      </c>
      <c r="X2550">
        <v>10.00000000000000000000000000000000000002</v>
      </c>
      <c r="Y2550">
        <v>0</v>
      </c>
      <c r="Z2550" t="s">
        <v>46</v>
      </c>
      <c r="AA2550">
        <v>58158</v>
      </c>
      <c r="AB2550" t="s">
        <v>2089</v>
      </c>
      <c r="AC2550" t="s">
        <v>103</v>
      </c>
      <c r="AD2550" t="s">
        <v>38</v>
      </c>
      <c r="AE2550" t="s">
        <v>49</v>
      </c>
      <c r="AF2550" t="s">
        <v>50</v>
      </c>
      <c r="AG2550">
        <v>0</v>
      </c>
      <c r="AH2550">
        <v>0</v>
      </c>
      <c r="AI2550" t="s">
        <v>51</v>
      </c>
      <c r="AJ2550" t="s">
        <v>51</v>
      </c>
      <c r="AK2550" t="s">
        <v>51</v>
      </c>
    </row>
    <row r="2551" spans="1:37" x14ac:dyDescent="0.2">
      <c r="A2551">
        <v>58131</v>
      </c>
      <c r="B2551" t="s">
        <v>37</v>
      </c>
      <c r="C2551" t="s">
        <v>38</v>
      </c>
      <c r="D2551" t="s">
        <v>674</v>
      </c>
      <c r="E2551" t="s">
        <v>40</v>
      </c>
      <c r="G2551" s="4">
        <v>43946.006643518519</v>
      </c>
      <c r="H2551" s="4">
        <v>43946.007280092593</v>
      </c>
      <c r="I2551" t="s">
        <v>1960</v>
      </c>
      <c r="J2551" s="5">
        <v>54.99999999999999999999999999999999999999</v>
      </c>
      <c r="K2551" t="s">
        <v>38</v>
      </c>
      <c r="M2551">
        <v>58132</v>
      </c>
      <c r="N2551" t="s">
        <v>705</v>
      </c>
      <c r="O2551" t="s">
        <v>706</v>
      </c>
      <c r="P2551" t="s">
        <v>38</v>
      </c>
      <c r="Q2551" t="s">
        <v>300</v>
      </c>
      <c r="R2551">
        <v>10.00000000000000000000000000000000000002</v>
      </c>
      <c r="S2551" t="s">
        <v>45</v>
      </c>
      <c r="T255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1">
        <v>58133</v>
      </c>
      <c r="V2551" t="s">
        <v>38</v>
      </c>
      <c r="W2551" t="s">
        <v>300</v>
      </c>
      <c r="X2551">
        <v>10.00000000000000000000000000000000000002</v>
      </c>
      <c r="Y2551">
        <v>0</v>
      </c>
      <c r="Z2551" t="s">
        <v>46</v>
      </c>
      <c r="AA2551">
        <v>58157</v>
      </c>
      <c r="AB2551" t="s">
        <v>2090</v>
      </c>
      <c r="AC2551" t="s">
        <v>103</v>
      </c>
      <c r="AD2551" t="s">
        <v>38</v>
      </c>
      <c r="AE2551" t="s">
        <v>49</v>
      </c>
      <c r="AF2551" t="s">
        <v>50</v>
      </c>
      <c r="AG2551">
        <v>0</v>
      </c>
      <c r="AH2551">
        <v>0</v>
      </c>
      <c r="AI2551" t="s">
        <v>51</v>
      </c>
      <c r="AJ2551" t="s">
        <v>51</v>
      </c>
      <c r="AK2551" t="s">
        <v>51</v>
      </c>
    </row>
    <row r="2552" spans="1:37" x14ac:dyDescent="0.2">
      <c r="A2552">
        <v>58131</v>
      </c>
      <c r="B2552" t="s">
        <v>37</v>
      </c>
      <c r="C2552" t="s">
        <v>38</v>
      </c>
      <c r="D2552" t="s">
        <v>674</v>
      </c>
      <c r="E2552" t="s">
        <v>40</v>
      </c>
      <c r="G2552" s="4">
        <v>43946.006643518519</v>
      </c>
      <c r="H2552" s="4">
        <v>43946.007280092593</v>
      </c>
      <c r="I2552" t="s">
        <v>1960</v>
      </c>
      <c r="J2552" s="5">
        <v>54.99999999999999999999999999999999999999</v>
      </c>
      <c r="K2552" t="s">
        <v>38</v>
      </c>
      <c r="M2552">
        <v>58132</v>
      </c>
      <c r="N2552" t="s">
        <v>705</v>
      </c>
      <c r="O2552" t="s">
        <v>706</v>
      </c>
      <c r="P2552" t="s">
        <v>38</v>
      </c>
      <c r="Q2552" t="s">
        <v>300</v>
      </c>
      <c r="R2552">
        <v>10.00000000000000000000000000000000000002</v>
      </c>
      <c r="S2552" t="s">
        <v>45</v>
      </c>
      <c r="T255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2">
        <v>58133</v>
      </c>
      <c r="V2552" t="s">
        <v>38</v>
      </c>
      <c r="W2552" t="s">
        <v>300</v>
      </c>
      <c r="X2552">
        <v>10.00000000000000000000000000000000000002</v>
      </c>
      <c r="Y2552">
        <v>0</v>
      </c>
      <c r="Z2552" t="s">
        <v>46</v>
      </c>
      <c r="AA2552">
        <v>58156</v>
      </c>
      <c r="AB2552" t="s">
        <v>2091</v>
      </c>
      <c r="AC2552" t="s">
        <v>103</v>
      </c>
      <c r="AD2552" t="s">
        <v>38</v>
      </c>
      <c r="AE2552" t="s">
        <v>49</v>
      </c>
      <c r="AF2552" t="s">
        <v>50</v>
      </c>
      <c r="AG2552">
        <v>0</v>
      </c>
      <c r="AH2552">
        <v>0</v>
      </c>
      <c r="AI2552" t="s">
        <v>51</v>
      </c>
      <c r="AJ2552" t="s">
        <v>51</v>
      </c>
      <c r="AK2552" t="s">
        <v>51</v>
      </c>
    </row>
    <row r="2553" spans="1:37" x14ac:dyDescent="0.2">
      <c r="A2553">
        <v>58131</v>
      </c>
      <c r="B2553" t="s">
        <v>37</v>
      </c>
      <c r="C2553" t="s">
        <v>38</v>
      </c>
      <c r="D2553" t="s">
        <v>674</v>
      </c>
      <c r="E2553" t="s">
        <v>40</v>
      </c>
      <c r="G2553" s="4">
        <v>43946.006643518519</v>
      </c>
      <c r="H2553" s="4">
        <v>43946.007280092593</v>
      </c>
      <c r="I2553" t="s">
        <v>1960</v>
      </c>
      <c r="J2553" s="5">
        <v>54.99999999999999999999999999999999999999</v>
      </c>
      <c r="K2553" t="s">
        <v>38</v>
      </c>
      <c r="M2553">
        <v>58132</v>
      </c>
      <c r="N2553" t="s">
        <v>705</v>
      </c>
      <c r="O2553" t="s">
        <v>706</v>
      </c>
      <c r="P2553" t="s">
        <v>38</v>
      </c>
      <c r="Q2553" t="s">
        <v>300</v>
      </c>
      <c r="R2553">
        <v>10.00000000000000000000000000000000000002</v>
      </c>
      <c r="S2553" t="s">
        <v>45</v>
      </c>
      <c r="T255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3">
        <v>58133</v>
      </c>
      <c r="V2553" t="s">
        <v>38</v>
      </c>
      <c r="W2553" t="s">
        <v>300</v>
      </c>
      <c r="X2553">
        <v>10.00000000000000000000000000000000000002</v>
      </c>
      <c r="Y2553">
        <v>0</v>
      </c>
      <c r="Z2553" t="s">
        <v>46</v>
      </c>
      <c r="AA2553">
        <v>58155</v>
      </c>
      <c r="AB2553" t="s">
        <v>2092</v>
      </c>
      <c r="AC2553" t="s">
        <v>103</v>
      </c>
      <c r="AD2553" t="s">
        <v>38</v>
      </c>
      <c r="AE2553" t="s">
        <v>49</v>
      </c>
      <c r="AF2553" t="s">
        <v>50</v>
      </c>
      <c r="AG2553">
        <v>0</v>
      </c>
      <c r="AH2553">
        <v>0</v>
      </c>
      <c r="AI2553" t="s">
        <v>51</v>
      </c>
      <c r="AJ2553" t="s">
        <v>51</v>
      </c>
      <c r="AK2553" t="s">
        <v>51</v>
      </c>
    </row>
    <row r="2554" spans="1:37" x14ac:dyDescent="0.2">
      <c r="A2554">
        <v>58131</v>
      </c>
      <c r="B2554" t="s">
        <v>37</v>
      </c>
      <c r="C2554" t="s">
        <v>38</v>
      </c>
      <c r="D2554" t="s">
        <v>674</v>
      </c>
      <c r="E2554" t="s">
        <v>40</v>
      </c>
      <c r="G2554" s="4">
        <v>43946.006643518519</v>
      </c>
      <c r="H2554" s="4">
        <v>43946.007280092593</v>
      </c>
      <c r="I2554" t="s">
        <v>1960</v>
      </c>
      <c r="J2554" s="5">
        <v>54.99999999999999999999999999999999999999</v>
      </c>
      <c r="K2554" t="s">
        <v>38</v>
      </c>
      <c r="M2554">
        <v>58132</v>
      </c>
      <c r="N2554" t="s">
        <v>705</v>
      </c>
      <c r="O2554" t="s">
        <v>706</v>
      </c>
      <c r="P2554" t="s">
        <v>38</v>
      </c>
      <c r="Q2554" t="s">
        <v>300</v>
      </c>
      <c r="R2554">
        <v>10.00000000000000000000000000000000000002</v>
      </c>
      <c r="S2554" t="s">
        <v>45</v>
      </c>
      <c r="T255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4">
        <v>58133</v>
      </c>
      <c r="V2554" t="s">
        <v>38</v>
      </c>
      <c r="W2554" t="s">
        <v>300</v>
      </c>
      <c r="X2554">
        <v>10.00000000000000000000000000000000000002</v>
      </c>
      <c r="Y2554">
        <v>0</v>
      </c>
      <c r="Z2554" t="s">
        <v>46</v>
      </c>
      <c r="AA2554">
        <v>58154</v>
      </c>
      <c r="AB2554" t="s">
        <v>2093</v>
      </c>
      <c r="AC2554" t="s">
        <v>103</v>
      </c>
      <c r="AD2554" t="s">
        <v>38</v>
      </c>
      <c r="AE2554" t="s">
        <v>49</v>
      </c>
      <c r="AF2554" t="s">
        <v>50</v>
      </c>
      <c r="AG2554">
        <v>0</v>
      </c>
      <c r="AH2554">
        <v>0</v>
      </c>
      <c r="AI2554" t="s">
        <v>51</v>
      </c>
      <c r="AJ2554" t="s">
        <v>51</v>
      </c>
      <c r="AK2554" t="s">
        <v>51</v>
      </c>
    </row>
    <row r="2555" spans="1:37" x14ac:dyDescent="0.2">
      <c r="A2555">
        <v>58131</v>
      </c>
      <c r="B2555" t="s">
        <v>37</v>
      </c>
      <c r="C2555" t="s">
        <v>38</v>
      </c>
      <c r="D2555" t="s">
        <v>674</v>
      </c>
      <c r="E2555" t="s">
        <v>40</v>
      </c>
      <c r="G2555" s="4">
        <v>43946.006643518519</v>
      </c>
      <c r="H2555" s="4">
        <v>43946.007280092593</v>
      </c>
      <c r="I2555" t="s">
        <v>1960</v>
      </c>
      <c r="J2555" s="5">
        <v>54.99999999999999999999999999999999999999</v>
      </c>
      <c r="K2555" t="s">
        <v>38</v>
      </c>
      <c r="M2555">
        <v>58132</v>
      </c>
      <c r="N2555" t="s">
        <v>705</v>
      </c>
      <c r="O2555" t="s">
        <v>706</v>
      </c>
      <c r="P2555" t="s">
        <v>38</v>
      </c>
      <c r="Q2555" t="s">
        <v>300</v>
      </c>
      <c r="R2555">
        <v>10.00000000000000000000000000000000000002</v>
      </c>
      <c r="S2555" t="s">
        <v>45</v>
      </c>
      <c r="T255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5">
        <v>58133</v>
      </c>
      <c r="V2555" t="s">
        <v>38</v>
      </c>
      <c r="W2555" t="s">
        <v>300</v>
      </c>
      <c r="X2555">
        <v>10.00000000000000000000000000000000000002</v>
      </c>
      <c r="Y2555">
        <v>0</v>
      </c>
      <c r="Z2555" t="s">
        <v>46</v>
      </c>
      <c r="AA2555">
        <v>58153</v>
      </c>
      <c r="AB2555" t="s">
        <v>2094</v>
      </c>
      <c r="AC2555" t="s">
        <v>103</v>
      </c>
      <c r="AD2555" t="s">
        <v>38</v>
      </c>
      <c r="AE2555" t="s">
        <v>49</v>
      </c>
      <c r="AF2555" t="s">
        <v>50</v>
      </c>
      <c r="AG2555">
        <v>0</v>
      </c>
      <c r="AH2555">
        <v>0</v>
      </c>
      <c r="AI2555" t="s">
        <v>51</v>
      </c>
      <c r="AJ2555" t="s">
        <v>51</v>
      </c>
      <c r="AK2555" t="s">
        <v>51</v>
      </c>
    </row>
    <row r="2556" spans="1:37" x14ac:dyDescent="0.2">
      <c r="A2556">
        <v>58131</v>
      </c>
      <c r="B2556" t="s">
        <v>37</v>
      </c>
      <c r="C2556" t="s">
        <v>38</v>
      </c>
      <c r="D2556" t="s">
        <v>674</v>
      </c>
      <c r="E2556" t="s">
        <v>40</v>
      </c>
      <c r="G2556" s="4">
        <v>43946.006643518519</v>
      </c>
      <c r="H2556" s="4">
        <v>43946.007280092593</v>
      </c>
      <c r="I2556" t="s">
        <v>1960</v>
      </c>
      <c r="J2556" s="5">
        <v>54.99999999999999999999999999999999999999</v>
      </c>
      <c r="K2556" t="s">
        <v>38</v>
      </c>
      <c r="M2556">
        <v>58132</v>
      </c>
      <c r="N2556" t="s">
        <v>705</v>
      </c>
      <c r="O2556" t="s">
        <v>706</v>
      </c>
      <c r="P2556" t="s">
        <v>38</v>
      </c>
      <c r="Q2556" t="s">
        <v>300</v>
      </c>
      <c r="R2556">
        <v>10.00000000000000000000000000000000000002</v>
      </c>
      <c r="S2556" t="s">
        <v>45</v>
      </c>
      <c r="T255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6">
        <v>58133</v>
      </c>
      <c r="V2556" t="s">
        <v>38</v>
      </c>
      <c r="W2556" t="s">
        <v>300</v>
      </c>
      <c r="X2556">
        <v>10.00000000000000000000000000000000000002</v>
      </c>
      <c r="Y2556">
        <v>0</v>
      </c>
      <c r="Z2556" t="s">
        <v>46</v>
      </c>
      <c r="AA2556">
        <v>58152</v>
      </c>
      <c r="AB2556" t="s">
        <v>2095</v>
      </c>
      <c r="AC2556" t="s">
        <v>103</v>
      </c>
      <c r="AD2556" t="s">
        <v>38</v>
      </c>
      <c r="AE2556" t="s">
        <v>49</v>
      </c>
      <c r="AF2556" t="s">
        <v>50</v>
      </c>
      <c r="AG2556">
        <v>0</v>
      </c>
      <c r="AH2556">
        <v>0</v>
      </c>
      <c r="AI2556" t="s">
        <v>51</v>
      </c>
      <c r="AJ2556" t="s">
        <v>51</v>
      </c>
      <c r="AK2556" t="s">
        <v>51</v>
      </c>
    </row>
    <row r="2557" spans="1:37" x14ac:dyDescent="0.2">
      <c r="A2557">
        <v>58131</v>
      </c>
      <c r="B2557" t="s">
        <v>37</v>
      </c>
      <c r="C2557" t="s">
        <v>38</v>
      </c>
      <c r="D2557" t="s">
        <v>674</v>
      </c>
      <c r="E2557" t="s">
        <v>40</v>
      </c>
      <c r="G2557" s="4">
        <v>43946.006643518519</v>
      </c>
      <c r="H2557" s="4">
        <v>43946.007280092593</v>
      </c>
      <c r="I2557" t="s">
        <v>1960</v>
      </c>
      <c r="J2557" s="5">
        <v>54.99999999999999999999999999999999999999</v>
      </c>
      <c r="K2557" t="s">
        <v>38</v>
      </c>
      <c r="M2557">
        <v>58132</v>
      </c>
      <c r="N2557" t="s">
        <v>705</v>
      </c>
      <c r="O2557" t="s">
        <v>706</v>
      </c>
      <c r="P2557" t="s">
        <v>38</v>
      </c>
      <c r="Q2557" t="s">
        <v>300</v>
      </c>
      <c r="R2557">
        <v>10.00000000000000000000000000000000000002</v>
      </c>
      <c r="S2557" t="s">
        <v>45</v>
      </c>
      <c r="T255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7">
        <v>58133</v>
      </c>
      <c r="V2557" t="s">
        <v>38</v>
      </c>
      <c r="W2557" t="s">
        <v>300</v>
      </c>
      <c r="X2557">
        <v>10.00000000000000000000000000000000000002</v>
      </c>
      <c r="Y2557">
        <v>0</v>
      </c>
      <c r="Z2557" t="s">
        <v>46</v>
      </c>
      <c r="AA2557">
        <v>58151</v>
      </c>
      <c r="AB2557" t="s">
        <v>2096</v>
      </c>
      <c r="AC2557" t="s">
        <v>103</v>
      </c>
      <c r="AD2557" t="s">
        <v>38</v>
      </c>
      <c r="AE2557" t="s">
        <v>49</v>
      </c>
      <c r="AF2557" t="s">
        <v>50</v>
      </c>
      <c r="AG2557">
        <v>0</v>
      </c>
      <c r="AH2557">
        <v>0</v>
      </c>
      <c r="AI2557" t="s">
        <v>51</v>
      </c>
      <c r="AJ2557" t="s">
        <v>51</v>
      </c>
      <c r="AK2557" t="s">
        <v>51</v>
      </c>
    </row>
    <row r="2558" spans="1:37" x14ac:dyDescent="0.2">
      <c r="A2558">
        <v>58131</v>
      </c>
      <c r="B2558" t="s">
        <v>37</v>
      </c>
      <c r="C2558" t="s">
        <v>38</v>
      </c>
      <c r="D2558" t="s">
        <v>674</v>
      </c>
      <c r="E2558" t="s">
        <v>40</v>
      </c>
      <c r="G2558" s="4">
        <v>43946.006643518519</v>
      </c>
      <c r="H2558" s="4">
        <v>43946.007280092593</v>
      </c>
      <c r="I2558" t="s">
        <v>1960</v>
      </c>
      <c r="J2558" s="5">
        <v>54.99999999999999999999999999999999999999</v>
      </c>
      <c r="K2558" t="s">
        <v>38</v>
      </c>
      <c r="M2558">
        <v>58132</v>
      </c>
      <c r="N2558" t="s">
        <v>705</v>
      </c>
      <c r="O2558" t="s">
        <v>706</v>
      </c>
      <c r="P2558" t="s">
        <v>38</v>
      </c>
      <c r="Q2558" t="s">
        <v>300</v>
      </c>
      <c r="R2558">
        <v>10.00000000000000000000000000000000000002</v>
      </c>
      <c r="S2558" t="s">
        <v>45</v>
      </c>
      <c r="T255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8">
        <v>58133</v>
      </c>
      <c r="V2558" t="s">
        <v>38</v>
      </c>
      <c r="W2558" t="s">
        <v>300</v>
      </c>
      <c r="X2558">
        <v>10.00000000000000000000000000000000000002</v>
      </c>
      <c r="Y2558">
        <v>0</v>
      </c>
      <c r="Z2558" t="s">
        <v>46</v>
      </c>
      <c r="AA2558">
        <v>58150</v>
      </c>
      <c r="AB2558" t="s">
        <v>2097</v>
      </c>
      <c r="AC2558" t="s">
        <v>103</v>
      </c>
      <c r="AD2558" t="s">
        <v>38</v>
      </c>
      <c r="AE2558" t="s">
        <v>49</v>
      </c>
      <c r="AF2558" t="s">
        <v>50</v>
      </c>
      <c r="AG2558">
        <v>0</v>
      </c>
      <c r="AH2558">
        <v>0</v>
      </c>
      <c r="AI2558" t="s">
        <v>51</v>
      </c>
      <c r="AJ2558" t="s">
        <v>51</v>
      </c>
      <c r="AK2558" t="s">
        <v>51</v>
      </c>
    </row>
    <row r="2559" spans="1:37" x14ac:dyDescent="0.2">
      <c r="A2559">
        <v>58131</v>
      </c>
      <c r="B2559" t="s">
        <v>37</v>
      </c>
      <c r="C2559" t="s">
        <v>38</v>
      </c>
      <c r="D2559" t="s">
        <v>674</v>
      </c>
      <c r="E2559" t="s">
        <v>40</v>
      </c>
      <c r="G2559" s="4">
        <v>43946.006643518519</v>
      </c>
      <c r="H2559" s="4">
        <v>43946.007280092593</v>
      </c>
      <c r="I2559" t="s">
        <v>1960</v>
      </c>
      <c r="J2559" s="5">
        <v>54.99999999999999999999999999999999999999</v>
      </c>
      <c r="K2559" t="s">
        <v>38</v>
      </c>
      <c r="M2559">
        <v>58132</v>
      </c>
      <c r="N2559" t="s">
        <v>705</v>
      </c>
      <c r="O2559" t="s">
        <v>706</v>
      </c>
      <c r="P2559" t="s">
        <v>38</v>
      </c>
      <c r="Q2559" t="s">
        <v>300</v>
      </c>
      <c r="R2559">
        <v>10.00000000000000000000000000000000000002</v>
      </c>
      <c r="S2559" t="s">
        <v>45</v>
      </c>
      <c r="T255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59">
        <v>58133</v>
      </c>
      <c r="V2559" t="s">
        <v>38</v>
      </c>
      <c r="W2559" t="s">
        <v>300</v>
      </c>
      <c r="X2559">
        <v>10.00000000000000000000000000000000000002</v>
      </c>
      <c r="Y2559">
        <v>0</v>
      </c>
      <c r="Z2559" t="s">
        <v>46</v>
      </c>
      <c r="AA2559">
        <v>58149</v>
      </c>
      <c r="AB2559" t="s">
        <v>2098</v>
      </c>
      <c r="AC2559" t="s">
        <v>103</v>
      </c>
      <c r="AD2559" t="s">
        <v>38</v>
      </c>
      <c r="AE2559" t="s">
        <v>49</v>
      </c>
      <c r="AF2559" t="s">
        <v>50</v>
      </c>
      <c r="AG2559">
        <v>0</v>
      </c>
      <c r="AH2559">
        <v>0</v>
      </c>
      <c r="AI2559" t="s">
        <v>51</v>
      </c>
      <c r="AJ2559" t="s">
        <v>51</v>
      </c>
      <c r="AK2559" t="s">
        <v>51</v>
      </c>
    </row>
    <row r="2560" spans="1:37" x14ac:dyDescent="0.2">
      <c r="A2560">
        <v>58131</v>
      </c>
      <c r="B2560" t="s">
        <v>37</v>
      </c>
      <c r="C2560" t="s">
        <v>38</v>
      </c>
      <c r="D2560" t="s">
        <v>674</v>
      </c>
      <c r="E2560" t="s">
        <v>40</v>
      </c>
      <c r="G2560" s="4">
        <v>43946.006643518519</v>
      </c>
      <c r="H2560" s="4">
        <v>43946.007280092593</v>
      </c>
      <c r="I2560" t="s">
        <v>1960</v>
      </c>
      <c r="J2560" s="5">
        <v>54.99999999999999999999999999999999999999</v>
      </c>
      <c r="K2560" t="s">
        <v>38</v>
      </c>
      <c r="M2560">
        <v>58132</v>
      </c>
      <c r="N2560" t="s">
        <v>705</v>
      </c>
      <c r="O2560" t="s">
        <v>706</v>
      </c>
      <c r="P2560" t="s">
        <v>38</v>
      </c>
      <c r="Q2560" t="s">
        <v>300</v>
      </c>
      <c r="R2560">
        <v>10.00000000000000000000000000000000000002</v>
      </c>
      <c r="S2560" t="s">
        <v>45</v>
      </c>
      <c r="T256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0">
        <v>58133</v>
      </c>
      <c r="V2560" t="s">
        <v>38</v>
      </c>
      <c r="W2560" t="s">
        <v>300</v>
      </c>
      <c r="X2560">
        <v>10.00000000000000000000000000000000000002</v>
      </c>
      <c r="Y2560">
        <v>0</v>
      </c>
      <c r="Z2560" t="s">
        <v>46</v>
      </c>
      <c r="AA2560">
        <v>58148</v>
      </c>
      <c r="AB2560" t="s">
        <v>2099</v>
      </c>
      <c r="AC2560" t="s">
        <v>103</v>
      </c>
      <c r="AD2560" t="s">
        <v>38</v>
      </c>
      <c r="AE2560" t="s">
        <v>49</v>
      </c>
      <c r="AF2560" t="s">
        <v>50</v>
      </c>
      <c r="AG2560">
        <v>0</v>
      </c>
      <c r="AH2560">
        <v>0</v>
      </c>
      <c r="AI2560" t="s">
        <v>51</v>
      </c>
      <c r="AJ2560" t="s">
        <v>51</v>
      </c>
      <c r="AK2560" t="s">
        <v>51</v>
      </c>
    </row>
    <row r="2561" spans="1:37" x14ac:dyDescent="0.2">
      <c r="A2561">
        <v>58131</v>
      </c>
      <c r="B2561" t="s">
        <v>37</v>
      </c>
      <c r="C2561" t="s">
        <v>38</v>
      </c>
      <c r="D2561" t="s">
        <v>674</v>
      </c>
      <c r="E2561" t="s">
        <v>40</v>
      </c>
      <c r="G2561" s="4">
        <v>43946.006643518519</v>
      </c>
      <c r="H2561" s="4">
        <v>43946.007280092593</v>
      </c>
      <c r="I2561" t="s">
        <v>1960</v>
      </c>
      <c r="J2561" s="5">
        <v>54.99999999999999999999999999999999999999</v>
      </c>
      <c r="K2561" t="s">
        <v>38</v>
      </c>
      <c r="M2561">
        <v>58132</v>
      </c>
      <c r="N2561" t="s">
        <v>705</v>
      </c>
      <c r="O2561" t="s">
        <v>706</v>
      </c>
      <c r="P2561" t="s">
        <v>38</v>
      </c>
      <c r="Q2561" t="s">
        <v>300</v>
      </c>
      <c r="R2561">
        <v>10.00000000000000000000000000000000000002</v>
      </c>
      <c r="S2561" t="s">
        <v>45</v>
      </c>
      <c r="T256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1">
        <v>58133</v>
      </c>
      <c r="V2561" t="s">
        <v>38</v>
      </c>
      <c r="W2561" t="s">
        <v>300</v>
      </c>
      <c r="X2561">
        <v>10.00000000000000000000000000000000000002</v>
      </c>
      <c r="Y2561">
        <v>0</v>
      </c>
      <c r="Z2561" t="s">
        <v>46</v>
      </c>
      <c r="AA2561">
        <v>58147</v>
      </c>
      <c r="AB2561" t="s">
        <v>2100</v>
      </c>
      <c r="AC2561" t="s">
        <v>103</v>
      </c>
      <c r="AD2561" t="s">
        <v>38</v>
      </c>
      <c r="AE2561" t="s">
        <v>49</v>
      </c>
      <c r="AF2561" t="s">
        <v>50</v>
      </c>
      <c r="AG2561">
        <v>0</v>
      </c>
      <c r="AH2561">
        <v>0</v>
      </c>
      <c r="AI2561" t="s">
        <v>51</v>
      </c>
      <c r="AJ2561" t="s">
        <v>51</v>
      </c>
      <c r="AK2561" t="s">
        <v>51</v>
      </c>
    </row>
    <row r="2562" spans="1:37" x14ac:dyDescent="0.2">
      <c r="A2562">
        <v>58131</v>
      </c>
      <c r="B2562" t="s">
        <v>37</v>
      </c>
      <c r="C2562" t="s">
        <v>38</v>
      </c>
      <c r="D2562" t="s">
        <v>674</v>
      </c>
      <c r="E2562" t="s">
        <v>40</v>
      </c>
      <c r="G2562" s="4">
        <v>43946.006643518519</v>
      </c>
      <c r="H2562" s="4">
        <v>43946.007280092593</v>
      </c>
      <c r="I2562" t="s">
        <v>1960</v>
      </c>
      <c r="J2562" s="5">
        <v>54.99999999999999999999999999999999999999</v>
      </c>
      <c r="K2562" t="s">
        <v>38</v>
      </c>
      <c r="M2562">
        <v>58132</v>
      </c>
      <c r="N2562" t="s">
        <v>705</v>
      </c>
      <c r="O2562" t="s">
        <v>706</v>
      </c>
      <c r="P2562" t="s">
        <v>38</v>
      </c>
      <c r="Q2562" t="s">
        <v>300</v>
      </c>
      <c r="R2562">
        <v>10.00000000000000000000000000000000000002</v>
      </c>
      <c r="S2562" t="s">
        <v>45</v>
      </c>
      <c r="T256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2">
        <v>58133</v>
      </c>
      <c r="V2562" t="s">
        <v>38</v>
      </c>
      <c r="W2562" t="s">
        <v>300</v>
      </c>
      <c r="X2562">
        <v>10.00000000000000000000000000000000000002</v>
      </c>
      <c r="Y2562">
        <v>0</v>
      </c>
      <c r="Z2562" t="s">
        <v>46</v>
      </c>
      <c r="AA2562">
        <v>58146</v>
      </c>
      <c r="AB2562" t="s">
        <v>2101</v>
      </c>
      <c r="AC2562" t="s">
        <v>103</v>
      </c>
      <c r="AD2562" t="s">
        <v>38</v>
      </c>
      <c r="AE2562" t="s">
        <v>49</v>
      </c>
      <c r="AF2562" t="s">
        <v>50</v>
      </c>
      <c r="AG2562">
        <v>.9999999999999999999999999999999999999996</v>
      </c>
      <c r="AH2562">
        <v>0</v>
      </c>
      <c r="AI2562" t="s">
        <v>51</v>
      </c>
      <c r="AJ2562" t="s">
        <v>51</v>
      </c>
      <c r="AK2562" t="s">
        <v>51</v>
      </c>
    </row>
    <row r="2563" spans="1:37" x14ac:dyDescent="0.2">
      <c r="A2563">
        <v>58131</v>
      </c>
      <c r="B2563" t="s">
        <v>37</v>
      </c>
      <c r="C2563" t="s">
        <v>38</v>
      </c>
      <c r="D2563" t="s">
        <v>674</v>
      </c>
      <c r="E2563" t="s">
        <v>40</v>
      </c>
      <c r="G2563" s="4">
        <v>43946.006643518519</v>
      </c>
      <c r="H2563" s="4">
        <v>43946.007280092593</v>
      </c>
      <c r="I2563" t="s">
        <v>1960</v>
      </c>
      <c r="J2563" s="5">
        <v>54.99999999999999999999999999999999999999</v>
      </c>
      <c r="K2563" t="s">
        <v>38</v>
      </c>
      <c r="M2563">
        <v>58132</v>
      </c>
      <c r="N2563" t="s">
        <v>705</v>
      </c>
      <c r="O2563" t="s">
        <v>706</v>
      </c>
      <c r="P2563" t="s">
        <v>38</v>
      </c>
      <c r="Q2563" t="s">
        <v>300</v>
      </c>
      <c r="R2563">
        <v>10.00000000000000000000000000000000000002</v>
      </c>
      <c r="S2563" t="s">
        <v>45</v>
      </c>
      <c r="T256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3">
        <v>58133</v>
      </c>
      <c r="V2563" t="s">
        <v>38</v>
      </c>
      <c r="W2563" t="s">
        <v>300</v>
      </c>
      <c r="X2563">
        <v>10.00000000000000000000000000000000000002</v>
      </c>
      <c r="Y2563">
        <v>0</v>
      </c>
      <c r="Z2563" t="s">
        <v>46</v>
      </c>
      <c r="AA2563">
        <v>58145</v>
      </c>
      <c r="AB2563" t="s">
        <v>2102</v>
      </c>
      <c r="AC2563" t="s">
        <v>103</v>
      </c>
      <c r="AD2563" t="s">
        <v>38</v>
      </c>
      <c r="AE2563" t="s">
        <v>49</v>
      </c>
      <c r="AF2563" t="s">
        <v>50</v>
      </c>
      <c r="AG2563">
        <v>0</v>
      </c>
      <c r="AH2563">
        <v>0</v>
      </c>
      <c r="AI2563" t="s">
        <v>51</v>
      </c>
      <c r="AJ2563" t="s">
        <v>51</v>
      </c>
      <c r="AK2563" t="s">
        <v>51</v>
      </c>
    </row>
    <row r="2564" spans="1:37" x14ac:dyDescent="0.2">
      <c r="A2564">
        <v>58131</v>
      </c>
      <c r="B2564" t="s">
        <v>37</v>
      </c>
      <c r="C2564" t="s">
        <v>38</v>
      </c>
      <c r="D2564" t="s">
        <v>674</v>
      </c>
      <c r="E2564" t="s">
        <v>40</v>
      </c>
      <c r="G2564" s="4">
        <v>43946.006643518519</v>
      </c>
      <c r="H2564" s="4">
        <v>43946.007280092593</v>
      </c>
      <c r="I2564" t="s">
        <v>1960</v>
      </c>
      <c r="J2564" s="5">
        <v>54.99999999999999999999999999999999999999</v>
      </c>
      <c r="K2564" t="s">
        <v>38</v>
      </c>
      <c r="M2564">
        <v>58132</v>
      </c>
      <c r="N2564" t="s">
        <v>705</v>
      </c>
      <c r="O2564" t="s">
        <v>706</v>
      </c>
      <c r="P2564" t="s">
        <v>38</v>
      </c>
      <c r="Q2564" t="s">
        <v>300</v>
      </c>
      <c r="R2564">
        <v>10.00000000000000000000000000000000000002</v>
      </c>
      <c r="S2564" t="s">
        <v>45</v>
      </c>
      <c r="T256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4">
        <v>58133</v>
      </c>
      <c r="V2564" t="s">
        <v>38</v>
      </c>
      <c r="W2564" t="s">
        <v>300</v>
      </c>
      <c r="X2564">
        <v>10.00000000000000000000000000000000000002</v>
      </c>
      <c r="Y2564">
        <v>0</v>
      </c>
      <c r="Z2564" t="s">
        <v>46</v>
      </c>
      <c r="AA2564">
        <v>58144</v>
      </c>
      <c r="AB2564" t="s">
        <v>2103</v>
      </c>
      <c r="AC2564" t="s">
        <v>103</v>
      </c>
      <c r="AD2564" t="s">
        <v>38</v>
      </c>
      <c r="AE2564" t="s">
        <v>49</v>
      </c>
      <c r="AF2564" t="s">
        <v>50</v>
      </c>
      <c r="AG2564">
        <v>0</v>
      </c>
      <c r="AH2564">
        <v>0</v>
      </c>
      <c r="AI2564" t="s">
        <v>51</v>
      </c>
      <c r="AJ2564" t="s">
        <v>51</v>
      </c>
      <c r="AK2564" t="s">
        <v>51</v>
      </c>
    </row>
    <row r="2565" spans="1:37" x14ac:dyDescent="0.2">
      <c r="A2565">
        <v>58131</v>
      </c>
      <c r="B2565" t="s">
        <v>37</v>
      </c>
      <c r="C2565" t="s">
        <v>38</v>
      </c>
      <c r="D2565" t="s">
        <v>674</v>
      </c>
      <c r="E2565" t="s">
        <v>40</v>
      </c>
      <c r="G2565" s="4">
        <v>43946.006643518519</v>
      </c>
      <c r="H2565" s="4">
        <v>43946.007280092593</v>
      </c>
      <c r="I2565" t="s">
        <v>1960</v>
      </c>
      <c r="J2565" s="5">
        <v>54.99999999999999999999999999999999999999</v>
      </c>
      <c r="K2565" t="s">
        <v>38</v>
      </c>
      <c r="M2565">
        <v>58132</v>
      </c>
      <c r="N2565" t="s">
        <v>705</v>
      </c>
      <c r="O2565" t="s">
        <v>706</v>
      </c>
      <c r="P2565" t="s">
        <v>38</v>
      </c>
      <c r="Q2565" t="s">
        <v>300</v>
      </c>
      <c r="R2565">
        <v>10.00000000000000000000000000000000000002</v>
      </c>
      <c r="S2565" t="s">
        <v>45</v>
      </c>
      <c r="T2565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5">
        <v>58133</v>
      </c>
      <c r="V2565" t="s">
        <v>38</v>
      </c>
      <c r="W2565" t="s">
        <v>300</v>
      </c>
      <c r="X2565">
        <v>10.00000000000000000000000000000000000002</v>
      </c>
      <c r="Y2565">
        <v>0</v>
      </c>
      <c r="Z2565" t="s">
        <v>46</v>
      </c>
      <c r="AA2565">
        <v>58143</v>
      </c>
      <c r="AB2565" t="s">
        <v>2104</v>
      </c>
      <c r="AC2565" t="s">
        <v>103</v>
      </c>
      <c r="AD2565" t="s">
        <v>38</v>
      </c>
      <c r="AE2565" t="s">
        <v>49</v>
      </c>
      <c r="AF2565" t="s">
        <v>50</v>
      </c>
      <c r="AG2565">
        <v>0</v>
      </c>
      <c r="AH2565">
        <v>0</v>
      </c>
      <c r="AI2565" t="s">
        <v>51</v>
      </c>
      <c r="AJ2565" t="s">
        <v>51</v>
      </c>
      <c r="AK2565" t="s">
        <v>51</v>
      </c>
    </row>
    <row r="2566" spans="1:37" x14ac:dyDescent="0.2">
      <c r="A2566">
        <v>58131</v>
      </c>
      <c r="B2566" t="s">
        <v>37</v>
      </c>
      <c r="C2566" t="s">
        <v>38</v>
      </c>
      <c r="D2566" t="s">
        <v>674</v>
      </c>
      <c r="E2566" t="s">
        <v>40</v>
      </c>
      <c r="G2566" s="4">
        <v>43946.006643518519</v>
      </c>
      <c r="H2566" s="4">
        <v>43946.007280092593</v>
      </c>
      <c r="I2566" t="s">
        <v>1960</v>
      </c>
      <c r="J2566" s="5">
        <v>54.99999999999999999999999999999999999999</v>
      </c>
      <c r="K2566" t="s">
        <v>38</v>
      </c>
      <c r="M2566">
        <v>58132</v>
      </c>
      <c r="N2566" t="s">
        <v>705</v>
      </c>
      <c r="O2566" t="s">
        <v>706</v>
      </c>
      <c r="P2566" t="s">
        <v>38</v>
      </c>
      <c r="Q2566" t="s">
        <v>300</v>
      </c>
      <c r="R2566">
        <v>10.00000000000000000000000000000000000002</v>
      </c>
      <c r="S2566" t="s">
        <v>45</v>
      </c>
      <c r="T2566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6">
        <v>58133</v>
      </c>
      <c r="V2566" t="s">
        <v>38</v>
      </c>
      <c r="W2566" t="s">
        <v>300</v>
      </c>
      <c r="X2566">
        <v>10.00000000000000000000000000000000000002</v>
      </c>
      <c r="Y2566">
        <v>0</v>
      </c>
      <c r="Z2566" t="s">
        <v>46</v>
      </c>
      <c r="AA2566">
        <v>58142</v>
      </c>
      <c r="AB2566" t="s">
        <v>2105</v>
      </c>
      <c r="AC2566" t="s">
        <v>103</v>
      </c>
      <c r="AD2566" t="s">
        <v>38</v>
      </c>
      <c r="AE2566" t="s">
        <v>49</v>
      </c>
      <c r="AF2566" t="s">
        <v>50</v>
      </c>
      <c r="AG2566">
        <v>0</v>
      </c>
      <c r="AH2566">
        <v>0</v>
      </c>
      <c r="AI2566" t="s">
        <v>51</v>
      </c>
      <c r="AJ2566" t="s">
        <v>51</v>
      </c>
      <c r="AK2566" t="s">
        <v>51</v>
      </c>
    </row>
    <row r="2567" spans="1:37" x14ac:dyDescent="0.2">
      <c r="A2567">
        <v>58131</v>
      </c>
      <c r="B2567" t="s">
        <v>37</v>
      </c>
      <c r="C2567" t="s">
        <v>38</v>
      </c>
      <c r="D2567" t="s">
        <v>674</v>
      </c>
      <c r="E2567" t="s">
        <v>40</v>
      </c>
      <c r="G2567" s="4">
        <v>43946.006643518519</v>
      </c>
      <c r="H2567" s="4">
        <v>43946.007280092593</v>
      </c>
      <c r="I2567" t="s">
        <v>1960</v>
      </c>
      <c r="J2567" s="5">
        <v>54.99999999999999999999999999999999999999</v>
      </c>
      <c r="K2567" t="s">
        <v>38</v>
      </c>
      <c r="M2567">
        <v>58132</v>
      </c>
      <c r="N2567" t="s">
        <v>705</v>
      </c>
      <c r="O2567" t="s">
        <v>706</v>
      </c>
      <c r="P2567" t="s">
        <v>38</v>
      </c>
      <c r="Q2567" t="s">
        <v>300</v>
      </c>
      <c r="R2567">
        <v>10.00000000000000000000000000000000000002</v>
      </c>
      <c r="S2567" t="s">
        <v>45</v>
      </c>
      <c r="T2567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7">
        <v>58133</v>
      </c>
      <c r="V2567" t="s">
        <v>38</v>
      </c>
      <c r="W2567" t="s">
        <v>300</v>
      </c>
      <c r="X2567">
        <v>10.00000000000000000000000000000000000002</v>
      </c>
      <c r="Y2567">
        <v>0</v>
      </c>
      <c r="Z2567" t="s">
        <v>46</v>
      </c>
      <c r="AA2567">
        <v>58141</v>
      </c>
      <c r="AB2567" t="s">
        <v>2106</v>
      </c>
      <c r="AC2567" t="s">
        <v>103</v>
      </c>
      <c r="AD2567" t="s">
        <v>38</v>
      </c>
      <c r="AE2567" t="s">
        <v>49</v>
      </c>
      <c r="AF2567" t="s">
        <v>50</v>
      </c>
      <c r="AG2567">
        <v>0</v>
      </c>
      <c r="AH2567">
        <v>0</v>
      </c>
      <c r="AI2567" t="s">
        <v>51</v>
      </c>
      <c r="AJ2567" t="s">
        <v>51</v>
      </c>
      <c r="AK2567" t="s">
        <v>51</v>
      </c>
    </row>
    <row r="2568" spans="1:37" x14ac:dyDescent="0.2">
      <c r="A2568">
        <v>58131</v>
      </c>
      <c r="B2568" t="s">
        <v>37</v>
      </c>
      <c r="C2568" t="s">
        <v>38</v>
      </c>
      <c r="D2568" t="s">
        <v>674</v>
      </c>
      <c r="E2568" t="s">
        <v>40</v>
      </c>
      <c r="G2568" s="4">
        <v>43946.006643518519</v>
      </c>
      <c r="H2568" s="4">
        <v>43946.007280092593</v>
      </c>
      <c r="I2568" t="s">
        <v>1960</v>
      </c>
      <c r="J2568" s="5">
        <v>54.99999999999999999999999999999999999999</v>
      </c>
      <c r="K2568" t="s">
        <v>38</v>
      </c>
      <c r="M2568">
        <v>58132</v>
      </c>
      <c r="N2568" t="s">
        <v>705</v>
      </c>
      <c r="O2568" t="s">
        <v>706</v>
      </c>
      <c r="P2568" t="s">
        <v>38</v>
      </c>
      <c r="Q2568" t="s">
        <v>300</v>
      </c>
      <c r="R2568">
        <v>10.00000000000000000000000000000000000002</v>
      </c>
      <c r="S2568" t="s">
        <v>45</v>
      </c>
      <c r="T2568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8">
        <v>58133</v>
      </c>
      <c r="V2568" t="s">
        <v>38</v>
      </c>
      <c r="W2568" t="s">
        <v>300</v>
      </c>
      <c r="X2568">
        <v>10.00000000000000000000000000000000000002</v>
      </c>
      <c r="Y2568">
        <v>0</v>
      </c>
      <c r="Z2568" t="s">
        <v>46</v>
      </c>
      <c r="AA2568">
        <v>58140</v>
      </c>
      <c r="AB2568" t="s">
        <v>2107</v>
      </c>
      <c r="AC2568" t="s">
        <v>103</v>
      </c>
      <c r="AD2568" t="s">
        <v>38</v>
      </c>
      <c r="AE2568" t="s">
        <v>49</v>
      </c>
      <c r="AF2568" t="s">
        <v>50</v>
      </c>
      <c r="AG2568">
        <v>0</v>
      </c>
      <c r="AH2568">
        <v>0</v>
      </c>
      <c r="AI2568" t="s">
        <v>51</v>
      </c>
      <c r="AJ2568" t="s">
        <v>51</v>
      </c>
      <c r="AK2568" t="s">
        <v>51</v>
      </c>
    </row>
    <row r="2569" spans="1:37" x14ac:dyDescent="0.2">
      <c r="A2569">
        <v>58131</v>
      </c>
      <c r="B2569" t="s">
        <v>37</v>
      </c>
      <c r="C2569" t="s">
        <v>38</v>
      </c>
      <c r="D2569" t="s">
        <v>674</v>
      </c>
      <c r="E2569" t="s">
        <v>40</v>
      </c>
      <c r="G2569" s="4">
        <v>43946.006643518519</v>
      </c>
      <c r="H2569" s="4">
        <v>43946.007280092593</v>
      </c>
      <c r="I2569" t="s">
        <v>1960</v>
      </c>
      <c r="J2569" s="5">
        <v>54.99999999999999999999999999999999999999</v>
      </c>
      <c r="K2569" t="s">
        <v>38</v>
      </c>
      <c r="M2569">
        <v>58132</v>
      </c>
      <c r="N2569" t="s">
        <v>705</v>
      </c>
      <c r="O2569" t="s">
        <v>706</v>
      </c>
      <c r="P2569" t="s">
        <v>38</v>
      </c>
      <c r="Q2569" t="s">
        <v>300</v>
      </c>
      <c r="R2569">
        <v>10.00000000000000000000000000000000000002</v>
      </c>
      <c r="S2569" t="s">
        <v>45</v>
      </c>
      <c r="T2569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69">
        <v>58133</v>
      </c>
      <c r="V2569" t="s">
        <v>38</v>
      </c>
      <c r="W2569" t="s">
        <v>300</v>
      </c>
      <c r="X2569">
        <v>10.00000000000000000000000000000000000002</v>
      </c>
      <c r="Y2569">
        <v>0</v>
      </c>
      <c r="Z2569" t="s">
        <v>46</v>
      </c>
      <c r="AA2569">
        <v>58139</v>
      </c>
      <c r="AB2569" t="s">
        <v>2108</v>
      </c>
      <c r="AC2569" t="s">
        <v>103</v>
      </c>
      <c r="AD2569" t="s">
        <v>38</v>
      </c>
      <c r="AE2569" t="s">
        <v>49</v>
      </c>
      <c r="AF2569" t="s">
        <v>50</v>
      </c>
      <c r="AG2569">
        <v>0</v>
      </c>
      <c r="AH2569">
        <v>0</v>
      </c>
      <c r="AI2569" t="s">
        <v>51</v>
      </c>
      <c r="AJ2569" t="s">
        <v>51</v>
      </c>
      <c r="AK2569" t="s">
        <v>51</v>
      </c>
    </row>
    <row r="2570" spans="1:37" x14ac:dyDescent="0.2">
      <c r="A2570">
        <v>58131</v>
      </c>
      <c r="B2570" t="s">
        <v>37</v>
      </c>
      <c r="C2570" t="s">
        <v>38</v>
      </c>
      <c r="D2570" t="s">
        <v>674</v>
      </c>
      <c r="E2570" t="s">
        <v>40</v>
      </c>
      <c r="G2570" s="4">
        <v>43946.006643518519</v>
      </c>
      <c r="H2570" s="4">
        <v>43946.007280092593</v>
      </c>
      <c r="I2570" t="s">
        <v>1960</v>
      </c>
      <c r="J2570" s="5">
        <v>54.99999999999999999999999999999999999999</v>
      </c>
      <c r="K2570" t="s">
        <v>38</v>
      </c>
      <c r="M2570">
        <v>58132</v>
      </c>
      <c r="N2570" t="s">
        <v>705</v>
      </c>
      <c r="O2570" t="s">
        <v>706</v>
      </c>
      <c r="P2570" t="s">
        <v>38</v>
      </c>
      <c r="Q2570" t="s">
        <v>300</v>
      </c>
      <c r="R2570">
        <v>10.00000000000000000000000000000000000002</v>
      </c>
      <c r="S2570" t="s">
        <v>45</v>
      </c>
      <c r="T2570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70">
        <v>58133</v>
      </c>
      <c r="V2570" t="s">
        <v>38</v>
      </c>
      <c r="W2570" t="s">
        <v>300</v>
      </c>
      <c r="X2570">
        <v>10.00000000000000000000000000000000000002</v>
      </c>
      <c r="Y2570">
        <v>0</v>
      </c>
      <c r="Z2570" t="s">
        <v>46</v>
      </c>
      <c r="AA2570">
        <v>58138</v>
      </c>
      <c r="AB2570" t="s">
        <v>2109</v>
      </c>
      <c r="AC2570" t="s">
        <v>103</v>
      </c>
      <c r="AD2570" t="s">
        <v>38</v>
      </c>
      <c r="AE2570" t="s">
        <v>49</v>
      </c>
      <c r="AF2570" t="s">
        <v>50</v>
      </c>
      <c r="AG2570">
        <v>0</v>
      </c>
      <c r="AH2570">
        <v>0</v>
      </c>
      <c r="AI2570" t="s">
        <v>51</v>
      </c>
      <c r="AJ2570" t="s">
        <v>51</v>
      </c>
      <c r="AK2570" t="s">
        <v>51</v>
      </c>
    </row>
    <row r="2571" spans="1:37" x14ac:dyDescent="0.2">
      <c r="A2571">
        <v>58131</v>
      </c>
      <c r="B2571" t="s">
        <v>37</v>
      </c>
      <c r="C2571" t="s">
        <v>38</v>
      </c>
      <c r="D2571" t="s">
        <v>674</v>
      </c>
      <c r="E2571" t="s">
        <v>40</v>
      </c>
      <c r="G2571" s="4">
        <v>43946.006643518519</v>
      </c>
      <c r="H2571" s="4">
        <v>43946.007280092593</v>
      </c>
      <c r="I2571" t="s">
        <v>1960</v>
      </c>
      <c r="J2571" s="5">
        <v>54.99999999999999999999999999999999999999</v>
      </c>
      <c r="K2571" t="s">
        <v>38</v>
      </c>
      <c r="M2571">
        <v>58132</v>
      </c>
      <c r="N2571" t="s">
        <v>705</v>
      </c>
      <c r="O2571" t="s">
        <v>706</v>
      </c>
      <c r="P2571" t="s">
        <v>38</v>
      </c>
      <c r="Q2571" t="s">
        <v>300</v>
      </c>
      <c r="R2571">
        <v>10.00000000000000000000000000000000000002</v>
      </c>
      <c r="S2571" t="s">
        <v>45</v>
      </c>
      <c r="T2571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71">
        <v>58133</v>
      </c>
      <c r="V2571" t="s">
        <v>38</v>
      </c>
      <c r="W2571" t="s">
        <v>300</v>
      </c>
      <c r="X2571">
        <v>10.00000000000000000000000000000000000002</v>
      </c>
      <c r="Y2571">
        <v>0</v>
      </c>
      <c r="Z2571" t="s">
        <v>46</v>
      </c>
      <c r="AA2571">
        <v>58137</v>
      </c>
      <c r="AB2571" t="s">
        <v>2110</v>
      </c>
      <c r="AC2571" t="s">
        <v>103</v>
      </c>
      <c r="AD2571" t="s">
        <v>38</v>
      </c>
      <c r="AE2571" t="s">
        <v>49</v>
      </c>
      <c r="AF2571" t="s">
        <v>50</v>
      </c>
      <c r="AG2571">
        <v>0</v>
      </c>
      <c r="AH2571">
        <v>0</v>
      </c>
      <c r="AI2571" t="s">
        <v>51</v>
      </c>
      <c r="AJ2571" t="s">
        <v>51</v>
      </c>
      <c r="AK2571" t="s">
        <v>51</v>
      </c>
    </row>
    <row r="2572" spans="1:37" x14ac:dyDescent="0.2">
      <c r="A2572">
        <v>58131</v>
      </c>
      <c r="B2572" t="s">
        <v>37</v>
      </c>
      <c r="C2572" t="s">
        <v>38</v>
      </c>
      <c r="D2572" t="s">
        <v>674</v>
      </c>
      <c r="E2572" t="s">
        <v>40</v>
      </c>
      <c r="G2572" s="4">
        <v>43946.006643518519</v>
      </c>
      <c r="H2572" s="4">
        <v>43946.007280092593</v>
      </c>
      <c r="I2572" t="s">
        <v>1960</v>
      </c>
      <c r="J2572" s="5">
        <v>54.99999999999999999999999999999999999999</v>
      </c>
      <c r="K2572" t="s">
        <v>38</v>
      </c>
      <c r="M2572">
        <v>58132</v>
      </c>
      <c r="N2572" t="s">
        <v>705</v>
      </c>
      <c r="O2572" t="s">
        <v>706</v>
      </c>
      <c r="P2572" t="s">
        <v>38</v>
      </c>
      <c r="Q2572" t="s">
        <v>300</v>
      </c>
      <c r="R2572">
        <v>10.00000000000000000000000000000000000002</v>
      </c>
      <c r="S2572" t="s">
        <v>45</v>
      </c>
      <c r="T2572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72">
        <v>58133</v>
      </c>
      <c r="V2572" t="s">
        <v>38</v>
      </c>
      <c r="W2572" t="s">
        <v>300</v>
      </c>
      <c r="X2572">
        <v>10.00000000000000000000000000000000000002</v>
      </c>
      <c r="Y2572">
        <v>0</v>
      </c>
      <c r="Z2572" t="s">
        <v>46</v>
      </c>
      <c r="AA2572">
        <v>58136</v>
      </c>
      <c r="AB2572" t="s">
        <v>2111</v>
      </c>
      <c r="AC2572" t="s">
        <v>103</v>
      </c>
      <c r="AD2572" t="s">
        <v>38</v>
      </c>
      <c r="AE2572" t="s">
        <v>49</v>
      </c>
      <c r="AF2572" t="s">
        <v>75</v>
      </c>
      <c r="AG2572">
        <v>6</v>
      </c>
      <c r="AH2572">
        <v>5</v>
      </c>
      <c r="AI2572" t="s">
        <v>51</v>
      </c>
      <c r="AJ2572" t="s">
        <v>51</v>
      </c>
      <c r="AK2572" t="s">
        <v>51</v>
      </c>
    </row>
    <row r="2573" spans="1:37" x14ac:dyDescent="0.2">
      <c r="A2573">
        <v>58131</v>
      </c>
      <c r="B2573" t="s">
        <v>37</v>
      </c>
      <c r="C2573" t="s">
        <v>38</v>
      </c>
      <c r="D2573" t="s">
        <v>674</v>
      </c>
      <c r="E2573" t="s">
        <v>40</v>
      </c>
      <c r="G2573" s="4">
        <v>43946.006643518519</v>
      </c>
      <c r="H2573" s="4">
        <v>43946.007280092593</v>
      </c>
      <c r="I2573" t="s">
        <v>1960</v>
      </c>
      <c r="J2573" s="5">
        <v>54.99999999999999999999999999999999999999</v>
      </c>
      <c r="K2573" t="s">
        <v>38</v>
      </c>
      <c r="M2573">
        <v>58132</v>
      </c>
      <c r="N2573" t="s">
        <v>705</v>
      </c>
      <c r="O2573" t="s">
        <v>706</v>
      </c>
      <c r="P2573" t="s">
        <v>38</v>
      </c>
      <c r="Q2573" t="s">
        <v>300</v>
      </c>
      <c r="R2573">
        <v>10.00000000000000000000000000000000000002</v>
      </c>
      <c r="S2573" t="s">
        <v>45</v>
      </c>
      <c r="T2573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73">
        <v>58133</v>
      </c>
      <c r="V2573" t="s">
        <v>38</v>
      </c>
      <c r="W2573" t="s">
        <v>300</v>
      </c>
      <c r="X2573">
        <v>10.00000000000000000000000000000000000002</v>
      </c>
      <c r="Y2573">
        <v>0</v>
      </c>
      <c r="Z2573" t="s">
        <v>46</v>
      </c>
      <c r="AA2573">
        <v>58135</v>
      </c>
      <c r="AB2573" t="s">
        <v>2112</v>
      </c>
      <c r="AC2573" t="s">
        <v>48</v>
      </c>
      <c r="AD2573" t="s">
        <v>38</v>
      </c>
      <c r="AE2573" t="s">
        <v>49</v>
      </c>
      <c r="AF2573" t="s">
        <v>50</v>
      </c>
      <c r="AG2573">
        <v>0</v>
      </c>
      <c r="AH2573">
        <v>0</v>
      </c>
      <c r="AI2573" t="s">
        <v>51</v>
      </c>
      <c r="AJ2573" t="s">
        <v>51</v>
      </c>
      <c r="AK2573" t="s">
        <v>51</v>
      </c>
    </row>
    <row r="2574" spans="1:37" x14ac:dyDescent="0.2">
      <c r="A2574">
        <v>58131</v>
      </c>
      <c r="B2574" t="s">
        <v>37</v>
      </c>
      <c r="C2574" t="s">
        <v>38</v>
      </c>
      <c r="D2574" t="s">
        <v>674</v>
      </c>
      <c r="E2574" t="s">
        <v>40</v>
      </c>
      <c r="G2574" s="4">
        <v>43946.006643518519</v>
      </c>
      <c r="H2574" s="4">
        <v>43946.007280092593</v>
      </c>
      <c r="I2574" t="s">
        <v>1960</v>
      </c>
      <c r="J2574" s="5">
        <v>54.99999999999999999999999999999999999999</v>
      </c>
      <c r="K2574" t="s">
        <v>38</v>
      </c>
      <c r="M2574">
        <v>58132</v>
      </c>
      <c r="N2574" t="s">
        <v>705</v>
      </c>
      <c r="O2574" t="s">
        <v>706</v>
      </c>
      <c r="P2574" t="s">
        <v>38</v>
      </c>
      <c r="Q2574" t="s">
        <v>300</v>
      </c>
      <c r="R2574">
        <v>10.00000000000000000000000000000000000002</v>
      </c>
      <c r="S2574" t="s">
        <v>45</v>
      </c>
      <c r="T2574" t="str" s="2">
        <f>=HYPERLINK("http://demo.enginatics.com:80/ecc/user/applications/log/58131.log","http://demo.enginatics.com:80/ecc/user/applications/log/58131.log")</f>
        <v>"http://demo.enginatics.com:80/ecc/user/applications/log/58131.log")</v>
      </c>
      <c r="U2574">
        <v>58133</v>
      </c>
      <c r="V2574" t="s">
        <v>38</v>
      </c>
      <c r="W2574" t="s">
        <v>300</v>
      </c>
      <c r="X2574">
        <v>10.00000000000000000000000000000000000002</v>
      </c>
      <c r="Y2574">
        <v>0</v>
      </c>
      <c r="Z2574" t="s">
        <v>46</v>
      </c>
      <c r="AA2574">
        <v>58134</v>
      </c>
      <c r="AB2574" t="s">
        <v>859</v>
      </c>
      <c r="AC2574" t="s">
        <v>56</v>
      </c>
      <c r="AD2574" t="s">
        <v>38</v>
      </c>
      <c r="AE2574" t="s">
        <v>49</v>
      </c>
      <c r="AF2574" t="s">
        <v>50</v>
      </c>
      <c r="AG2574">
        <v>0</v>
      </c>
      <c r="AH2574">
        <v>0</v>
      </c>
      <c r="AI2574" t="s">
        <v>51</v>
      </c>
      <c r="AJ2574" t="s">
        <v>51</v>
      </c>
      <c r="AK2574" t="s">
        <v>51</v>
      </c>
    </row>
    <row r="2575" spans="1:37" x14ac:dyDescent="0.2">
      <c r="A2575">
        <v>58126</v>
      </c>
      <c r="B2575" t="s">
        <v>37</v>
      </c>
      <c r="C2575" t="s">
        <v>38</v>
      </c>
      <c r="D2575" t="s">
        <v>83</v>
      </c>
      <c r="E2575" t="s">
        <v>84</v>
      </c>
      <c r="G2575" s="4">
        <v>43945.955983796296</v>
      </c>
      <c r="H2575" s="4">
        <v>43945.956018518519</v>
      </c>
      <c r="I2575" t="s">
        <v>85</v>
      </c>
      <c r="J2575" s="5">
        <v>3</v>
      </c>
      <c r="K2575" t="s">
        <v>38</v>
      </c>
      <c r="M2575">
        <v>58127</v>
      </c>
      <c r="N2575" t="s">
        <v>84</v>
      </c>
      <c r="O2575" t="s">
        <v>86</v>
      </c>
      <c r="P2575" t="s">
        <v>38</v>
      </c>
      <c r="Q2575" t="s">
        <v>85</v>
      </c>
      <c r="R2575">
        <v>3</v>
      </c>
      <c r="S2575" t="s">
        <v>45</v>
      </c>
      <c r="T2575" t="str" s="2">
        <f>=HYPERLINK("http://demo.enginatics.com:80/ecc/user/applications/log/58126.log","http://demo.enginatics.com:80/ecc/user/applications/log/58126.log")</f>
        <v>"http://demo.enginatics.com:80/ecc/user/applications/log/58126.log")</v>
      </c>
      <c r="U2575">
        <v>58128</v>
      </c>
      <c r="V2575" t="s">
        <v>38</v>
      </c>
      <c r="W2575" t="s">
        <v>85</v>
      </c>
      <c r="X2575">
        <v>3</v>
      </c>
      <c r="Y2575">
        <v>0</v>
      </c>
      <c r="Z2575" t="s">
        <v>46</v>
      </c>
      <c r="AA2575">
        <v>58130</v>
      </c>
      <c r="AB2575" t="s">
        <v>2113</v>
      </c>
      <c r="AC2575" t="s">
        <v>68</v>
      </c>
      <c r="AD2575" t="s">
        <v>38</v>
      </c>
      <c r="AE2575" t="s">
        <v>49</v>
      </c>
      <c r="AF2575" t="s">
        <v>88</v>
      </c>
      <c r="AG2575">
        <v>2</v>
      </c>
      <c r="AH2575">
        <v>1</v>
      </c>
      <c r="AI2575" t="s">
        <v>51</v>
      </c>
      <c r="AJ2575" t="s">
        <v>51</v>
      </c>
      <c r="AK2575" t="s">
        <v>51</v>
      </c>
    </row>
    <row r="2576" spans="1:37" x14ac:dyDescent="0.2">
      <c r="A2576">
        <v>58126</v>
      </c>
      <c r="B2576" t="s">
        <v>37</v>
      </c>
      <c r="C2576" t="s">
        <v>38</v>
      </c>
      <c r="D2576" t="s">
        <v>83</v>
      </c>
      <c r="E2576" t="s">
        <v>84</v>
      </c>
      <c r="G2576" s="4">
        <v>43945.955983796296</v>
      </c>
      <c r="H2576" s="4">
        <v>43945.956018518519</v>
      </c>
      <c r="I2576" t="s">
        <v>85</v>
      </c>
      <c r="J2576" s="5">
        <v>3</v>
      </c>
      <c r="K2576" t="s">
        <v>38</v>
      </c>
      <c r="M2576">
        <v>58127</v>
      </c>
      <c r="N2576" t="s">
        <v>84</v>
      </c>
      <c r="O2576" t="s">
        <v>86</v>
      </c>
      <c r="P2576" t="s">
        <v>38</v>
      </c>
      <c r="Q2576" t="s">
        <v>85</v>
      </c>
      <c r="R2576">
        <v>3</v>
      </c>
      <c r="S2576" t="s">
        <v>45</v>
      </c>
      <c r="T2576" t="str" s="2">
        <f>=HYPERLINK("http://demo.enginatics.com:80/ecc/user/applications/log/58126.log","http://demo.enginatics.com:80/ecc/user/applications/log/58126.log")</f>
        <v>"http://demo.enginatics.com:80/ecc/user/applications/log/58126.log")</v>
      </c>
      <c r="U2576">
        <v>58128</v>
      </c>
      <c r="V2576" t="s">
        <v>38</v>
      </c>
      <c r="W2576" t="s">
        <v>85</v>
      </c>
      <c r="X2576">
        <v>3</v>
      </c>
      <c r="Y2576">
        <v>0</v>
      </c>
      <c r="Z2576" t="s">
        <v>46</v>
      </c>
      <c r="AA2576">
        <v>58129</v>
      </c>
      <c r="AB2576" t="s">
        <v>2114</v>
      </c>
      <c r="AC2576" t="s">
        <v>56</v>
      </c>
      <c r="AD2576" t="s">
        <v>38</v>
      </c>
      <c r="AE2576" t="s">
        <v>49</v>
      </c>
      <c r="AF2576" t="s">
        <v>50</v>
      </c>
      <c r="AG2576">
        <v>.9999999999999999999999999999999999999996</v>
      </c>
      <c r="AH2576">
        <v>0</v>
      </c>
      <c r="AI2576" t="s">
        <v>51</v>
      </c>
      <c r="AJ2576" t="s">
        <v>51</v>
      </c>
      <c r="AK2576" t="s">
        <v>51</v>
      </c>
    </row>
    <row r="2577" spans="1:37" x14ac:dyDescent="0.2">
      <c r="A2577">
        <v>58124</v>
      </c>
      <c r="B2577" t="s">
        <v>37</v>
      </c>
      <c r="C2577" t="s">
        <v>38</v>
      </c>
      <c r="D2577" t="s">
        <v>83</v>
      </c>
      <c r="E2577" t="s">
        <v>90</v>
      </c>
      <c r="G2577" s="4">
        <v>43945.938321759259</v>
      </c>
      <c r="H2577" s="4">
        <v>43945.938321759259</v>
      </c>
      <c r="I2577" t="s">
        <v>50</v>
      </c>
      <c r="J2577" s="5">
        <v>0</v>
      </c>
      <c r="K2577" t="s">
        <v>38</v>
      </c>
      <c r="M2577">
        <v>58125</v>
      </c>
      <c r="N2577" t="s">
        <v>90</v>
      </c>
      <c r="O2577" t="s">
        <v>91</v>
      </c>
      <c r="P2577" t="s">
        <v>38</v>
      </c>
      <c r="Q2577" t="s">
        <v>50</v>
      </c>
      <c r="R2577">
        <v>0</v>
      </c>
      <c r="S2577" t="s">
        <v>92</v>
      </c>
      <c r="T2577" t="str" s="2">
        <f>=HYPERLINK("http://demo.enginatics.com:80/ecc/user/applications/log/58124.log","http://demo.enginatics.com:80/ecc/user/applications/log/58124.log")</f>
        <v>"http://demo.enginatics.com:80/ecc/user/applications/log/58124.log")</v>
      </c>
    </row>
    <row r="2578" spans="1:37" x14ac:dyDescent="0.2">
      <c r="A2578">
        <v>58118</v>
      </c>
      <c r="B2578" t="s">
        <v>37</v>
      </c>
      <c r="C2578" t="s">
        <v>38</v>
      </c>
      <c r="D2578" t="s">
        <v>93</v>
      </c>
      <c r="E2578" t="s">
        <v>94</v>
      </c>
      <c r="G2578" s="4">
        <v>43945.917048611111</v>
      </c>
      <c r="H2578" s="4">
        <v>43945.917048611111</v>
      </c>
      <c r="I2578" t="s">
        <v>50</v>
      </c>
      <c r="J2578" s="5">
        <v>0</v>
      </c>
      <c r="K2578" t="s">
        <v>38</v>
      </c>
      <c r="M2578">
        <v>58119</v>
      </c>
      <c r="N2578" t="s">
        <v>94</v>
      </c>
      <c r="O2578" t="s">
        <v>95</v>
      </c>
      <c r="P2578" t="s">
        <v>38</v>
      </c>
      <c r="Q2578" t="s">
        <v>50</v>
      </c>
      <c r="R2578">
        <v>0</v>
      </c>
      <c r="S2578" t="s">
        <v>45</v>
      </c>
      <c r="T2578" t="str" s="2">
        <f>=HYPERLINK("http://demo.enginatics.com:80/ecc/user/applications/log/58118.log","http://demo.enginatics.com:80/ecc/user/applications/log/58118.log")</f>
        <v>"http://demo.enginatics.com:80/ecc/user/applications/log/58118.log")</v>
      </c>
      <c r="U2578">
        <v>58120</v>
      </c>
      <c r="V2578" t="s">
        <v>38</v>
      </c>
      <c r="W2578" t="s">
        <v>50</v>
      </c>
      <c r="X2578">
        <v>0</v>
      </c>
      <c r="Y2578">
        <v>0</v>
      </c>
      <c r="Z2578" t="s">
        <v>46</v>
      </c>
      <c r="AA2578">
        <v>58123</v>
      </c>
      <c r="AB2578" t="s">
        <v>96</v>
      </c>
      <c r="AC2578" t="s">
        <v>97</v>
      </c>
      <c r="AD2578" t="s">
        <v>38</v>
      </c>
      <c r="AE2578" t="s">
        <v>49</v>
      </c>
      <c r="AF2578" t="s">
        <v>50</v>
      </c>
      <c r="AG2578">
        <v>0</v>
      </c>
      <c r="AH2578">
        <v>0</v>
      </c>
      <c r="AI2578" t="s">
        <v>51</v>
      </c>
      <c r="AJ2578" t="s">
        <v>51</v>
      </c>
      <c r="AK2578" t="s">
        <v>51</v>
      </c>
    </row>
    <row r="2579" spans="1:37" x14ac:dyDescent="0.2">
      <c r="A2579">
        <v>58118</v>
      </c>
      <c r="B2579" t="s">
        <v>37</v>
      </c>
      <c r="C2579" t="s">
        <v>38</v>
      </c>
      <c r="D2579" t="s">
        <v>93</v>
      </c>
      <c r="E2579" t="s">
        <v>94</v>
      </c>
      <c r="G2579" s="4">
        <v>43945.917048611111</v>
      </c>
      <c r="H2579" s="4">
        <v>43945.917048611111</v>
      </c>
      <c r="I2579" t="s">
        <v>50</v>
      </c>
      <c r="J2579" s="5">
        <v>0</v>
      </c>
      <c r="K2579" t="s">
        <v>38</v>
      </c>
      <c r="M2579">
        <v>58119</v>
      </c>
      <c r="N2579" t="s">
        <v>94</v>
      </c>
      <c r="O2579" t="s">
        <v>95</v>
      </c>
      <c r="P2579" t="s">
        <v>38</v>
      </c>
      <c r="Q2579" t="s">
        <v>50</v>
      </c>
      <c r="R2579">
        <v>0</v>
      </c>
      <c r="S2579" t="s">
        <v>45</v>
      </c>
      <c r="T2579" t="str" s="2">
        <f>=HYPERLINK("http://demo.enginatics.com:80/ecc/user/applications/log/58118.log","http://demo.enginatics.com:80/ecc/user/applications/log/58118.log")</f>
        <v>"http://demo.enginatics.com:80/ecc/user/applications/log/58118.log")</v>
      </c>
      <c r="U2579">
        <v>58120</v>
      </c>
      <c r="V2579" t="s">
        <v>38</v>
      </c>
      <c r="W2579" t="s">
        <v>50</v>
      </c>
      <c r="X2579">
        <v>0</v>
      </c>
      <c r="Y2579">
        <v>0</v>
      </c>
      <c r="Z2579" t="s">
        <v>46</v>
      </c>
      <c r="AA2579">
        <v>58122</v>
      </c>
      <c r="AB2579" t="s">
        <v>98</v>
      </c>
      <c r="AC2579" t="s">
        <v>56</v>
      </c>
      <c r="AD2579" t="s">
        <v>38</v>
      </c>
      <c r="AE2579" t="s">
        <v>49</v>
      </c>
      <c r="AF2579" t="s">
        <v>50</v>
      </c>
      <c r="AG2579">
        <v>0</v>
      </c>
      <c r="AH2579">
        <v>0</v>
      </c>
      <c r="AI2579" t="s">
        <v>51</v>
      </c>
      <c r="AJ2579" t="s">
        <v>51</v>
      </c>
      <c r="AK2579" t="s">
        <v>51</v>
      </c>
    </row>
    <row r="2580" spans="1:37" x14ac:dyDescent="0.2">
      <c r="A2580">
        <v>58118</v>
      </c>
      <c r="B2580" t="s">
        <v>37</v>
      </c>
      <c r="C2580" t="s">
        <v>38</v>
      </c>
      <c r="D2580" t="s">
        <v>93</v>
      </c>
      <c r="E2580" t="s">
        <v>94</v>
      </c>
      <c r="G2580" s="4">
        <v>43945.917048611111</v>
      </c>
      <c r="H2580" s="4">
        <v>43945.917048611111</v>
      </c>
      <c r="I2580" t="s">
        <v>50</v>
      </c>
      <c r="J2580" s="5">
        <v>0</v>
      </c>
      <c r="K2580" t="s">
        <v>38</v>
      </c>
      <c r="M2580">
        <v>58119</v>
      </c>
      <c r="N2580" t="s">
        <v>94</v>
      </c>
      <c r="O2580" t="s">
        <v>95</v>
      </c>
      <c r="P2580" t="s">
        <v>38</v>
      </c>
      <c r="Q2580" t="s">
        <v>50</v>
      </c>
      <c r="R2580">
        <v>0</v>
      </c>
      <c r="S2580" t="s">
        <v>45</v>
      </c>
      <c r="T2580" t="str" s="2">
        <f>=HYPERLINK("http://demo.enginatics.com:80/ecc/user/applications/log/58118.log","http://demo.enginatics.com:80/ecc/user/applications/log/58118.log")</f>
        <v>"http://demo.enginatics.com:80/ecc/user/applications/log/58118.log")</v>
      </c>
      <c r="U2580">
        <v>58120</v>
      </c>
      <c r="V2580" t="s">
        <v>38</v>
      </c>
      <c r="W2580" t="s">
        <v>50</v>
      </c>
      <c r="X2580">
        <v>0</v>
      </c>
      <c r="Y2580">
        <v>0</v>
      </c>
      <c r="Z2580" t="s">
        <v>46</v>
      </c>
      <c r="AA2580">
        <v>58121</v>
      </c>
      <c r="AB2580" t="s">
        <v>99</v>
      </c>
      <c r="AC2580" t="s">
        <v>68</v>
      </c>
      <c r="AD2580" t="s">
        <v>38</v>
      </c>
      <c r="AE2580" t="s">
        <v>49</v>
      </c>
      <c r="AF2580" t="s">
        <v>50</v>
      </c>
      <c r="AG2580">
        <v>0</v>
      </c>
      <c r="AH2580">
        <v>0</v>
      </c>
      <c r="AI2580" t="s">
        <v>51</v>
      </c>
      <c r="AJ2580" t="s">
        <v>51</v>
      </c>
      <c r="AK2580" t="s">
        <v>51</v>
      </c>
    </row>
    <row r="2581" spans="1:37" x14ac:dyDescent="0.2">
      <c r="A2581">
        <v>58112</v>
      </c>
      <c r="B2581" t="s">
        <v>37</v>
      </c>
      <c r="C2581" t="s">
        <v>38</v>
      </c>
      <c r="D2581" t="s">
        <v>93</v>
      </c>
      <c r="E2581" t="s">
        <v>100</v>
      </c>
      <c r="G2581" s="4">
        <v>43945.916898148148</v>
      </c>
      <c r="H2581" s="4">
        <v>43945.916909722222</v>
      </c>
      <c r="I2581" t="s">
        <v>50</v>
      </c>
      <c r="J2581" s="5">
        <v>.9999999999999999999999999999999999999996</v>
      </c>
      <c r="K2581" t="s">
        <v>38</v>
      </c>
      <c r="M2581">
        <v>58113</v>
      </c>
      <c r="N2581" t="s">
        <v>100</v>
      </c>
      <c r="O2581" t="s">
        <v>101</v>
      </c>
      <c r="P2581" t="s">
        <v>38</v>
      </c>
      <c r="Q2581" t="s">
        <v>50</v>
      </c>
      <c r="R2581">
        <v>.9999999999999999999999999999999999999996</v>
      </c>
      <c r="S2581" t="s">
        <v>45</v>
      </c>
      <c r="T2581" t="str" s="2">
        <f>=HYPERLINK("http://demo.enginatics.com:80/ecc/user/applications/log/58112.log","http://demo.enginatics.com:80/ecc/user/applications/log/58112.log")</f>
        <v>"http://demo.enginatics.com:80/ecc/user/applications/log/58112.log")</v>
      </c>
      <c r="U2581">
        <v>58114</v>
      </c>
      <c r="V2581" t="s">
        <v>38</v>
      </c>
      <c r="W2581" t="s">
        <v>50</v>
      </c>
      <c r="X2581">
        <v>.9999999999999999999999999999999999999996</v>
      </c>
      <c r="Y2581">
        <v>0</v>
      </c>
      <c r="Z2581" t="s">
        <v>46</v>
      </c>
      <c r="AA2581">
        <v>58117</v>
      </c>
      <c r="AB2581" t="s">
        <v>102</v>
      </c>
      <c r="AC2581" t="s">
        <v>103</v>
      </c>
      <c r="AD2581" t="s">
        <v>38</v>
      </c>
      <c r="AE2581" t="s">
        <v>49</v>
      </c>
      <c r="AF2581" t="s">
        <v>50</v>
      </c>
      <c r="AG2581">
        <v>0</v>
      </c>
      <c r="AH2581">
        <v>0</v>
      </c>
      <c r="AI2581" t="s">
        <v>51</v>
      </c>
      <c r="AJ2581" t="s">
        <v>51</v>
      </c>
      <c r="AK2581" t="s">
        <v>51</v>
      </c>
    </row>
    <row r="2582" spans="1:37" x14ac:dyDescent="0.2">
      <c r="A2582">
        <v>58112</v>
      </c>
      <c r="B2582" t="s">
        <v>37</v>
      </c>
      <c r="C2582" t="s">
        <v>38</v>
      </c>
      <c r="D2582" t="s">
        <v>93</v>
      </c>
      <c r="E2582" t="s">
        <v>100</v>
      </c>
      <c r="G2582" s="4">
        <v>43945.916898148148</v>
      </c>
      <c r="H2582" s="4">
        <v>43945.916909722222</v>
      </c>
      <c r="I2582" t="s">
        <v>50</v>
      </c>
      <c r="J2582" s="5">
        <v>.9999999999999999999999999999999999999996</v>
      </c>
      <c r="K2582" t="s">
        <v>38</v>
      </c>
      <c r="M2582">
        <v>58113</v>
      </c>
      <c r="N2582" t="s">
        <v>100</v>
      </c>
      <c r="O2582" t="s">
        <v>101</v>
      </c>
      <c r="P2582" t="s">
        <v>38</v>
      </c>
      <c r="Q2582" t="s">
        <v>50</v>
      </c>
      <c r="R2582">
        <v>.9999999999999999999999999999999999999996</v>
      </c>
      <c r="S2582" t="s">
        <v>45</v>
      </c>
      <c r="T2582" t="str" s="2">
        <f>=HYPERLINK("http://demo.enginatics.com:80/ecc/user/applications/log/58112.log","http://demo.enginatics.com:80/ecc/user/applications/log/58112.log")</f>
        <v>"http://demo.enginatics.com:80/ecc/user/applications/log/58112.log")</v>
      </c>
      <c r="U2582">
        <v>58114</v>
      </c>
      <c r="V2582" t="s">
        <v>38</v>
      </c>
      <c r="W2582" t="s">
        <v>50</v>
      </c>
      <c r="X2582">
        <v>.9999999999999999999999999999999999999996</v>
      </c>
      <c r="Y2582">
        <v>0</v>
      </c>
      <c r="Z2582" t="s">
        <v>46</v>
      </c>
      <c r="AA2582">
        <v>58116</v>
      </c>
      <c r="AB2582" t="s">
        <v>104</v>
      </c>
      <c r="AC2582" t="s">
        <v>56</v>
      </c>
      <c r="AD2582" t="s">
        <v>38</v>
      </c>
      <c r="AE2582" t="s">
        <v>49</v>
      </c>
      <c r="AF2582" t="s">
        <v>50</v>
      </c>
      <c r="AG2582">
        <v>0</v>
      </c>
      <c r="AH2582">
        <v>0</v>
      </c>
      <c r="AI2582" t="s">
        <v>51</v>
      </c>
      <c r="AJ2582" t="s">
        <v>51</v>
      </c>
      <c r="AK2582" t="s">
        <v>51</v>
      </c>
    </row>
    <row r="2583" spans="1:37" x14ac:dyDescent="0.2">
      <c r="A2583">
        <v>58112</v>
      </c>
      <c r="B2583" t="s">
        <v>37</v>
      </c>
      <c r="C2583" t="s">
        <v>38</v>
      </c>
      <c r="D2583" t="s">
        <v>93</v>
      </c>
      <c r="E2583" t="s">
        <v>100</v>
      </c>
      <c r="G2583" s="4">
        <v>43945.916898148148</v>
      </c>
      <c r="H2583" s="4">
        <v>43945.916909722222</v>
      </c>
      <c r="I2583" t="s">
        <v>50</v>
      </c>
      <c r="J2583" s="5">
        <v>.9999999999999999999999999999999999999996</v>
      </c>
      <c r="K2583" t="s">
        <v>38</v>
      </c>
      <c r="M2583">
        <v>58113</v>
      </c>
      <c r="N2583" t="s">
        <v>100</v>
      </c>
      <c r="O2583" t="s">
        <v>101</v>
      </c>
      <c r="P2583" t="s">
        <v>38</v>
      </c>
      <c r="Q2583" t="s">
        <v>50</v>
      </c>
      <c r="R2583">
        <v>.9999999999999999999999999999999999999996</v>
      </c>
      <c r="S2583" t="s">
        <v>45</v>
      </c>
      <c r="T2583" t="str" s="2">
        <f>=HYPERLINK("http://demo.enginatics.com:80/ecc/user/applications/log/58112.log","http://demo.enginatics.com:80/ecc/user/applications/log/58112.log")</f>
        <v>"http://demo.enginatics.com:80/ecc/user/applications/log/58112.log")</v>
      </c>
      <c r="U2583">
        <v>58114</v>
      </c>
      <c r="V2583" t="s">
        <v>38</v>
      </c>
      <c r="W2583" t="s">
        <v>50</v>
      </c>
      <c r="X2583">
        <v>.9999999999999999999999999999999999999996</v>
      </c>
      <c r="Y2583">
        <v>0</v>
      </c>
      <c r="Z2583" t="s">
        <v>46</v>
      </c>
      <c r="AA2583">
        <v>58115</v>
      </c>
      <c r="AB2583" t="s">
        <v>105</v>
      </c>
      <c r="AC2583" t="s">
        <v>68</v>
      </c>
      <c r="AD2583" t="s">
        <v>38</v>
      </c>
      <c r="AE2583" t="s">
        <v>49</v>
      </c>
      <c r="AF2583" t="s">
        <v>50</v>
      </c>
      <c r="AG2583">
        <v>0</v>
      </c>
      <c r="AH2583">
        <v>0</v>
      </c>
      <c r="AI2583" t="s">
        <v>51</v>
      </c>
      <c r="AJ2583" t="s">
        <v>51</v>
      </c>
      <c r="AK2583" t="s">
        <v>51</v>
      </c>
    </row>
    <row r="2584" spans="1:37" x14ac:dyDescent="0.2">
      <c r="A2584">
        <v>58070</v>
      </c>
      <c r="B2584" t="s">
        <v>37</v>
      </c>
      <c r="C2584" t="s">
        <v>38</v>
      </c>
      <c r="D2584" t="s">
        <v>39</v>
      </c>
      <c r="E2584" t="s">
        <v>40</v>
      </c>
      <c r="G2584" s="4">
        <v>43945.88349537037</v>
      </c>
      <c r="H2584" s="4">
        <v>43945.900960648148</v>
      </c>
      <c r="I2584" t="s">
        <v>2115</v>
      </c>
      <c r="J2584" s="5">
        <v>1509.000000000000000000000000000000000002</v>
      </c>
      <c r="K2584" t="s">
        <v>38</v>
      </c>
      <c r="M2584">
        <v>58085</v>
      </c>
      <c r="N2584" t="s">
        <v>42</v>
      </c>
      <c r="O2584" t="s">
        <v>43</v>
      </c>
      <c r="P2584" t="s">
        <v>38</v>
      </c>
      <c r="Q2584" t="s">
        <v>88</v>
      </c>
      <c r="R2584">
        <v>2</v>
      </c>
      <c r="S2584" t="s">
        <v>45</v>
      </c>
      <c r="T2584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84">
        <v>58086</v>
      </c>
      <c r="V2584" t="s">
        <v>38</v>
      </c>
      <c r="W2584" t="s">
        <v>88</v>
      </c>
      <c r="X2584">
        <v>2</v>
      </c>
      <c r="Y2584">
        <v>0</v>
      </c>
      <c r="Z2584" t="s">
        <v>46</v>
      </c>
      <c r="AA2584">
        <v>58094</v>
      </c>
      <c r="AB2584" t="s">
        <v>1847</v>
      </c>
      <c r="AC2584" t="s">
        <v>48</v>
      </c>
      <c r="AD2584" t="s">
        <v>38</v>
      </c>
      <c r="AE2584" t="s">
        <v>49</v>
      </c>
      <c r="AF2584" t="s">
        <v>50</v>
      </c>
      <c r="AG2584">
        <v>0</v>
      </c>
      <c r="AH2584">
        <v>0</v>
      </c>
      <c r="AI2584" t="s">
        <v>51</v>
      </c>
      <c r="AJ2584" t="s">
        <v>51</v>
      </c>
      <c r="AK2584" t="s">
        <v>51</v>
      </c>
    </row>
    <row r="2585" spans="1:37" x14ac:dyDescent="0.2">
      <c r="A2585">
        <v>58070</v>
      </c>
      <c r="B2585" t="s">
        <v>37</v>
      </c>
      <c r="C2585" t="s">
        <v>38</v>
      </c>
      <c r="D2585" t="s">
        <v>39</v>
      </c>
      <c r="E2585" t="s">
        <v>40</v>
      </c>
      <c r="G2585" s="4">
        <v>43945.88349537037</v>
      </c>
      <c r="H2585" s="4">
        <v>43945.900960648148</v>
      </c>
      <c r="I2585" t="s">
        <v>2115</v>
      </c>
      <c r="J2585" s="5">
        <v>1509.000000000000000000000000000000000002</v>
      </c>
      <c r="K2585" t="s">
        <v>38</v>
      </c>
      <c r="M2585">
        <v>58085</v>
      </c>
      <c r="N2585" t="s">
        <v>42</v>
      </c>
      <c r="O2585" t="s">
        <v>43</v>
      </c>
      <c r="P2585" t="s">
        <v>38</v>
      </c>
      <c r="Q2585" t="s">
        <v>88</v>
      </c>
      <c r="R2585">
        <v>2</v>
      </c>
      <c r="S2585" t="s">
        <v>45</v>
      </c>
      <c r="T2585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85">
        <v>58086</v>
      </c>
      <c r="V2585" t="s">
        <v>38</v>
      </c>
      <c r="W2585" t="s">
        <v>88</v>
      </c>
      <c r="X2585">
        <v>2</v>
      </c>
      <c r="Y2585">
        <v>0</v>
      </c>
      <c r="Z2585" t="s">
        <v>46</v>
      </c>
      <c r="AA2585">
        <v>58093</v>
      </c>
      <c r="AB2585" t="s">
        <v>1848</v>
      </c>
      <c r="AC2585" t="s">
        <v>48</v>
      </c>
      <c r="AD2585" t="s">
        <v>38</v>
      </c>
      <c r="AE2585" t="s">
        <v>49</v>
      </c>
      <c r="AF2585" t="s">
        <v>50</v>
      </c>
      <c r="AG2585">
        <v>0</v>
      </c>
      <c r="AH2585">
        <v>0</v>
      </c>
      <c r="AI2585" t="s">
        <v>51</v>
      </c>
      <c r="AJ2585" t="s">
        <v>51</v>
      </c>
      <c r="AK2585" t="s">
        <v>51</v>
      </c>
    </row>
    <row r="2586" spans="1:37" x14ac:dyDescent="0.2">
      <c r="A2586">
        <v>58070</v>
      </c>
      <c r="B2586" t="s">
        <v>37</v>
      </c>
      <c r="C2586" t="s">
        <v>38</v>
      </c>
      <c r="D2586" t="s">
        <v>39</v>
      </c>
      <c r="E2586" t="s">
        <v>40</v>
      </c>
      <c r="G2586" s="4">
        <v>43945.88349537037</v>
      </c>
      <c r="H2586" s="4">
        <v>43945.900960648148</v>
      </c>
      <c r="I2586" t="s">
        <v>2115</v>
      </c>
      <c r="J2586" s="5">
        <v>1509.000000000000000000000000000000000002</v>
      </c>
      <c r="K2586" t="s">
        <v>38</v>
      </c>
      <c r="M2586">
        <v>58085</v>
      </c>
      <c r="N2586" t="s">
        <v>42</v>
      </c>
      <c r="O2586" t="s">
        <v>43</v>
      </c>
      <c r="P2586" t="s">
        <v>38</v>
      </c>
      <c r="Q2586" t="s">
        <v>88</v>
      </c>
      <c r="R2586">
        <v>2</v>
      </c>
      <c r="S2586" t="s">
        <v>45</v>
      </c>
      <c r="T2586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86">
        <v>58086</v>
      </c>
      <c r="V2586" t="s">
        <v>38</v>
      </c>
      <c r="W2586" t="s">
        <v>88</v>
      </c>
      <c r="X2586">
        <v>2</v>
      </c>
      <c r="Y2586">
        <v>0</v>
      </c>
      <c r="Z2586" t="s">
        <v>46</v>
      </c>
      <c r="AA2586">
        <v>58092</v>
      </c>
      <c r="AB2586" t="s">
        <v>1849</v>
      </c>
      <c r="AC2586" t="s">
        <v>48</v>
      </c>
      <c r="AD2586" t="s">
        <v>38</v>
      </c>
      <c r="AE2586" t="s">
        <v>49</v>
      </c>
      <c r="AF2586" t="s">
        <v>50</v>
      </c>
      <c r="AG2586">
        <v>.9999999999999999999999999999999999999996</v>
      </c>
      <c r="AH2586">
        <v>0</v>
      </c>
      <c r="AI2586" t="s">
        <v>51</v>
      </c>
      <c r="AJ2586" t="s">
        <v>51</v>
      </c>
      <c r="AK2586" t="s">
        <v>51</v>
      </c>
    </row>
    <row r="2587" spans="1:37" x14ac:dyDescent="0.2">
      <c r="A2587">
        <v>58070</v>
      </c>
      <c r="B2587" t="s">
        <v>37</v>
      </c>
      <c r="C2587" t="s">
        <v>38</v>
      </c>
      <c r="D2587" t="s">
        <v>39</v>
      </c>
      <c r="E2587" t="s">
        <v>40</v>
      </c>
      <c r="G2587" s="4">
        <v>43945.88349537037</v>
      </c>
      <c r="H2587" s="4">
        <v>43945.900960648148</v>
      </c>
      <c r="I2587" t="s">
        <v>2115</v>
      </c>
      <c r="J2587" s="5">
        <v>1509.000000000000000000000000000000000002</v>
      </c>
      <c r="K2587" t="s">
        <v>38</v>
      </c>
      <c r="M2587">
        <v>58085</v>
      </c>
      <c r="N2587" t="s">
        <v>42</v>
      </c>
      <c r="O2587" t="s">
        <v>43</v>
      </c>
      <c r="P2587" t="s">
        <v>38</v>
      </c>
      <c r="Q2587" t="s">
        <v>88</v>
      </c>
      <c r="R2587">
        <v>2</v>
      </c>
      <c r="S2587" t="s">
        <v>45</v>
      </c>
      <c r="T2587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87">
        <v>58086</v>
      </c>
      <c r="V2587" t="s">
        <v>38</v>
      </c>
      <c r="W2587" t="s">
        <v>88</v>
      </c>
      <c r="X2587">
        <v>2</v>
      </c>
      <c r="Y2587">
        <v>0</v>
      </c>
      <c r="Z2587" t="s">
        <v>46</v>
      </c>
      <c r="AA2587">
        <v>58091</v>
      </c>
      <c r="AB2587" t="s">
        <v>1850</v>
      </c>
      <c r="AC2587" t="s">
        <v>48</v>
      </c>
      <c r="AD2587" t="s">
        <v>38</v>
      </c>
      <c r="AE2587" t="s">
        <v>49</v>
      </c>
      <c r="AF2587" t="s">
        <v>50</v>
      </c>
      <c r="AG2587">
        <v>0</v>
      </c>
      <c r="AH2587">
        <v>0</v>
      </c>
      <c r="AI2587" t="s">
        <v>51</v>
      </c>
      <c r="AJ2587" t="s">
        <v>51</v>
      </c>
      <c r="AK2587" t="s">
        <v>51</v>
      </c>
    </row>
    <row r="2588" spans="1:37" x14ac:dyDescent="0.2">
      <c r="A2588">
        <v>58070</v>
      </c>
      <c r="B2588" t="s">
        <v>37</v>
      </c>
      <c r="C2588" t="s">
        <v>38</v>
      </c>
      <c r="D2588" t="s">
        <v>39</v>
      </c>
      <c r="E2588" t="s">
        <v>40</v>
      </c>
      <c r="G2588" s="4">
        <v>43945.88349537037</v>
      </c>
      <c r="H2588" s="4">
        <v>43945.900960648148</v>
      </c>
      <c r="I2588" t="s">
        <v>2115</v>
      </c>
      <c r="J2588" s="5">
        <v>1509.000000000000000000000000000000000002</v>
      </c>
      <c r="K2588" t="s">
        <v>38</v>
      </c>
      <c r="M2588">
        <v>58085</v>
      </c>
      <c r="N2588" t="s">
        <v>42</v>
      </c>
      <c r="O2588" t="s">
        <v>43</v>
      </c>
      <c r="P2588" t="s">
        <v>38</v>
      </c>
      <c r="Q2588" t="s">
        <v>88</v>
      </c>
      <c r="R2588">
        <v>2</v>
      </c>
      <c r="S2588" t="s">
        <v>45</v>
      </c>
      <c r="T2588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88">
        <v>58086</v>
      </c>
      <c r="V2588" t="s">
        <v>38</v>
      </c>
      <c r="W2588" t="s">
        <v>88</v>
      </c>
      <c r="X2588">
        <v>2</v>
      </c>
      <c r="Y2588">
        <v>0</v>
      </c>
      <c r="Z2588" t="s">
        <v>46</v>
      </c>
      <c r="AA2588">
        <v>58090</v>
      </c>
      <c r="AB2588" t="s">
        <v>1851</v>
      </c>
      <c r="AC2588" t="s">
        <v>56</v>
      </c>
      <c r="AD2588" t="s">
        <v>38</v>
      </c>
      <c r="AE2588" t="s">
        <v>49</v>
      </c>
      <c r="AF2588" t="s">
        <v>50</v>
      </c>
      <c r="AG2588">
        <v>0</v>
      </c>
      <c r="AH2588">
        <v>0</v>
      </c>
      <c r="AI2588" t="s">
        <v>51</v>
      </c>
      <c r="AJ2588" t="s">
        <v>51</v>
      </c>
      <c r="AK2588" t="s">
        <v>51</v>
      </c>
    </row>
    <row r="2589" spans="1:37" x14ac:dyDescent="0.2">
      <c r="A2589">
        <v>58070</v>
      </c>
      <c r="B2589" t="s">
        <v>37</v>
      </c>
      <c r="C2589" t="s">
        <v>38</v>
      </c>
      <c r="D2589" t="s">
        <v>39</v>
      </c>
      <c r="E2589" t="s">
        <v>40</v>
      </c>
      <c r="G2589" s="4">
        <v>43945.88349537037</v>
      </c>
      <c r="H2589" s="4">
        <v>43945.900960648148</v>
      </c>
      <c r="I2589" t="s">
        <v>2115</v>
      </c>
      <c r="J2589" s="5">
        <v>1509.000000000000000000000000000000000002</v>
      </c>
      <c r="K2589" t="s">
        <v>38</v>
      </c>
      <c r="M2589">
        <v>58085</v>
      </c>
      <c r="N2589" t="s">
        <v>42</v>
      </c>
      <c r="O2589" t="s">
        <v>43</v>
      </c>
      <c r="P2589" t="s">
        <v>38</v>
      </c>
      <c r="Q2589" t="s">
        <v>88</v>
      </c>
      <c r="R2589">
        <v>2</v>
      </c>
      <c r="S2589" t="s">
        <v>45</v>
      </c>
      <c r="T2589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89">
        <v>58086</v>
      </c>
      <c r="V2589" t="s">
        <v>38</v>
      </c>
      <c r="W2589" t="s">
        <v>88</v>
      </c>
      <c r="X2589">
        <v>2</v>
      </c>
      <c r="Y2589">
        <v>0</v>
      </c>
      <c r="Z2589" t="s">
        <v>46</v>
      </c>
      <c r="AA2589">
        <v>58089</v>
      </c>
      <c r="AB2589" t="s">
        <v>1852</v>
      </c>
      <c r="AC2589" t="s">
        <v>56</v>
      </c>
      <c r="AD2589" t="s">
        <v>38</v>
      </c>
      <c r="AE2589" t="s">
        <v>49</v>
      </c>
      <c r="AF2589" t="s">
        <v>50</v>
      </c>
      <c r="AG2589">
        <v>.9999999999999999999999999999999999999996</v>
      </c>
      <c r="AH2589">
        <v>0</v>
      </c>
      <c r="AI2589" t="s">
        <v>51</v>
      </c>
      <c r="AJ2589" t="s">
        <v>51</v>
      </c>
      <c r="AK2589" t="s">
        <v>51</v>
      </c>
    </row>
    <row r="2590" spans="1:37" x14ac:dyDescent="0.2">
      <c r="A2590">
        <v>58070</v>
      </c>
      <c r="B2590" t="s">
        <v>37</v>
      </c>
      <c r="C2590" t="s">
        <v>38</v>
      </c>
      <c r="D2590" t="s">
        <v>39</v>
      </c>
      <c r="E2590" t="s">
        <v>40</v>
      </c>
      <c r="G2590" s="4">
        <v>43945.88349537037</v>
      </c>
      <c r="H2590" s="4">
        <v>43945.900960648148</v>
      </c>
      <c r="I2590" t="s">
        <v>2115</v>
      </c>
      <c r="J2590" s="5">
        <v>1509.000000000000000000000000000000000002</v>
      </c>
      <c r="K2590" t="s">
        <v>38</v>
      </c>
      <c r="M2590">
        <v>58085</v>
      </c>
      <c r="N2590" t="s">
        <v>42</v>
      </c>
      <c r="O2590" t="s">
        <v>43</v>
      </c>
      <c r="P2590" t="s">
        <v>38</v>
      </c>
      <c r="Q2590" t="s">
        <v>88</v>
      </c>
      <c r="R2590">
        <v>2</v>
      </c>
      <c r="S2590" t="s">
        <v>45</v>
      </c>
      <c r="T2590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0">
        <v>58086</v>
      </c>
      <c r="V2590" t="s">
        <v>38</v>
      </c>
      <c r="W2590" t="s">
        <v>88</v>
      </c>
      <c r="X2590">
        <v>2</v>
      </c>
      <c r="Y2590">
        <v>0</v>
      </c>
      <c r="Z2590" t="s">
        <v>46</v>
      </c>
      <c r="AA2590">
        <v>58088</v>
      </c>
      <c r="AB2590" t="s">
        <v>1853</v>
      </c>
      <c r="AC2590" t="s">
        <v>56</v>
      </c>
      <c r="AD2590" t="s">
        <v>38</v>
      </c>
      <c r="AE2590" t="s">
        <v>49</v>
      </c>
      <c r="AF2590" t="s">
        <v>50</v>
      </c>
      <c r="AG2590">
        <v>0</v>
      </c>
      <c r="AH2590">
        <v>0</v>
      </c>
      <c r="AI2590" t="s">
        <v>51</v>
      </c>
      <c r="AJ2590" t="s">
        <v>51</v>
      </c>
      <c r="AK2590" t="s">
        <v>51</v>
      </c>
    </row>
    <row r="2591" spans="1:37" x14ac:dyDescent="0.2">
      <c r="A2591">
        <v>58070</v>
      </c>
      <c r="B2591" t="s">
        <v>37</v>
      </c>
      <c r="C2591" t="s">
        <v>38</v>
      </c>
      <c r="D2591" t="s">
        <v>39</v>
      </c>
      <c r="E2591" t="s">
        <v>40</v>
      </c>
      <c r="G2591" s="4">
        <v>43945.88349537037</v>
      </c>
      <c r="H2591" s="4">
        <v>43945.900960648148</v>
      </c>
      <c r="I2591" t="s">
        <v>2115</v>
      </c>
      <c r="J2591" s="5">
        <v>1509.000000000000000000000000000000000002</v>
      </c>
      <c r="K2591" t="s">
        <v>38</v>
      </c>
      <c r="M2591">
        <v>58085</v>
      </c>
      <c r="N2591" t="s">
        <v>42</v>
      </c>
      <c r="O2591" t="s">
        <v>43</v>
      </c>
      <c r="P2591" t="s">
        <v>38</v>
      </c>
      <c r="Q2591" t="s">
        <v>88</v>
      </c>
      <c r="R2591">
        <v>2</v>
      </c>
      <c r="S2591" t="s">
        <v>45</v>
      </c>
      <c r="T2591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1">
        <v>58086</v>
      </c>
      <c r="V2591" t="s">
        <v>38</v>
      </c>
      <c r="W2591" t="s">
        <v>88</v>
      </c>
      <c r="X2591">
        <v>2</v>
      </c>
      <c r="Y2591">
        <v>0</v>
      </c>
      <c r="Z2591" t="s">
        <v>46</v>
      </c>
      <c r="AA2591">
        <v>58087</v>
      </c>
      <c r="AB2591" t="s">
        <v>1854</v>
      </c>
      <c r="AC2591" t="s">
        <v>60</v>
      </c>
      <c r="AD2591" t="s">
        <v>38</v>
      </c>
      <c r="AE2591" t="s">
        <v>49</v>
      </c>
      <c r="AF2591" t="s">
        <v>50</v>
      </c>
      <c r="AG2591">
        <v>0</v>
      </c>
      <c r="AH2591">
        <v>0</v>
      </c>
      <c r="AI2591" t="s">
        <v>51</v>
      </c>
      <c r="AJ2591" t="s">
        <v>51</v>
      </c>
      <c r="AK2591" t="s">
        <v>51</v>
      </c>
    </row>
    <row r="2592" spans="1:37" x14ac:dyDescent="0.2">
      <c r="A2592">
        <v>58070</v>
      </c>
      <c r="B2592" t="s">
        <v>37</v>
      </c>
      <c r="C2592" t="s">
        <v>38</v>
      </c>
      <c r="D2592" t="s">
        <v>39</v>
      </c>
      <c r="E2592" t="s">
        <v>40</v>
      </c>
      <c r="G2592" s="4">
        <v>43945.88349537037</v>
      </c>
      <c r="H2592" s="4">
        <v>43945.900960648148</v>
      </c>
      <c r="I2592" t="s">
        <v>2115</v>
      </c>
      <c r="J2592" s="5">
        <v>1509.000000000000000000000000000000000002</v>
      </c>
      <c r="K2592" t="s">
        <v>38</v>
      </c>
      <c r="M2592">
        <v>58081</v>
      </c>
      <c r="N2592" t="s">
        <v>61</v>
      </c>
      <c r="O2592" t="s">
        <v>62</v>
      </c>
      <c r="P2592" t="s">
        <v>38</v>
      </c>
      <c r="Q2592" t="s">
        <v>2116</v>
      </c>
      <c r="R2592">
        <v>1501.000000000000000000000000000000000001</v>
      </c>
      <c r="S2592" t="s">
        <v>45</v>
      </c>
      <c r="T2592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2">
        <v>58082</v>
      </c>
      <c r="V2592" t="s">
        <v>38</v>
      </c>
      <c r="W2592" t="s">
        <v>2116</v>
      </c>
      <c r="X2592">
        <v>1501.000000000000000000000000000000000001</v>
      </c>
      <c r="Y2592">
        <v>0</v>
      </c>
      <c r="Z2592" t="s">
        <v>46</v>
      </c>
      <c r="AA2592">
        <v>58084</v>
      </c>
      <c r="AB2592" t="s">
        <v>64</v>
      </c>
      <c r="AC2592" t="s">
        <v>56</v>
      </c>
      <c r="AD2592" t="s">
        <v>38</v>
      </c>
      <c r="AE2592" t="s">
        <v>65</v>
      </c>
      <c r="AF2592" t="s">
        <v>2116</v>
      </c>
      <c r="AG2592">
        <v>1501.000000000000000000000000000000000001</v>
      </c>
      <c r="AH2592">
        <v>3</v>
      </c>
      <c r="AI2592" t="s">
        <v>66</v>
      </c>
      <c r="AJ2592" t="s">
        <v>51</v>
      </c>
      <c r="AK2592" t="s">
        <v>66</v>
      </c>
    </row>
    <row r="2593" spans="1:37" x14ac:dyDescent="0.2">
      <c r="A2593">
        <v>58070</v>
      </c>
      <c r="B2593" t="s">
        <v>37</v>
      </c>
      <c r="C2593" t="s">
        <v>38</v>
      </c>
      <c r="D2593" t="s">
        <v>39</v>
      </c>
      <c r="E2593" t="s">
        <v>40</v>
      </c>
      <c r="G2593" s="4">
        <v>43945.88349537037</v>
      </c>
      <c r="H2593" s="4">
        <v>43945.900960648148</v>
      </c>
      <c r="I2593" t="s">
        <v>2115</v>
      </c>
      <c r="J2593" s="5">
        <v>1509.000000000000000000000000000000000002</v>
      </c>
      <c r="K2593" t="s">
        <v>38</v>
      </c>
      <c r="M2593">
        <v>58081</v>
      </c>
      <c r="N2593" t="s">
        <v>61</v>
      </c>
      <c r="O2593" t="s">
        <v>62</v>
      </c>
      <c r="P2593" t="s">
        <v>38</v>
      </c>
      <c r="Q2593" t="s">
        <v>2116</v>
      </c>
      <c r="R2593">
        <v>1501.000000000000000000000000000000000001</v>
      </c>
      <c r="S2593" t="s">
        <v>45</v>
      </c>
      <c r="T2593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3">
        <v>58082</v>
      </c>
      <c r="V2593" t="s">
        <v>38</v>
      </c>
      <c r="W2593" t="s">
        <v>2116</v>
      </c>
      <c r="X2593">
        <v>1501.000000000000000000000000000000000001</v>
      </c>
      <c r="Y2593">
        <v>0</v>
      </c>
      <c r="Z2593" t="s">
        <v>46</v>
      </c>
      <c r="AA2593">
        <v>58083</v>
      </c>
      <c r="AB2593" t="s">
        <v>1856</v>
      </c>
      <c r="AC2593" t="s">
        <v>68</v>
      </c>
      <c r="AD2593" t="s">
        <v>38</v>
      </c>
      <c r="AE2593" t="s">
        <v>49</v>
      </c>
      <c r="AF2593" t="s">
        <v>50</v>
      </c>
      <c r="AG2593">
        <v>0</v>
      </c>
      <c r="AH2593">
        <v>0</v>
      </c>
      <c r="AI2593" t="s">
        <v>51</v>
      </c>
      <c r="AJ2593" t="s">
        <v>51</v>
      </c>
      <c r="AK2593" t="s">
        <v>51</v>
      </c>
    </row>
    <row r="2594" spans="1:37" x14ac:dyDescent="0.2">
      <c r="A2594">
        <v>58070</v>
      </c>
      <c r="B2594" t="s">
        <v>37</v>
      </c>
      <c r="C2594" t="s">
        <v>38</v>
      </c>
      <c r="D2594" t="s">
        <v>39</v>
      </c>
      <c r="E2594" t="s">
        <v>40</v>
      </c>
      <c r="G2594" s="4">
        <v>43945.88349537037</v>
      </c>
      <c r="H2594" s="4">
        <v>43945.900960648148</v>
      </c>
      <c r="I2594" t="s">
        <v>2115</v>
      </c>
      <c r="J2594" s="5">
        <v>1509.000000000000000000000000000000000002</v>
      </c>
      <c r="K2594" t="s">
        <v>38</v>
      </c>
      <c r="M2594">
        <v>58077</v>
      </c>
      <c r="N2594" t="s">
        <v>69</v>
      </c>
      <c r="O2594" t="s">
        <v>70</v>
      </c>
      <c r="P2594" t="s">
        <v>38</v>
      </c>
      <c r="Q2594" t="s">
        <v>50</v>
      </c>
      <c r="R2594">
        <v>.9999999999999999999999999999999999999996</v>
      </c>
      <c r="S2594" t="s">
        <v>45</v>
      </c>
      <c r="T2594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4">
        <v>58078</v>
      </c>
      <c r="V2594" t="s">
        <v>38</v>
      </c>
      <c r="W2594" t="s">
        <v>50</v>
      </c>
      <c r="X2594">
        <v>.9999999999999999999999999999999999999996</v>
      </c>
      <c r="Y2594">
        <v>0</v>
      </c>
      <c r="Z2594" t="s">
        <v>46</v>
      </c>
      <c r="AA2594">
        <v>58080</v>
      </c>
      <c r="AB2594" t="s">
        <v>1857</v>
      </c>
      <c r="AC2594" t="s">
        <v>56</v>
      </c>
      <c r="AD2594" t="s">
        <v>38</v>
      </c>
      <c r="AE2594" t="s">
        <v>49</v>
      </c>
      <c r="AF2594" t="s">
        <v>50</v>
      </c>
      <c r="AG2594">
        <v>0</v>
      </c>
      <c r="AH2594">
        <v>0</v>
      </c>
      <c r="AI2594" t="s">
        <v>51</v>
      </c>
      <c r="AJ2594" t="s">
        <v>51</v>
      </c>
      <c r="AK2594" t="s">
        <v>51</v>
      </c>
    </row>
    <row r="2595" spans="1:37" x14ac:dyDescent="0.2">
      <c r="A2595">
        <v>58070</v>
      </c>
      <c r="B2595" t="s">
        <v>37</v>
      </c>
      <c r="C2595" t="s">
        <v>38</v>
      </c>
      <c r="D2595" t="s">
        <v>39</v>
      </c>
      <c r="E2595" t="s">
        <v>40</v>
      </c>
      <c r="G2595" s="4">
        <v>43945.88349537037</v>
      </c>
      <c r="H2595" s="4">
        <v>43945.900960648148</v>
      </c>
      <c r="I2595" t="s">
        <v>2115</v>
      </c>
      <c r="J2595" s="5">
        <v>1509.000000000000000000000000000000000002</v>
      </c>
      <c r="K2595" t="s">
        <v>38</v>
      </c>
      <c r="M2595">
        <v>58077</v>
      </c>
      <c r="N2595" t="s">
        <v>69</v>
      </c>
      <c r="O2595" t="s">
        <v>70</v>
      </c>
      <c r="P2595" t="s">
        <v>38</v>
      </c>
      <c r="Q2595" t="s">
        <v>50</v>
      </c>
      <c r="R2595">
        <v>.9999999999999999999999999999999999999996</v>
      </c>
      <c r="S2595" t="s">
        <v>45</v>
      </c>
      <c r="T2595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5">
        <v>58078</v>
      </c>
      <c r="V2595" t="s">
        <v>38</v>
      </c>
      <c r="W2595" t="s">
        <v>50</v>
      </c>
      <c r="X2595">
        <v>.9999999999999999999999999999999999999996</v>
      </c>
      <c r="Y2595">
        <v>0</v>
      </c>
      <c r="Z2595" t="s">
        <v>46</v>
      </c>
      <c r="AA2595">
        <v>58079</v>
      </c>
      <c r="AB2595" t="s">
        <v>72</v>
      </c>
      <c r="AC2595" t="s">
        <v>68</v>
      </c>
      <c r="AD2595" t="s">
        <v>38</v>
      </c>
      <c r="AE2595" t="s">
        <v>49</v>
      </c>
      <c r="AF2595" t="s">
        <v>50</v>
      </c>
      <c r="AG2595">
        <v>.9999999999999999999999999999999999999996</v>
      </c>
      <c r="AH2595">
        <v>0</v>
      </c>
      <c r="AI2595" t="s">
        <v>51</v>
      </c>
      <c r="AJ2595" t="s">
        <v>51</v>
      </c>
      <c r="AK2595" t="s">
        <v>51</v>
      </c>
    </row>
    <row r="2596" spans="1:37" x14ac:dyDescent="0.2">
      <c r="A2596">
        <v>58070</v>
      </c>
      <c r="B2596" t="s">
        <v>37</v>
      </c>
      <c r="C2596" t="s">
        <v>38</v>
      </c>
      <c r="D2596" t="s">
        <v>39</v>
      </c>
      <c r="E2596" t="s">
        <v>40</v>
      </c>
      <c r="G2596" s="4">
        <v>43945.88349537037</v>
      </c>
      <c r="H2596" s="4">
        <v>43945.900960648148</v>
      </c>
      <c r="I2596" t="s">
        <v>2115</v>
      </c>
      <c r="J2596" s="5">
        <v>1509.000000000000000000000000000000000002</v>
      </c>
      <c r="K2596" t="s">
        <v>38</v>
      </c>
      <c r="M2596">
        <v>58071</v>
      </c>
      <c r="N2596" t="s">
        <v>73</v>
      </c>
      <c r="O2596" t="s">
        <v>74</v>
      </c>
      <c r="P2596" t="s">
        <v>38</v>
      </c>
      <c r="Q2596" t="s">
        <v>78</v>
      </c>
      <c r="R2596">
        <v>5</v>
      </c>
      <c r="S2596" t="s">
        <v>45</v>
      </c>
      <c r="T2596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6">
        <v>58072</v>
      </c>
      <c r="V2596" t="s">
        <v>38</v>
      </c>
      <c r="W2596" t="s">
        <v>78</v>
      </c>
      <c r="X2596">
        <v>5</v>
      </c>
      <c r="Y2596">
        <v>0</v>
      </c>
      <c r="Z2596" t="s">
        <v>46</v>
      </c>
      <c r="AA2596">
        <v>58076</v>
      </c>
      <c r="AB2596" t="s">
        <v>76</v>
      </c>
      <c r="AC2596" t="s">
        <v>56</v>
      </c>
      <c r="AD2596" t="s">
        <v>38</v>
      </c>
      <c r="AE2596" t="s">
        <v>77</v>
      </c>
      <c r="AF2596" t="s">
        <v>44</v>
      </c>
      <c r="AG2596">
        <v>4</v>
      </c>
      <c r="AH2596">
        <v>0</v>
      </c>
      <c r="AI2596" t="s">
        <v>79</v>
      </c>
      <c r="AJ2596" t="s">
        <v>51</v>
      </c>
      <c r="AK2596" t="s">
        <v>79</v>
      </c>
    </row>
    <row r="2597" spans="1:37" x14ac:dyDescent="0.2">
      <c r="A2597">
        <v>58070</v>
      </c>
      <c r="B2597" t="s">
        <v>37</v>
      </c>
      <c r="C2597" t="s">
        <v>38</v>
      </c>
      <c r="D2597" t="s">
        <v>39</v>
      </c>
      <c r="E2597" t="s">
        <v>40</v>
      </c>
      <c r="G2597" s="4">
        <v>43945.88349537037</v>
      </c>
      <c r="H2597" s="4">
        <v>43945.900960648148</v>
      </c>
      <c r="I2597" t="s">
        <v>2115</v>
      </c>
      <c r="J2597" s="5">
        <v>1509.000000000000000000000000000000000002</v>
      </c>
      <c r="K2597" t="s">
        <v>38</v>
      </c>
      <c r="M2597">
        <v>58071</v>
      </c>
      <c r="N2597" t="s">
        <v>73</v>
      </c>
      <c r="O2597" t="s">
        <v>74</v>
      </c>
      <c r="P2597" t="s">
        <v>38</v>
      </c>
      <c r="Q2597" t="s">
        <v>78</v>
      </c>
      <c r="R2597">
        <v>5</v>
      </c>
      <c r="S2597" t="s">
        <v>45</v>
      </c>
      <c r="T2597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7">
        <v>58072</v>
      </c>
      <c r="V2597" t="s">
        <v>38</v>
      </c>
      <c r="W2597" t="s">
        <v>78</v>
      </c>
      <c r="X2597">
        <v>5</v>
      </c>
      <c r="Y2597">
        <v>0</v>
      </c>
      <c r="Z2597" t="s">
        <v>46</v>
      </c>
      <c r="AA2597">
        <v>58075</v>
      </c>
      <c r="AB2597" t="s">
        <v>80</v>
      </c>
      <c r="AC2597" t="s">
        <v>56</v>
      </c>
      <c r="AD2597" t="s">
        <v>38</v>
      </c>
      <c r="AE2597" t="s">
        <v>49</v>
      </c>
      <c r="AF2597" t="s">
        <v>50</v>
      </c>
      <c r="AG2597">
        <v>0</v>
      </c>
      <c r="AH2597">
        <v>0</v>
      </c>
      <c r="AI2597" t="s">
        <v>51</v>
      </c>
      <c r="AJ2597" t="s">
        <v>51</v>
      </c>
      <c r="AK2597" t="s">
        <v>51</v>
      </c>
    </row>
    <row r="2598" spans="1:37" x14ac:dyDescent="0.2">
      <c r="A2598">
        <v>58070</v>
      </c>
      <c r="B2598" t="s">
        <v>37</v>
      </c>
      <c r="C2598" t="s">
        <v>38</v>
      </c>
      <c r="D2598" t="s">
        <v>39</v>
      </c>
      <c r="E2598" t="s">
        <v>40</v>
      </c>
      <c r="G2598" s="4">
        <v>43945.88349537037</v>
      </c>
      <c r="H2598" s="4">
        <v>43945.900960648148</v>
      </c>
      <c r="I2598" t="s">
        <v>2115</v>
      </c>
      <c r="J2598" s="5">
        <v>1509.000000000000000000000000000000000002</v>
      </c>
      <c r="K2598" t="s">
        <v>38</v>
      </c>
      <c r="M2598">
        <v>58071</v>
      </c>
      <c r="N2598" t="s">
        <v>73</v>
      </c>
      <c r="O2598" t="s">
        <v>74</v>
      </c>
      <c r="P2598" t="s">
        <v>38</v>
      </c>
      <c r="Q2598" t="s">
        <v>78</v>
      </c>
      <c r="R2598">
        <v>5</v>
      </c>
      <c r="S2598" t="s">
        <v>45</v>
      </c>
      <c r="T2598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8">
        <v>58072</v>
      </c>
      <c r="V2598" t="s">
        <v>38</v>
      </c>
      <c r="W2598" t="s">
        <v>78</v>
      </c>
      <c r="X2598">
        <v>5</v>
      </c>
      <c r="Y2598">
        <v>0</v>
      </c>
      <c r="Z2598" t="s">
        <v>46</v>
      </c>
      <c r="AA2598">
        <v>58074</v>
      </c>
      <c r="AB2598" t="s">
        <v>1858</v>
      </c>
      <c r="AC2598" t="s">
        <v>68</v>
      </c>
      <c r="AD2598" t="s">
        <v>38</v>
      </c>
      <c r="AE2598" t="s">
        <v>49</v>
      </c>
      <c r="AF2598" t="s">
        <v>50</v>
      </c>
      <c r="AG2598">
        <v>0</v>
      </c>
      <c r="AH2598">
        <v>0</v>
      </c>
      <c r="AI2598" t="s">
        <v>51</v>
      </c>
      <c r="AJ2598" t="s">
        <v>51</v>
      </c>
      <c r="AK2598" t="s">
        <v>51</v>
      </c>
    </row>
    <row r="2599" spans="1:37" x14ac:dyDescent="0.2">
      <c r="A2599">
        <v>58070</v>
      </c>
      <c r="B2599" t="s">
        <v>37</v>
      </c>
      <c r="C2599" t="s">
        <v>38</v>
      </c>
      <c r="D2599" t="s">
        <v>39</v>
      </c>
      <c r="E2599" t="s">
        <v>40</v>
      </c>
      <c r="G2599" s="4">
        <v>43945.88349537037</v>
      </c>
      <c r="H2599" s="4">
        <v>43945.900960648148</v>
      </c>
      <c r="I2599" t="s">
        <v>2115</v>
      </c>
      <c r="J2599" s="5">
        <v>1509.000000000000000000000000000000000002</v>
      </c>
      <c r="K2599" t="s">
        <v>38</v>
      </c>
      <c r="M2599">
        <v>58071</v>
      </c>
      <c r="N2599" t="s">
        <v>73</v>
      </c>
      <c r="O2599" t="s">
        <v>74</v>
      </c>
      <c r="P2599" t="s">
        <v>38</v>
      </c>
      <c r="Q2599" t="s">
        <v>78</v>
      </c>
      <c r="R2599">
        <v>5</v>
      </c>
      <c r="S2599" t="s">
        <v>45</v>
      </c>
      <c r="T2599" t="str" s="2">
        <f>=HYPERLINK("http://demo.enginatics.com:80/ecc/user/applications/log/58070.log","http://demo.enginatics.com:80/ecc/user/applications/log/58070.log")</f>
        <v>"http://demo.enginatics.com:80/ecc/user/applications/log/58070.log")</v>
      </c>
      <c r="U2599">
        <v>58072</v>
      </c>
      <c r="V2599" t="s">
        <v>38</v>
      </c>
      <c r="W2599" t="s">
        <v>78</v>
      </c>
      <c r="X2599">
        <v>5</v>
      </c>
      <c r="Y2599">
        <v>0</v>
      </c>
      <c r="Z2599" t="s">
        <v>46</v>
      </c>
      <c r="AA2599">
        <v>58073</v>
      </c>
      <c r="AB2599" t="s">
        <v>82</v>
      </c>
      <c r="AC2599" t="s">
        <v>68</v>
      </c>
      <c r="AD2599" t="s">
        <v>38</v>
      </c>
      <c r="AE2599" t="s">
        <v>49</v>
      </c>
      <c r="AF2599" t="s">
        <v>50</v>
      </c>
      <c r="AG2599">
        <v>.9999999999999999999999999999999999999996</v>
      </c>
      <c r="AH2599">
        <v>0</v>
      </c>
      <c r="AI2599" t="s">
        <v>51</v>
      </c>
      <c r="AJ2599" t="s">
        <v>51</v>
      </c>
      <c r="AK2599" t="s">
        <v>51</v>
      </c>
    </row>
    <row r="2600" spans="1:37" x14ac:dyDescent="0.2">
      <c r="A2600">
        <v>58062</v>
      </c>
      <c r="B2600" t="s">
        <v>37</v>
      </c>
      <c r="C2600" t="s">
        <v>38</v>
      </c>
      <c r="D2600" t="s">
        <v>106</v>
      </c>
      <c r="E2600" t="s">
        <v>40</v>
      </c>
      <c r="G2600" s="4">
        <v>43945.831759259259</v>
      </c>
      <c r="H2600" s="4">
        <v>43945.831770833333</v>
      </c>
      <c r="I2600" t="s">
        <v>50</v>
      </c>
      <c r="J2600" s="5">
        <v>.9999999999999999999999999999999999999996</v>
      </c>
      <c r="K2600" t="s">
        <v>38</v>
      </c>
      <c r="M2600">
        <v>58069</v>
      </c>
      <c r="N2600" t="s">
        <v>107</v>
      </c>
      <c r="O2600" t="s">
        <v>108</v>
      </c>
      <c r="P2600" t="s">
        <v>38</v>
      </c>
      <c r="Q2600" t="s">
        <v>50</v>
      </c>
      <c r="R2600">
        <v>0</v>
      </c>
      <c r="S2600" t="s">
        <v>109</v>
      </c>
      <c r="T2600" t="str" s="2">
        <f>=HYPERLINK("http://demo.enginatics.com:80/ecc/user/applications/log/58062.log","http://demo.enginatics.com:80/ecc/user/applications/log/58062.log")</f>
        <v>"http://demo.enginatics.com:80/ecc/user/applications/log/58062.log")</v>
      </c>
    </row>
    <row r="2601" spans="1:37" x14ac:dyDescent="0.2">
      <c r="A2601">
        <v>58062</v>
      </c>
      <c r="B2601" t="s">
        <v>37</v>
      </c>
      <c r="C2601" t="s">
        <v>38</v>
      </c>
      <c r="D2601" t="s">
        <v>106</v>
      </c>
      <c r="E2601" t="s">
        <v>40</v>
      </c>
      <c r="G2601" s="4">
        <v>43945.831759259259</v>
      </c>
      <c r="H2601" s="4">
        <v>43945.831770833333</v>
      </c>
      <c r="I2601" t="s">
        <v>50</v>
      </c>
      <c r="J2601" s="5">
        <v>.9999999999999999999999999999999999999996</v>
      </c>
      <c r="K2601" t="s">
        <v>38</v>
      </c>
      <c r="M2601">
        <v>58068</v>
      </c>
      <c r="N2601" t="s">
        <v>110</v>
      </c>
      <c r="O2601" t="s">
        <v>111</v>
      </c>
      <c r="P2601" t="s">
        <v>38</v>
      </c>
      <c r="Q2601" t="s">
        <v>50</v>
      </c>
      <c r="R2601">
        <v>0</v>
      </c>
      <c r="S2601" t="s">
        <v>112</v>
      </c>
      <c r="T2601" t="str" s="2">
        <f>=HYPERLINK("http://demo.enginatics.com:80/ecc/user/applications/log/58062.log","http://demo.enginatics.com:80/ecc/user/applications/log/58062.log")</f>
        <v>"http://demo.enginatics.com:80/ecc/user/applications/log/58062.log")</v>
      </c>
    </row>
    <row r="2602" spans="1:37" x14ac:dyDescent="0.2">
      <c r="A2602">
        <v>58062</v>
      </c>
      <c r="B2602" t="s">
        <v>37</v>
      </c>
      <c r="C2602" t="s">
        <v>38</v>
      </c>
      <c r="D2602" t="s">
        <v>106</v>
      </c>
      <c r="E2602" t="s">
        <v>40</v>
      </c>
      <c r="G2602" s="4">
        <v>43945.831759259259</v>
      </c>
      <c r="H2602" s="4">
        <v>43945.831770833333</v>
      </c>
      <c r="I2602" t="s">
        <v>50</v>
      </c>
      <c r="J2602" s="5">
        <v>.9999999999999999999999999999999999999996</v>
      </c>
      <c r="K2602" t="s">
        <v>38</v>
      </c>
      <c r="M2602">
        <v>58067</v>
      </c>
      <c r="N2602" t="s">
        <v>113</v>
      </c>
      <c r="O2602" t="s">
        <v>106</v>
      </c>
      <c r="P2602" t="s">
        <v>38</v>
      </c>
      <c r="Q2602" t="s">
        <v>50</v>
      </c>
      <c r="R2602">
        <v>0</v>
      </c>
      <c r="S2602" t="s">
        <v>114</v>
      </c>
      <c r="T2602" t="str" s="2">
        <f>=HYPERLINK("http://demo.enginatics.com:80/ecc/user/applications/log/58062.log","http://demo.enginatics.com:80/ecc/user/applications/log/58062.log")</f>
        <v>"http://demo.enginatics.com:80/ecc/user/applications/log/58062.log")</v>
      </c>
    </row>
    <row r="2603" spans="1:37" x14ac:dyDescent="0.2">
      <c r="A2603">
        <v>58062</v>
      </c>
      <c r="B2603" t="s">
        <v>37</v>
      </c>
      <c r="C2603" t="s">
        <v>38</v>
      </c>
      <c r="D2603" t="s">
        <v>106</v>
      </c>
      <c r="E2603" t="s">
        <v>40</v>
      </c>
      <c r="G2603" s="4">
        <v>43945.831759259259</v>
      </c>
      <c r="H2603" s="4">
        <v>43945.831770833333</v>
      </c>
      <c r="I2603" t="s">
        <v>50</v>
      </c>
      <c r="J2603" s="5">
        <v>.9999999999999999999999999999999999999996</v>
      </c>
      <c r="K2603" t="s">
        <v>38</v>
      </c>
      <c r="M2603">
        <v>58063</v>
      </c>
      <c r="N2603" t="s">
        <v>115</v>
      </c>
      <c r="O2603" t="s">
        <v>116</v>
      </c>
      <c r="P2603" t="s">
        <v>38</v>
      </c>
      <c r="Q2603" t="s">
        <v>50</v>
      </c>
      <c r="R2603">
        <v>0</v>
      </c>
      <c r="S2603" t="s">
        <v>45</v>
      </c>
      <c r="T2603" t="str" s="2">
        <f>=HYPERLINK("http://demo.enginatics.com:80/ecc/user/applications/log/58062.log","http://demo.enginatics.com:80/ecc/user/applications/log/58062.log")</f>
        <v>"http://demo.enginatics.com:80/ecc/user/applications/log/58062.log")</v>
      </c>
      <c r="U2603">
        <v>58064</v>
      </c>
      <c r="V2603" t="s">
        <v>38</v>
      </c>
      <c r="W2603" t="s">
        <v>50</v>
      </c>
      <c r="X2603">
        <v>0</v>
      </c>
      <c r="Y2603">
        <v>0</v>
      </c>
      <c r="Z2603" t="s">
        <v>46</v>
      </c>
      <c r="AA2603">
        <v>58066</v>
      </c>
      <c r="AB2603" t="s">
        <v>1859</v>
      </c>
      <c r="AC2603" t="s">
        <v>68</v>
      </c>
      <c r="AD2603" t="s">
        <v>38</v>
      </c>
      <c r="AE2603" t="s">
        <v>49</v>
      </c>
      <c r="AF2603" t="s">
        <v>50</v>
      </c>
      <c r="AG2603">
        <v>0</v>
      </c>
      <c r="AH2603">
        <v>0</v>
      </c>
      <c r="AI2603" t="s">
        <v>51</v>
      </c>
      <c r="AJ2603" t="s">
        <v>51</v>
      </c>
      <c r="AK2603" t="s">
        <v>51</v>
      </c>
    </row>
    <row r="2604" spans="1:37" x14ac:dyDescent="0.2">
      <c r="A2604">
        <v>58062</v>
      </c>
      <c r="B2604" t="s">
        <v>37</v>
      </c>
      <c r="C2604" t="s">
        <v>38</v>
      </c>
      <c r="D2604" t="s">
        <v>106</v>
      </c>
      <c r="E2604" t="s">
        <v>40</v>
      </c>
      <c r="G2604" s="4">
        <v>43945.831759259259</v>
      </c>
      <c r="H2604" s="4">
        <v>43945.831770833333</v>
      </c>
      <c r="I2604" t="s">
        <v>50</v>
      </c>
      <c r="J2604" s="5">
        <v>.9999999999999999999999999999999999999996</v>
      </c>
      <c r="K2604" t="s">
        <v>38</v>
      </c>
      <c r="M2604">
        <v>58063</v>
      </c>
      <c r="N2604" t="s">
        <v>115</v>
      </c>
      <c r="O2604" t="s">
        <v>116</v>
      </c>
      <c r="P2604" t="s">
        <v>38</v>
      </c>
      <c r="Q2604" t="s">
        <v>50</v>
      </c>
      <c r="R2604">
        <v>0</v>
      </c>
      <c r="S2604" t="s">
        <v>45</v>
      </c>
      <c r="T2604" t="str" s="2">
        <f>=HYPERLINK("http://demo.enginatics.com:80/ecc/user/applications/log/58062.log","http://demo.enginatics.com:80/ecc/user/applications/log/58062.log")</f>
        <v>"http://demo.enginatics.com:80/ecc/user/applications/log/58062.log")</v>
      </c>
      <c r="U2604">
        <v>58064</v>
      </c>
      <c r="V2604" t="s">
        <v>38</v>
      </c>
      <c r="W2604" t="s">
        <v>50</v>
      </c>
      <c r="X2604">
        <v>0</v>
      </c>
      <c r="Y2604">
        <v>0</v>
      </c>
      <c r="Z2604" t="s">
        <v>46</v>
      </c>
      <c r="AA2604">
        <v>58065</v>
      </c>
      <c r="AB2604" t="s">
        <v>1860</v>
      </c>
      <c r="AC2604" t="s">
        <v>56</v>
      </c>
      <c r="AD2604" t="s">
        <v>38</v>
      </c>
      <c r="AE2604" t="s">
        <v>49</v>
      </c>
      <c r="AF2604" t="s">
        <v>50</v>
      </c>
      <c r="AG2604">
        <v>0</v>
      </c>
      <c r="AH2604">
        <v>0</v>
      </c>
      <c r="AI2604" t="s">
        <v>51</v>
      </c>
      <c r="AJ2604" t="s">
        <v>51</v>
      </c>
      <c r="AK2604" t="s">
        <v>51</v>
      </c>
    </row>
    <row r="2605" spans="1:37" x14ac:dyDescent="0.2">
      <c r="A2605">
        <v>58058</v>
      </c>
      <c r="B2605" t="s">
        <v>37</v>
      </c>
      <c r="C2605" t="s">
        <v>38</v>
      </c>
      <c r="D2605" t="s">
        <v>119</v>
      </c>
      <c r="E2605" t="s">
        <v>40</v>
      </c>
      <c r="G2605" s="4">
        <v>43945.786446759259</v>
      </c>
      <c r="H2605" s="4">
        <v>43945.786446759259</v>
      </c>
      <c r="I2605" t="s">
        <v>50</v>
      </c>
      <c r="J2605" s="5">
        <v>0</v>
      </c>
      <c r="K2605" t="s">
        <v>38</v>
      </c>
      <c r="M2605">
        <v>58059</v>
      </c>
      <c r="N2605" t="s">
        <v>120</v>
      </c>
      <c r="O2605" t="s">
        <v>121</v>
      </c>
      <c r="P2605" t="s">
        <v>38</v>
      </c>
      <c r="Q2605" t="s">
        <v>50</v>
      </c>
      <c r="R2605">
        <v>0</v>
      </c>
      <c r="S2605" t="s">
        <v>45</v>
      </c>
      <c r="T2605" t="str" s="2">
        <f>=HYPERLINK("http://demo.enginatics.com:80/ecc/user/applications/log/58058.log","http://demo.enginatics.com:80/ecc/user/applications/log/58058.log")</f>
        <v>"http://demo.enginatics.com:80/ecc/user/applications/log/58058.log")</v>
      </c>
      <c r="U2605">
        <v>58060</v>
      </c>
      <c r="V2605" t="s">
        <v>38</v>
      </c>
      <c r="W2605" t="s">
        <v>50</v>
      </c>
      <c r="X2605">
        <v>0</v>
      </c>
      <c r="Y2605">
        <v>0</v>
      </c>
      <c r="Z2605" t="s">
        <v>46</v>
      </c>
      <c r="AA2605">
        <v>58061</v>
      </c>
      <c r="AB2605" t="s">
        <v>122</v>
      </c>
      <c r="AC2605" t="s">
        <v>68</v>
      </c>
      <c r="AD2605" t="s">
        <v>38</v>
      </c>
      <c r="AE2605" t="s">
        <v>49</v>
      </c>
      <c r="AF2605" t="s">
        <v>50</v>
      </c>
      <c r="AG2605">
        <v>0</v>
      </c>
      <c r="AH2605">
        <v>0</v>
      </c>
      <c r="AI2605" t="s">
        <v>51</v>
      </c>
      <c r="AJ2605" t="s">
        <v>51</v>
      </c>
      <c r="AK2605" t="s">
        <v>51</v>
      </c>
    </row>
    <row r="2606" spans="1:37" x14ac:dyDescent="0.2">
      <c r="A2606">
        <v>58051</v>
      </c>
      <c r="B2606" t="s">
        <v>37</v>
      </c>
      <c r="C2606" t="s">
        <v>38</v>
      </c>
      <c r="D2606" t="s">
        <v>123</v>
      </c>
      <c r="E2606" t="s">
        <v>40</v>
      </c>
      <c r="G2606" s="4">
        <v>43945.782997685185</v>
      </c>
      <c r="H2606" s="4">
        <v>43945.783009259259</v>
      </c>
      <c r="I2606" t="s">
        <v>50</v>
      </c>
      <c r="J2606" s="5">
        <v>.9999999999999999999999999999999999999996</v>
      </c>
      <c r="K2606" t="s">
        <v>38</v>
      </c>
      <c r="M2606">
        <v>58055</v>
      </c>
      <c r="N2606" t="s">
        <v>124</v>
      </c>
      <c r="O2606" t="s">
        <v>125</v>
      </c>
      <c r="P2606" t="s">
        <v>38</v>
      </c>
      <c r="Q2606" t="s">
        <v>50</v>
      </c>
      <c r="R2606">
        <v>0</v>
      </c>
      <c r="S2606" t="s">
        <v>45</v>
      </c>
      <c r="T2606" t="str" s="2">
        <f>=HYPERLINK("http://demo.enginatics.com:80/ecc/user/applications/log/58051.log","http://demo.enginatics.com:80/ecc/user/applications/log/58051.log")</f>
        <v>"http://demo.enginatics.com:80/ecc/user/applications/log/58051.log")</v>
      </c>
      <c r="U2606">
        <v>58056</v>
      </c>
      <c r="V2606" t="s">
        <v>38</v>
      </c>
      <c r="W2606" t="s">
        <v>50</v>
      </c>
      <c r="X2606">
        <v>0</v>
      </c>
      <c r="Y2606">
        <v>0</v>
      </c>
      <c r="Z2606" t="s">
        <v>46</v>
      </c>
      <c r="AA2606">
        <v>58057</v>
      </c>
      <c r="AB2606" t="s">
        <v>2117</v>
      </c>
      <c r="AC2606" t="s">
        <v>68</v>
      </c>
      <c r="AD2606" t="s">
        <v>38</v>
      </c>
      <c r="AE2606" t="s">
        <v>49</v>
      </c>
      <c r="AF2606" t="s">
        <v>50</v>
      </c>
      <c r="AG2606">
        <v>0</v>
      </c>
      <c r="AH2606">
        <v>0</v>
      </c>
      <c r="AI2606" t="s">
        <v>51</v>
      </c>
      <c r="AJ2606" t="s">
        <v>51</v>
      </c>
      <c r="AK2606" t="s">
        <v>51</v>
      </c>
    </row>
    <row r="2607" spans="1:37" x14ac:dyDescent="0.2">
      <c r="A2607">
        <v>58051</v>
      </c>
      <c r="B2607" t="s">
        <v>37</v>
      </c>
      <c r="C2607" t="s">
        <v>38</v>
      </c>
      <c r="D2607" t="s">
        <v>123</v>
      </c>
      <c r="E2607" t="s">
        <v>40</v>
      </c>
      <c r="G2607" s="4">
        <v>43945.782997685185</v>
      </c>
      <c r="H2607" s="4">
        <v>43945.783009259259</v>
      </c>
      <c r="I2607" t="s">
        <v>50</v>
      </c>
      <c r="J2607" s="5">
        <v>.9999999999999999999999999999999999999996</v>
      </c>
      <c r="K2607" t="s">
        <v>38</v>
      </c>
      <c r="M2607">
        <v>58052</v>
      </c>
      <c r="N2607" t="s">
        <v>127</v>
      </c>
      <c r="O2607" t="s">
        <v>128</v>
      </c>
      <c r="P2607" t="s">
        <v>38</v>
      </c>
      <c r="Q2607" t="s">
        <v>50</v>
      </c>
      <c r="R2607">
        <v>.9999999999999999999999999999999999999996</v>
      </c>
      <c r="S2607" t="s">
        <v>45</v>
      </c>
      <c r="T2607" t="str" s="2">
        <f>=HYPERLINK("http://demo.enginatics.com:80/ecc/user/applications/log/58051.log","http://demo.enginatics.com:80/ecc/user/applications/log/58051.log")</f>
        <v>"http://demo.enginatics.com:80/ecc/user/applications/log/58051.log")</v>
      </c>
      <c r="U2607">
        <v>58053</v>
      </c>
      <c r="V2607" t="s">
        <v>38</v>
      </c>
      <c r="W2607" t="s">
        <v>50</v>
      </c>
      <c r="X2607">
        <v>.9999999999999999999999999999999999999996</v>
      </c>
      <c r="Y2607">
        <v>0</v>
      </c>
      <c r="Z2607" t="s">
        <v>46</v>
      </c>
      <c r="AA2607">
        <v>58054</v>
      </c>
      <c r="AB2607" t="s">
        <v>2118</v>
      </c>
      <c r="AC2607" t="s">
        <v>68</v>
      </c>
      <c r="AD2607" t="s">
        <v>38</v>
      </c>
      <c r="AE2607" t="s">
        <v>49</v>
      </c>
      <c r="AF2607" t="s">
        <v>50</v>
      </c>
      <c r="AG2607">
        <v>.9999999999999999999999999999999999999996</v>
      </c>
      <c r="AH2607">
        <v>0</v>
      </c>
      <c r="AI2607" t="s">
        <v>51</v>
      </c>
      <c r="AJ2607" t="s">
        <v>51</v>
      </c>
      <c r="AK2607" t="s">
        <v>51</v>
      </c>
    </row>
    <row r="2608" spans="1:37" x14ac:dyDescent="0.2">
      <c r="A2608">
        <v>58012</v>
      </c>
      <c r="B2608" t="s">
        <v>37</v>
      </c>
      <c r="C2608" t="s">
        <v>38</v>
      </c>
      <c r="D2608" t="s">
        <v>130</v>
      </c>
      <c r="E2608" t="s">
        <v>40</v>
      </c>
      <c r="G2608" s="4">
        <v>43945.698344907407</v>
      </c>
      <c r="H2608" s="4">
        <v>43945.698425925926</v>
      </c>
      <c r="I2608" t="s">
        <v>247</v>
      </c>
      <c r="J2608" s="5">
        <v>7</v>
      </c>
      <c r="K2608" t="s">
        <v>38</v>
      </c>
      <c r="M2608">
        <v>58039</v>
      </c>
      <c r="N2608" t="s">
        <v>131</v>
      </c>
      <c r="O2608" t="s">
        <v>132</v>
      </c>
      <c r="P2608" t="s">
        <v>38</v>
      </c>
      <c r="Q2608" t="s">
        <v>50</v>
      </c>
      <c r="R2608">
        <v>.9999999999999999999999999999999999999996</v>
      </c>
      <c r="S2608" t="s">
        <v>45</v>
      </c>
      <c r="T2608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08">
        <v>58040</v>
      </c>
      <c r="V2608" t="s">
        <v>38</v>
      </c>
      <c r="W2608" t="s">
        <v>50</v>
      </c>
      <c r="X2608">
        <v>.9999999999999999999999999999999999999996</v>
      </c>
      <c r="Y2608">
        <v>0</v>
      </c>
      <c r="Z2608" t="s">
        <v>46</v>
      </c>
      <c r="AA2608">
        <v>58050</v>
      </c>
      <c r="AB2608" t="s">
        <v>1863</v>
      </c>
      <c r="AC2608" t="s">
        <v>48</v>
      </c>
      <c r="AD2608" t="s">
        <v>38</v>
      </c>
      <c r="AE2608" t="s">
        <v>49</v>
      </c>
      <c r="AF2608" t="s">
        <v>50</v>
      </c>
      <c r="AG2608">
        <v>0</v>
      </c>
      <c r="AH2608">
        <v>0</v>
      </c>
      <c r="AI2608" t="s">
        <v>51</v>
      </c>
      <c r="AJ2608" t="s">
        <v>51</v>
      </c>
      <c r="AK2608" t="s">
        <v>51</v>
      </c>
    </row>
    <row r="2609" spans="1:37" x14ac:dyDescent="0.2">
      <c r="A2609">
        <v>58012</v>
      </c>
      <c r="B2609" t="s">
        <v>37</v>
      </c>
      <c r="C2609" t="s">
        <v>38</v>
      </c>
      <c r="D2609" t="s">
        <v>130</v>
      </c>
      <c r="E2609" t="s">
        <v>40</v>
      </c>
      <c r="G2609" s="4">
        <v>43945.698344907407</v>
      </c>
      <c r="H2609" s="4">
        <v>43945.698425925926</v>
      </c>
      <c r="I2609" t="s">
        <v>247</v>
      </c>
      <c r="J2609" s="5">
        <v>7</v>
      </c>
      <c r="K2609" t="s">
        <v>38</v>
      </c>
      <c r="M2609">
        <v>58039</v>
      </c>
      <c r="N2609" t="s">
        <v>131</v>
      </c>
      <c r="O2609" t="s">
        <v>132</v>
      </c>
      <c r="P2609" t="s">
        <v>38</v>
      </c>
      <c r="Q2609" t="s">
        <v>50</v>
      </c>
      <c r="R2609">
        <v>.9999999999999999999999999999999999999996</v>
      </c>
      <c r="S2609" t="s">
        <v>45</v>
      </c>
      <c r="T2609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09">
        <v>58040</v>
      </c>
      <c r="V2609" t="s">
        <v>38</v>
      </c>
      <c r="W2609" t="s">
        <v>50</v>
      </c>
      <c r="X2609">
        <v>.9999999999999999999999999999999999999996</v>
      </c>
      <c r="Y2609">
        <v>0</v>
      </c>
      <c r="Z2609" t="s">
        <v>46</v>
      </c>
      <c r="AA2609">
        <v>58049</v>
      </c>
      <c r="AB2609" t="s">
        <v>1864</v>
      </c>
      <c r="AC2609" t="s">
        <v>48</v>
      </c>
      <c r="AD2609" t="s">
        <v>38</v>
      </c>
      <c r="AE2609" t="s">
        <v>49</v>
      </c>
      <c r="AF2609" t="s">
        <v>50</v>
      </c>
      <c r="AG2609">
        <v>0</v>
      </c>
      <c r="AH2609">
        <v>0</v>
      </c>
      <c r="AI2609" t="s">
        <v>51</v>
      </c>
      <c r="AJ2609" t="s">
        <v>51</v>
      </c>
      <c r="AK2609" t="s">
        <v>51</v>
      </c>
    </row>
    <row r="2610" spans="1:37" x14ac:dyDescent="0.2">
      <c r="A2610">
        <v>58012</v>
      </c>
      <c r="B2610" t="s">
        <v>37</v>
      </c>
      <c r="C2610" t="s">
        <v>38</v>
      </c>
      <c r="D2610" t="s">
        <v>130</v>
      </c>
      <c r="E2610" t="s">
        <v>40</v>
      </c>
      <c r="G2610" s="4">
        <v>43945.698344907407</v>
      </c>
      <c r="H2610" s="4">
        <v>43945.698425925926</v>
      </c>
      <c r="I2610" t="s">
        <v>247</v>
      </c>
      <c r="J2610" s="5">
        <v>7</v>
      </c>
      <c r="K2610" t="s">
        <v>38</v>
      </c>
      <c r="M2610">
        <v>58039</v>
      </c>
      <c r="N2610" t="s">
        <v>131</v>
      </c>
      <c r="O2610" t="s">
        <v>132</v>
      </c>
      <c r="P2610" t="s">
        <v>38</v>
      </c>
      <c r="Q2610" t="s">
        <v>50</v>
      </c>
      <c r="R2610">
        <v>.9999999999999999999999999999999999999996</v>
      </c>
      <c r="S2610" t="s">
        <v>45</v>
      </c>
      <c r="T2610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0">
        <v>58040</v>
      </c>
      <c r="V2610" t="s">
        <v>38</v>
      </c>
      <c r="W2610" t="s">
        <v>50</v>
      </c>
      <c r="X2610">
        <v>.9999999999999999999999999999999999999996</v>
      </c>
      <c r="Y2610">
        <v>0</v>
      </c>
      <c r="Z2610" t="s">
        <v>46</v>
      </c>
      <c r="AA2610">
        <v>58048</v>
      </c>
      <c r="AB2610" t="s">
        <v>1865</v>
      </c>
      <c r="AC2610" t="s">
        <v>48</v>
      </c>
      <c r="AD2610" t="s">
        <v>38</v>
      </c>
      <c r="AE2610" t="s">
        <v>49</v>
      </c>
      <c r="AF2610" t="s">
        <v>50</v>
      </c>
      <c r="AG2610">
        <v>0</v>
      </c>
      <c r="AH2610">
        <v>0</v>
      </c>
      <c r="AI2610" t="s">
        <v>51</v>
      </c>
      <c r="AJ2610" t="s">
        <v>51</v>
      </c>
      <c r="AK2610" t="s">
        <v>51</v>
      </c>
    </row>
    <row r="2611" spans="1:37" x14ac:dyDescent="0.2">
      <c r="A2611">
        <v>58012</v>
      </c>
      <c r="B2611" t="s">
        <v>37</v>
      </c>
      <c r="C2611" t="s">
        <v>38</v>
      </c>
      <c r="D2611" t="s">
        <v>130</v>
      </c>
      <c r="E2611" t="s">
        <v>40</v>
      </c>
      <c r="G2611" s="4">
        <v>43945.698344907407</v>
      </c>
      <c r="H2611" s="4">
        <v>43945.698425925926</v>
      </c>
      <c r="I2611" t="s">
        <v>247</v>
      </c>
      <c r="J2611" s="5">
        <v>7</v>
      </c>
      <c r="K2611" t="s">
        <v>38</v>
      </c>
      <c r="M2611">
        <v>58039</v>
      </c>
      <c r="N2611" t="s">
        <v>131</v>
      </c>
      <c r="O2611" t="s">
        <v>132</v>
      </c>
      <c r="P2611" t="s">
        <v>38</v>
      </c>
      <c r="Q2611" t="s">
        <v>50</v>
      </c>
      <c r="R2611">
        <v>.9999999999999999999999999999999999999996</v>
      </c>
      <c r="S2611" t="s">
        <v>45</v>
      </c>
      <c r="T2611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1">
        <v>58040</v>
      </c>
      <c r="V2611" t="s">
        <v>38</v>
      </c>
      <c r="W2611" t="s">
        <v>50</v>
      </c>
      <c r="X2611">
        <v>.9999999999999999999999999999999999999996</v>
      </c>
      <c r="Y2611">
        <v>0</v>
      </c>
      <c r="Z2611" t="s">
        <v>46</v>
      </c>
      <c r="AA2611">
        <v>58047</v>
      </c>
      <c r="AB2611" t="s">
        <v>1866</v>
      </c>
      <c r="AC2611" t="s">
        <v>48</v>
      </c>
      <c r="AD2611" t="s">
        <v>38</v>
      </c>
      <c r="AE2611" t="s">
        <v>49</v>
      </c>
      <c r="AF2611" t="s">
        <v>50</v>
      </c>
      <c r="AG2611">
        <v>.9999999999999999999999999999999999999996</v>
      </c>
      <c r="AH2611">
        <v>0</v>
      </c>
      <c r="AI2611" t="s">
        <v>51</v>
      </c>
      <c r="AJ2611" t="s">
        <v>51</v>
      </c>
      <c r="AK2611" t="s">
        <v>51</v>
      </c>
    </row>
    <row r="2612" spans="1:37" x14ac:dyDescent="0.2">
      <c r="A2612">
        <v>58012</v>
      </c>
      <c r="B2612" t="s">
        <v>37</v>
      </c>
      <c r="C2612" t="s">
        <v>38</v>
      </c>
      <c r="D2612" t="s">
        <v>130</v>
      </c>
      <c r="E2612" t="s">
        <v>40</v>
      </c>
      <c r="G2612" s="4">
        <v>43945.698344907407</v>
      </c>
      <c r="H2612" s="4">
        <v>43945.698425925926</v>
      </c>
      <c r="I2612" t="s">
        <v>247</v>
      </c>
      <c r="J2612" s="5">
        <v>7</v>
      </c>
      <c r="K2612" t="s">
        <v>38</v>
      </c>
      <c r="M2612">
        <v>58039</v>
      </c>
      <c r="N2612" t="s">
        <v>131</v>
      </c>
      <c r="O2612" t="s">
        <v>132</v>
      </c>
      <c r="P2612" t="s">
        <v>38</v>
      </c>
      <c r="Q2612" t="s">
        <v>50</v>
      </c>
      <c r="R2612">
        <v>.9999999999999999999999999999999999999996</v>
      </c>
      <c r="S2612" t="s">
        <v>45</v>
      </c>
      <c r="T2612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2">
        <v>58040</v>
      </c>
      <c r="V2612" t="s">
        <v>38</v>
      </c>
      <c r="W2612" t="s">
        <v>50</v>
      </c>
      <c r="X2612">
        <v>.9999999999999999999999999999999999999996</v>
      </c>
      <c r="Y2612">
        <v>0</v>
      </c>
      <c r="Z2612" t="s">
        <v>46</v>
      </c>
      <c r="AA2612">
        <v>58046</v>
      </c>
      <c r="AB2612" t="s">
        <v>1867</v>
      </c>
      <c r="AC2612" t="s">
        <v>48</v>
      </c>
      <c r="AD2612" t="s">
        <v>38</v>
      </c>
      <c r="AE2612" t="s">
        <v>49</v>
      </c>
      <c r="AF2612" t="s">
        <v>50</v>
      </c>
      <c r="AG2612">
        <v>0</v>
      </c>
      <c r="AH2612">
        <v>0</v>
      </c>
      <c r="AI2612" t="s">
        <v>51</v>
      </c>
      <c r="AJ2612" t="s">
        <v>51</v>
      </c>
      <c r="AK2612" t="s">
        <v>51</v>
      </c>
    </row>
    <row r="2613" spans="1:37" x14ac:dyDescent="0.2">
      <c r="A2613">
        <v>58012</v>
      </c>
      <c r="B2613" t="s">
        <v>37</v>
      </c>
      <c r="C2613" t="s">
        <v>38</v>
      </c>
      <c r="D2613" t="s">
        <v>130</v>
      </c>
      <c r="E2613" t="s">
        <v>40</v>
      </c>
      <c r="G2613" s="4">
        <v>43945.698344907407</v>
      </c>
      <c r="H2613" s="4">
        <v>43945.698425925926</v>
      </c>
      <c r="I2613" t="s">
        <v>247</v>
      </c>
      <c r="J2613" s="5">
        <v>7</v>
      </c>
      <c r="K2613" t="s">
        <v>38</v>
      </c>
      <c r="M2613">
        <v>58039</v>
      </c>
      <c r="N2613" t="s">
        <v>131</v>
      </c>
      <c r="O2613" t="s">
        <v>132</v>
      </c>
      <c r="P2613" t="s">
        <v>38</v>
      </c>
      <c r="Q2613" t="s">
        <v>50</v>
      </c>
      <c r="R2613">
        <v>.9999999999999999999999999999999999999996</v>
      </c>
      <c r="S2613" t="s">
        <v>45</v>
      </c>
      <c r="T2613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3">
        <v>58040</v>
      </c>
      <c r="V2613" t="s">
        <v>38</v>
      </c>
      <c r="W2613" t="s">
        <v>50</v>
      </c>
      <c r="X2613">
        <v>.9999999999999999999999999999999999999996</v>
      </c>
      <c r="Y2613">
        <v>0</v>
      </c>
      <c r="Z2613" t="s">
        <v>46</v>
      </c>
      <c r="AA2613">
        <v>58045</v>
      </c>
      <c r="AB2613" t="s">
        <v>1868</v>
      </c>
      <c r="AC2613" t="s">
        <v>60</v>
      </c>
      <c r="AD2613" t="s">
        <v>38</v>
      </c>
      <c r="AE2613" t="s">
        <v>49</v>
      </c>
      <c r="AF2613" t="s">
        <v>50</v>
      </c>
      <c r="AG2613">
        <v>0</v>
      </c>
      <c r="AH2613">
        <v>0</v>
      </c>
      <c r="AI2613" t="s">
        <v>51</v>
      </c>
      <c r="AJ2613" t="s">
        <v>51</v>
      </c>
      <c r="AK2613" t="s">
        <v>51</v>
      </c>
    </row>
    <row r="2614" spans="1:37" x14ac:dyDescent="0.2">
      <c r="A2614">
        <v>58012</v>
      </c>
      <c r="B2614" t="s">
        <v>37</v>
      </c>
      <c r="C2614" t="s">
        <v>38</v>
      </c>
      <c r="D2614" t="s">
        <v>130</v>
      </c>
      <c r="E2614" t="s">
        <v>40</v>
      </c>
      <c r="G2614" s="4">
        <v>43945.698344907407</v>
      </c>
      <c r="H2614" s="4">
        <v>43945.698425925926</v>
      </c>
      <c r="I2614" t="s">
        <v>247</v>
      </c>
      <c r="J2614" s="5">
        <v>7</v>
      </c>
      <c r="K2614" t="s">
        <v>38</v>
      </c>
      <c r="M2614">
        <v>58039</v>
      </c>
      <c r="N2614" t="s">
        <v>131</v>
      </c>
      <c r="O2614" t="s">
        <v>132</v>
      </c>
      <c r="P2614" t="s">
        <v>38</v>
      </c>
      <c r="Q2614" t="s">
        <v>50</v>
      </c>
      <c r="R2614">
        <v>.9999999999999999999999999999999999999996</v>
      </c>
      <c r="S2614" t="s">
        <v>45</v>
      </c>
      <c r="T2614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4">
        <v>58040</v>
      </c>
      <c r="V2614" t="s">
        <v>38</v>
      </c>
      <c r="W2614" t="s">
        <v>50</v>
      </c>
      <c r="X2614">
        <v>.9999999999999999999999999999999999999996</v>
      </c>
      <c r="Y2614">
        <v>0</v>
      </c>
      <c r="Z2614" t="s">
        <v>46</v>
      </c>
      <c r="AA2614">
        <v>58044</v>
      </c>
      <c r="AB2614" t="s">
        <v>1869</v>
      </c>
      <c r="AC2614" t="s">
        <v>60</v>
      </c>
      <c r="AD2614" t="s">
        <v>38</v>
      </c>
      <c r="AE2614" t="s">
        <v>49</v>
      </c>
      <c r="AF2614" t="s">
        <v>50</v>
      </c>
      <c r="AG2614">
        <v>0</v>
      </c>
      <c r="AH2614">
        <v>0</v>
      </c>
      <c r="AI2614" t="s">
        <v>51</v>
      </c>
      <c r="AJ2614" t="s">
        <v>51</v>
      </c>
      <c r="AK2614" t="s">
        <v>51</v>
      </c>
    </row>
    <row r="2615" spans="1:37" x14ac:dyDescent="0.2">
      <c r="A2615">
        <v>58012</v>
      </c>
      <c r="B2615" t="s">
        <v>37</v>
      </c>
      <c r="C2615" t="s">
        <v>38</v>
      </c>
      <c r="D2615" t="s">
        <v>130</v>
      </c>
      <c r="E2615" t="s">
        <v>40</v>
      </c>
      <c r="G2615" s="4">
        <v>43945.698344907407</v>
      </c>
      <c r="H2615" s="4">
        <v>43945.698425925926</v>
      </c>
      <c r="I2615" t="s">
        <v>247</v>
      </c>
      <c r="J2615" s="5">
        <v>7</v>
      </c>
      <c r="K2615" t="s">
        <v>38</v>
      </c>
      <c r="M2615">
        <v>58039</v>
      </c>
      <c r="N2615" t="s">
        <v>131</v>
      </c>
      <c r="O2615" t="s">
        <v>132</v>
      </c>
      <c r="P2615" t="s">
        <v>38</v>
      </c>
      <c r="Q2615" t="s">
        <v>50</v>
      </c>
      <c r="R2615">
        <v>.9999999999999999999999999999999999999996</v>
      </c>
      <c r="S2615" t="s">
        <v>45</v>
      </c>
      <c r="T2615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5">
        <v>58040</v>
      </c>
      <c r="V2615" t="s">
        <v>38</v>
      </c>
      <c r="W2615" t="s">
        <v>50</v>
      </c>
      <c r="X2615">
        <v>.9999999999999999999999999999999999999996</v>
      </c>
      <c r="Y2615">
        <v>0</v>
      </c>
      <c r="Z2615" t="s">
        <v>46</v>
      </c>
      <c r="AA2615">
        <v>58043</v>
      </c>
      <c r="AB2615" t="s">
        <v>1870</v>
      </c>
      <c r="AC2615" t="s">
        <v>56</v>
      </c>
      <c r="AD2615" t="s">
        <v>38</v>
      </c>
      <c r="AE2615" t="s">
        <v>49</v>
      </c>
      <c r="AF2615" t="s">
        <v>50</v>
      </c>
      <c r="AG2615">
        <v>0</v>
      </c>
      <c r="AH2615">
        <v>0</v>
      </c>
      <c r="AI2615" t="s">
        <v>51</v>
      </c>
      <c r="AJ2615" t="s">
        <v>51</v>
      </c>
      <c r="AK2615" t="s">
        <v>51</v>
      </c>
    </row>
    <row r="2616" spans="1:37" x14ac:dyDescent="0.2">
      <c r="A2616">
        <v>58012</v>
      </c>
      <c r="B2616" t="s">
        <v>37</v>
      </c>
      <c r="C2616" t="s">
        <v>38</v>
      </c>
      <c r="D2616" t="s">
        <v>130</v>
      </c>
      <c r="E2616" t="s">
        <v>40</v>
      </c>
      <c r="G2616" s="4">
        <v>43945.698344907407</v>
      </c>
      <c r="H2616" s="4">
        <v>43945.698425925926</v>
      </c>
      <c r="I2616" t="s">
        <v>247</v>
      </c>
      <c r="J2616" s="5">
        <v>7</v>
      </c>
      <c r="K2616" t="s">
        <v>38</v>
      </c>
      <c r="M2616">
        <v>58039</v>
      </c>
      <c r="N2616" t="s">
        <v>131</v>
      </c>
      <c r="O2616" t="s">
        <v>132</v>
      </c>
      <c r="P2616" t="s">
        <v>38</v>
      </c>
      <c r="Q2616" t="s">
        <v>50</v>
      </c>
      <c r="R2616">
        <v>.9999999999999999999999999999999999999996</v>
      </c>
      <c r="S2616" t="s">
        <v>45</v>
      </c>
      <c r="T2616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6">
        <v>58040</v>
      </c>
      <c r="V2616" t="s">
        <v>38</v>
      </c>
      <c r="W2616" t="s">
        <v>50</v>
      </c>
      <c r="X2616">
        <v>.9999999999999999999999999999999999999996</v>
      </c>
      <c r="Y2616">
        <v>0</v>
      </c>
      <c r="Z2616" t="s">
        <v>46</v>
      </c>
      <c r="AA2616">
        <v>58042</v>
      </c>
      <c r="AB2616" t="s">
        <v>1871</v>
      </c>
      <c r="AC2616" t="s">
        <v>60</v>
      </c>
      <c r="AD2616" t="s">
        <v>38</v>
      </c>
      <c r="AE2616" t="s">
        <v>49</v>
      </c>
      <c r="AF2616" t="s">
        <v>50</v>
      </c>
      <c r="AG2616">
        <v>0</v>
      </c>
      <c r="AH2616">
        <v>0</v>
      </c>
      <c r="AI2616" t="s">
        <v>51</v>
      </c>
      <c r="AJ2616" t="s">
        <v>51</v>
      </c>
      <c r="AK2616" t="s">
        <v>51</v>
      </c>
    </row>
    <row r="2617" spans="1:37" x14ac:dyDescent="0.2">
      <c r="A2617">
        <v>58012</v>
      </c>
      <c r="B2617" t="s">
        <v>37</v>
      </c>
      <c r="C2617" t="s">
        <v>38</v>
      </c>
      <c r="D2617" t="s">
        <v>130</v>
      </c>
      <c r="E2617" t="s">
        <v>40</v>
      </c>
      <c r="G2617" s="4">
        <v>43945.698344907407</v>
      </c>
      <c r="H2617" s="4">
        <v>43945.698425925926</v>
      </c>
      <c r="I2617" t="s">
        <v>247</v>
      </c>
      <c r="J2617" s="5">
        <v>7</v>
      </c>
      <c r="K2617" t="s">
        <v>38</v>
      </c>
      <c r="M2617">
        <v>58039</v>
      </c>
      <c r="N2617" t="s">
        <v>131</v>
      </c>
      <c r="O2617" t="s">
        <v>132</v>
      </c>
      <c r="P2617" t="s">
        <v>38</v>
      </c>
      <c r="Q2617" t="s">
        <v>50</v>
      </c>
      <c r="R2617">
        <v>.9999999999999999999999999999999999999996</v>
      </c>
      <c r="S2617" t="s">
        <v>45</v>
      </c>
      <c r="T2617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7">
        <v>58040</v>
      </c>
      <c r="V2617" t="s">
        <v>38</v>
      </c>
      <c r="W2617" t="s">
        <v>50</v>
      </c>
      <c r="X2617">
        <v>.9999999999999999999999999999999999999996</v>
      </c>
      <c r="Y2617">
        <v>0</v>
      </c>
      <c r="Z2617" t="s">
        <v>46</v>
      </c>
      <c r="AA2617">
        <v>58041</v>
      </c>
      <c r="AB2617" t="s">
        <v>1872</v>
      </c>
      <c r="AC2617" t="s">
        <v>56</v>
      </c>
      <c r="AD2617" t="s">
        <v>38</v>
      </c>
      <c r="AE2617" t="s">
        <v>49</v>
      </c>
      <c r="AF2617" t="s">
        <v>50</v>
      </c>
      <c r="AG2617">
        <v>0</v>
      </c>
      <c r="AH2617">
        <v>0</v>
      </c>
      <c r="AI2617" t="s">
        <v>51</v>
      </c>
      <c r="AJ2617" t="s">
        <v>51</v>
      </c>
      <c r="AK2617" t="s">
        <v>51</v>
      </c>
    </row>
    <row r="2618" spans="1:37" x14ac:dyDescent="0.2">
      <c r="A2618">
        <v>58012</v>
      </c>
      <c r="B2618" t="s">
        <v>37</v>
      </c>
      <c r="C2618" t="s">
        <v>38</v>
      </c>
      <c r="D2618" t="s">
        <v>130</v>
      </c>
      <c r="E2618" t="s">
        <v>40</v>
      </c>
      <c r="G2618" s="4">
        <v>43945.698344907407</v>
      </c>
      <c r="H2618" s="4">
        <v>43945.698425925926</v>
      </c>
      <c r="I2618" t="s">
        <v>247</v>
      </c>
      <c r="J2618" s="5">
        <v>7</v>
      </c>
      <c r="K2618" t="s">
        <v>38</v>
      </c>
      <c r="M2618">
        <v>58032</v>
      </c>
      <c r="N2618" t="s">
        <v>143</v>
      </c>
      <c r="O2618" t="s">
        <v>144</v>
      </c>
      <c r="P2618" t="s">
        <v>38</v>
      </c>
      <c r="Q2618" t="s">
        <v>50</v>
      </c>
      <c r="R2618">
        <v>.9999999999999999999999999999999999999996</v>
      </c>
      <c r="S2618" t="s">
        <v>45</v>
      </c>
      <c r="T2618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8">
        <v>58033</v>
      </c>
      <c r="V2618" t="s">
        <v>38</v>
      </c>
      <c r="W2618" t="s">
        <v>50</v>
      </c>
      <c r="X2618">
        <v>.9999999999999999999999999999999999999996</v>
      </c>
      <c r="Y2618">
        <v>0</v>
      </c>
      <c r="Z2618" t="s">
        <v>46</v>
      </c>
      <c r="AA2618">
        <v>58038</v>
      </c>
      <c r="AB2618" t="s">
        <v>145</v>
      </c>
      <c r="AC2618" t="s">
        <v>56</v>
      </c>
      <c r="AD2618" t="s">
        <v>38</v>
      </c>
      <c r="AE2618" t="s">
        <v>49</v>
      </c>
      <c r="AF2618" t="s">
        <v>50</v>
      </c>
      <c r="AG2618">
        <v>0</v>
      </c>
      <c r="AH2618">
        <v>0</v>
      </c>
      <c r="AI2618" t="s">
        <v>51</v>
      </c>
      <c r="AJ2618" t="s">
        <v>51</v>
      </c>
      <c r="AK2618" t="s">
        <v>51</v>
      </c>
    </row>
    <row r="2619" spans="1:37" x14ac:dyDescent="0.2">
      <c r="A2619">
        <v>58012</v>
      </c>
      <c r="B2619" t="s">
        <v>37</v>
      </c>
      <c r="C2619" t="s">
        <v>38</v>
      </c>
      <c r="D2619" t="s">
        <v>130</v>
      </c>
      <c r="E2619" t="s">
        <v>40</v>
      </c>
      <c r="G2619" s="4">
        <v>43945.698344907407</v>
      </c>
      <c r="H2619" s="4">
        <v>43945.698425925926</v>
      </c>
      <c r="I2619" t="s">
        <v>247</v>
      </c>
      <c r="J2619" s="5">
        <v>7</v>
      </c>
      <c r="K2619" t="s">
        <v>38</v>
      </c>
      <c r="M2619">
        <v>58032</v>
      </c>
      <c r="N2619" t="s">
        <v>143</v>
      </c>
      <c r="O2619" t="s">
        <v>144</v>
      </c>
      <c r="P2619" t="s">
        <v>38</v>
      </c>
      <c r="Q2619" t="s">
        <v>50</v>
      </c>
      <c r="R2619">
        <v>.9999999999999999999999999999999999999996</v>
      </c>
      <c r="S2619" t="s">
        <v>45</v>
      </c>
      <c r="T2619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19">
        <v>58033</v>
      </c>
      <c r="V2619" t="s">
        <v>38</v>
      </c>
      <c r="W2619" t="s">
        <v>50</v>
      </c>
      <c r="X2619">
        <v>.9999999999999999999999999999999999999996</v>
      </c>
      <c r="Y2619">
        <v>0</v>
      </c>
      <c r="Z2619" t="s">
        <v>46</v>
      </c>
      <c r="AA2619">
        <v>58037</v>
      </c>
      <c r="AB2619" t="s">
        <v>146</v>
      </c>
      <c r="AC2619" t="s">
        <v>68</v>
      </c>
      <c r="AD2619" t="s">
        <v>38</v>
      </c>
      <c r="AE2619" t="s">
        <v>49</v>
      </c>
      <c r="AF2619" t="s">
        <v>50</v>
      </c>
      <c r="AG2619">
        <v>0</v>
      </c>
      <c r="AH2619">
        <v>0</v>
      </c>
      <c r="AI2619" t="s">
        <v>51</v>
      </c>
      <c r="AJ2619" t="s">
        <v>51</v>
      </c>
      <c r="AK2619" t="s">
        <v>51</v>
      </c>
    </row>
    <row r="2620" spans="1:37" x14ac:dyDescent="0.2">
      <c r="A2620">
        <v>58012</v>
      </c>
      <c r="B2620" t="s">
        <v>37</v>
      </c>
      <c r="C2620" t="s">
        <v>38</v>
      </c>
      <c r="D2620" t="s">
        <v>130</v>
      </c>
      <c r="E2620" t="s">
        <v>40</v>
      </c>
      <c r="G2620" s="4">
        <v>43945.698344907407</v>
      </c>
      <c r="H2620" s="4">
        <v>43945.698425925926</v>
      </c>
      <c r="I2620" t="s">
        <v>247</v>
      </c>
      <c r="J2620" s="5">
        <v>7</v>
      </c>
      <c r="K2620" t="s">
        <v>38</v>
      </c>
      <c r="M2620">
        <v>58032</v>
      </c>
      <c r="N2620" t="s">
        <v>143</v>
      </c>
      <c r="O2620" t="s">
        <v>144</v>
      </c>
      <c r="P2620" t="s">
        <v>38</v>
      </c>
      <c r="Q2620" t="s">
        <v>50</v>
      </c>
      <c r="R2620">
        <v>.9999999999999999999999999999999999999996</v>
      </c>
      <c r="S2620" t="s">
        <v>45</v>
      </c>
      <c r="T2620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0">
        <v>58033</v>
      </c>
      <c r="V2620" t="s">
        <v>38</v>
      </c>
      <c r="W2620" t="s">
        <v>50</v>
      </c>
      <c r="X2620">
        <v>.9999999999999999999999999999999999999996</v>
      </c>
      <c r="Y2620">
        <v>0</v>
      </c>
      <c r="Z2620" t="s">
        <v>46</v>
      </c>
      <c r="AA2620">
        <v>58036</v>
      </c>
      <c r="AB2620" t="s">
        <v>147</v>
      </c>
      <c r="AC2620" t="s">
        <v>68</v>
      </c>
      <c r="AD2620" t="s">
        <v>38</v>
      </c>
      <c r="AE2620" t="s">
        <v>49</v>
      </c>
      <c r="AF2620" t="s">
        <v>50</v>
      </c>
      <c r="AG2620">
        <v>0</v>
      </c>
      <c r="AH2620">
        <v>0</v>
      </c>
      <c r="AI2620" t="s">
        <v>51</v>
      </c>
      <c r="AJ2620" t="s">
        <v>51</v>
      </c>
      <c r="AK2620" t="s">
        <v>51</v>
      </c>
    </row>
    <row r="2621" spans="1:37" x14ac:dyDescent="0.2">
      <c r="A2621">
        <v>58012</v>
      </c>
      <c r="B2621" t="s">
        <v>37</v>
      </c>
      <c r="C2621" t="s">
        <v>38</v>
      </c>
      <c r="D2621" t="s">
        <v>130</v>
      </c>
      <c r="E2621" t="s">
        <v>40</v>
      </c>
      <c r="G2621" s="4">
        <v>43945.698344907407</v>
      </c>
      <c r="H2621" s="4">
        <v>43945.698425925926</v>
      </c>
      <c r="I2621" t="s">
        <v>247</v>
      </c>
      <c r="J2621" s="5">
        <v>7</v>
      </c>
      <c r="K2621" t="s">
        <v>38</v>
      </c>
      <c r="M2621">
        <v>58032</v>
      </c>
      <c r="N2621" t="s">
        <v>143</v>
      </c>
      <c r="O2621" t="s">
        <v>144</v>
      </c>
      <c r="P2621" t="s">
        <v>38</v>
      </c>
      <c r="Q2621" t="s">
        <v>50</v>
      </c>
      <c r="R2621">
        <v>.9999999999999999999999999999999999999996</v>
      </c>
      <c r="S2621" t="s">
        <v>45</v>
      </c>
      <c r="T2621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1">
        <v>58033</v>
      </c>
      <c r="V2621" t="s">
        <v>38</v>
      </c>
      <c r="W2621" t="s">
        <v>50</v>
      </c>
      <c r="X2621">
        <v>.9999999999999999999999999999999999999996</v>
      </c>
      <c r="Y2621">
        <v>0</v>
      </c>
      <c r="Z2621" t="s">
        <v>46</v>
      </c>
      <c r="AA2621">
        <v>58035</v>
      </c>
      <c r="AB2621" t="s">
        <v>148</v>
      </c>
      <c r="AC2621" t="s">
        <v>68</v>
      </c>
      <c r="AD2621" t="s">
        <v>38</v>
      </c>
      <c r="AE2621" t="s">
        <v>49</v>
      </c>
      <c r="AF2621" t="s">
        <v>50</v>
      </c>
      <c r="AG2621">
        <v>0</v>
      </c>
      <c r="AH2621">
        <v>0</v>
      </c>
      <c r="AI2621" t="s">
        <v>51</v>
      </c>
      <c r="AJ2621" t="s">
        <v>51</v>
      </c>
      <c r="AK2621" t="s">
        <v>51</v>
      </c>
    </row>
    <row r="2622" spans="1:37" x14ac:dyDescent="0.2">
      <c r="A2622">
        <v>58012</v>
      </c>
      <c r="B2622" t="s">
        <v>37</v>
      </c>
      <c r="C2622" t="s">
        <v>38</v>
      </c>
      <c r="D2622" t="s">
        <v>130</v>
      </c>
      <c r="E2622" t="s">
        <v>40</v>
      </c>
      <c r="G2622" s="4">
        <v>43945.698344907407</v>
      </c>
      <c r="H2622" s="4">
        <v>43945.698425925926</v>
      </c>
      <c r="I2622" t="s">
        <v>247</v>
      </c>
      <c r="J2622" s="5">
        <v>7</v>
      </c>
      <c r="K2622" t="s">
        <v>38</v>
      </c>
      <c r="M2622">
        <v>58032</v>
      </c>
      <c r="N2622" t="s">
        <v>143</v>
      </c>
      <c r="O2622" t="s">
        <v>144</v>
      </c>
      <c r="P2622" t="s">
        <v>38</v>
      </c>
      <c r="Q2622" t="s">
        <v>50</v>
      </c>
      <c r="R2622">
        <v>.9999999999999999999999999999999999999996</v>
      </c>
      <c r="S2622" t="s">
        <v>45</v>
      </c>
      <c r="T2622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2">
        <v>58033</v>
      </c>
      <c r="V2622" t="s">
        <v>38</v>
      </c>
      <c r="W2622" t="s">
        <v>50</v>
      </c>
      <c r="X2622">
        <v>.9999999999999999999999999999999999999996</v>
      </c>
      <c r="Y2622">
        <v>0</v>
      </c>
      <c r="Z2622" t="s">
        <v>46</v>
      </c>
      <c r="AA2622">
        <v>58034</v>
      </c>
      <c r="AB2622" t="s">
        <v>149</v>
      </c>
      <c r="AC2622" t="s">
        <v>68</v>
      </c>
      <c r="AD2622" t="s">
        <v>38</v>
      </c>
      <c r="AE2622" t="s">
        <v>49</v>
      </c>
      <c r="AF2622" t="s">
        <v>50</v>
      </c>
      <c r="AG2622">
        <v>0</v>
      </c>
      <c r="AH2622">
        <v>0</v>
      </c>
      <c r="AI2622" t="s">
        <v>51</v>
      </c>
      <c r="AJ2622" t="s">
        <v>51</v>
      </c>
      <c r="AK2622" t="s">
        <v>51</v>
      </c>
    </row>
    <row r="2623" spans="1:37" x14ac:dyDescent="0.2">
      <c r="A2623">
        <v>58012</v>
      </c>
      <c r="B2623" t="s">
        <v>37</v>
      </c>
      <c r="C2623" t="s">
        <v>38</v>
      </c>
      <c r="D2623" t="s">
        <v>130</v>
      </c>
      <c r="E2623" t="s">
        <v>40</v>
      </c>
      <c r="G2623" s="4">
        <v>43945.698344907407</v>
      </c>
      <c r="H2623" s="4">
        <v>43945.698425925926</v>
      </c>
      <c r="I2623" t="s">
        <v>247</v>
      </c>
      <c r="J2623" s="5">
        <v>7</v>
      </c>
      <c r="K2623" t="s">
        <v>38</v>
      </c>
      <c r="M2623">
        <v>58027</v>
      </c>
      <c r="N2623" t="s">
        <v>150</v>
      </c>
      <c r="O2623" t="s">
        <v>151</v>
      </c>
      <c r="P2623" t="s">
        <v>38</v>
      </c>
      <c r="Q2623" t="s">
        <v>50</v>
      </c>
      <c r="R2623">
        <v>.9999999999999999999999999999999999999996</v>
      </c>
      <c r="S2623" t="s">
        <v>45</v>
      </c>
      <c r="T2623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3">
        <v>58028</v>
      </c>
      <c r="V2623" t="s">
        <v>38</v>
      </c>
      <c r="W2623" t="s">
        <v>50</v>
      </c>
      <c r="X2623">
        <v>.9999999999999999999999999999999999999996</v>
      </c>
      <c r="Y2623">
        <v>0</v>
      </c>
      <c r="Z2623" t="s">
        <v>46</v>
      </c>
      <c r="AA2623">
        <v>58031</v>
      </c>
      <c r="AB2623" t="s">
        <v>152</v>
      </c>
      <c r="AC2623" t="s">
        <v>56</v>
      </c>
      <c r="AD2623" t="s">
        <v>38</v>
      </c>
      <c r="AE2623" t="s">
        <v>49</v>
      </c>
      <c r="AF2623" t="s">
        <v>50</v>
      </c>
      <c r="AG2623">
        <v>0</v>
      </c>
      <c r="AH2623">
        <v>0</v>
      </c>
      <c r="AI2623" t="s">
        <v>51</v>
      </c>
      <c r="AJ2623" t="s">
        <v>51</v>
      </c>
      <c r="AK2623" t="s">
        <v>51</v>
      </c>
    </row>
    <row r="2624" spans="1:37" x14ac:dyDescent="0.2">
      <c r="A2624">
        <v>58012</v>
      </c>
      <c r="B2624" t="s">
        <v>37</v>
      </c>
      <c r="C2624" t="s">
        <v>38</v>
      </c>
      <c r="D2624" t="s">
        <v>130</v>
      </c>
      <c r="E2624" t="s">
        <v>40</v>
      </c>
      <c r="G2624" s="4">
        <v>43945.698344907407</v>
      </c>
      <c r="H2624" s="4">
        <v>43945.698425925926</v>
      </c>
      <c r="I2624" t="s">
        <v>247</v>
      </c>
      <c r="J2624" s="5">
        <v>7</v>
      </c>
      <c r="K2624" t="s">
        <v>38</v>
      </c>
      <c r="M2624">
        <v>58027</v>
      </c>
      <c r="N2624" t="s">
        <v>150</v>
      </c>
      <c r="O2624" t="s">
        <v>151</v>
      </c>
      <c r="P2624" t="s">
        <v>38</v>
      </c>
      <c r="Q2624" t="s">
        <v>50</v>
      </c>
      <c r="R2624">
        <v>.9999999999999999999999999999999999999996</v>
      </c>
      <c r="S2624" t="s">
        <v>45</v>
      </c>
      <c r="T2624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4">
        <v>58028</v>
      </c>
      <c r="V2624" t="s">
        <v>38</v>
      </c>
      <c r="W2624" t="s">
        <v>50</v>
      </c>
      <c r="X2624">
        <v>.9999999999999999999999999999999999999996</v>
      </c>
      <c r="Y2624">
        <v>0</v>
      </c>
      <c r="Z2624" t="s">
        <v>46</v>
      </c>
      <c r="AA2624">
        <v>58030</v>
      </c>
      <c r="AB2624" t="s">
        <v>153</v>
      </c>
      <c r="AC2624" t="s">
        <v>56</v>
      </c>
      <c r="AD2624" t="s">
        <v>38</v>
      </c>
      <c r="AE2624" t="s">
        <v>49</v>
      </c>
      <c r="AF2624" t="s">
        <v>50</v>
      </c>
      <c r="AG2624">
        <v>.9999999999999999999999999999999999999996</v>
      </c>
      <c r="AH2624">
        <v>0</v>
      </c>
      <c r="AI2624" t="s">
        <v>51</v>
      </c>
      <c r="AJ2624" t="s">
        <v>51</v>
      </c>
      <c r="AK2624" t="s">
        <v>51</v>
      </c>
    </row>
    <row r="2625" spans="1:37" x14ac:dyDescent="0.2">
      <c r="A2625">
        <v>58012</v>
      </c>
      <c r="B2625" t="s">
        <v>37</v>
      </c>
      <c r="C2625" t="s">
        <v>38</v>
      </c>
      <c r="D2625" t="s">
        <v>130</v>
      </c>
      <c r="E2625" t="s">
        <v>40</v>
      </c>
      <c r="G2625" s="4">
        <v>43945.698344907407</v>
      </c>
      <c r="H2625" s="4">
        <v>43945.698425925926</v>
      </c>
      <c r="I2625" t="s">
        <v>247</v>
      </c>
      <c r="J2625" s="5">
        <v>7</v>
      </c>
      <c r="K2625" t="s">
        <v>38</v>
      </c>
      <c r="M2625">
        <v>58027</v>
      </c>
      <c r="N2625" t="s">
        <v>150</v>
      </c>
      <c r="O2625" t="s">
        <v>151</v>
      </c>
      <c r="P2625" t="s">
        <v>38</v>
      </c>
      <c r="Q2625" t="s">
        <v>50</v>
      </c>
      <c r="R2625">
        <v>.9999999999999999999999999999999999999996</v>
      </c>
      <c r="S2625" t="s">
        <v>45</v>
      </c>
      <c r="T2625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5">
        <v>58028</v>
      </c>
      <c r="V2625" t="s">
        <v>38</v>
      </c>
      <c r="W2625" t="s">
        <v>50</v>
      </c>
      <c r="X2625">
        <v>.9999999999999999999999999999999999999996</v>
      </c>
      <c r="Y2625">
        <v>0</v>
      </c>
      <c r="Z2625" t="s">
        <v>46</v>
      </c>
      <c r="AA2625">
        <v>58029</v>
      </c>
      <c r="AB2625" t="s">
        <v>154</v>
      </c>
      <c r="AC2625" t="s">
        <v>68</v>
      </c>
      <c r="AD2625" t="s">
        <v>38</v>
      </c>
      <c r="AE2625" t="s">
        <v>49</v>
      </c>
      <c r="AF2625" t="s">
        <v>50</v>
      </c>
      <c r="AG2625">
        <v>0</v>
      </c>
      <c r="AH2625">
        <v>0</v>
      </c>
      <c r="AI2625" t="s">
        <v>51</v>
      </c>
      <c r="AJ2625" t="s">
        <v>51</v>
      </c>
      <c r="AK2625" t="s">
        <v>51</v>
      </c>
    </row>
    <row r="2626" spans="1:37" x14ac:dyDescent="0.2">
      <c r="A2626">
        <v>58012</v>
      </c>
      <c r="B2626" t="s">
        <v>37</v>
      </c>
      <c r="C2626" t="s">
        <v>38</v>
      </c>
      <c r="D2626" t="s">
        <v>130</v>
      </c>
      <c r="E2626" t="s">
        <v>40</v>
      </c>
      <c r="G2626" s="4">
        <v>43945.698344907407</v>
      </c>
      <c r="H2626" s="4">
        <v>43945.698425925926</v>
      </c>
      <c r="I2626" t="s">
        <v>247</v>
      </c>
      <c r="J2626" s="5">
        <v>7</v>
      </c>
      <c r="K2626" t="s">
        <v>38</v>
      </c>
      <c r="M2626">
        <v>58024</v>
      </c>
      <c r="N2626" t="s">
        <v>155</v>
      </c>
      <c r="O2626" t="s">
        <v>156</v>
      </c>
      <c r="P2626" t="s">
        <v>38</v>
      </c>
      <c r="Q2626" t="s">
        <v>50</v>
      </c>
      <c r="R2626">
        <v>.9999999999999999999999999999999999999996</v>
      </c>
      <c r="S2626" t="s">
        <v>45</v>
      </c>
      <c r="T2626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6">
        <v>58025</v>
      </c>
      <c r="V2626" t="s">
        <v>38</v>
      </c>
      <c r="W2626" t="s">
        <v>50</v>
      </c>
      <c r="X2626">
        <v>.9999999999999999999999999999999999999996</v>
      </c>
      <c r="Y2626">
        <v>0</v>
      </c>
      <c r="Z2626" t="s">
        <v>46</v>
      </c>
      <c r="AA2626">
        <v>58026</v>
      </c>
      <c r="AB2626" t="s">
        <v>1873</v>
      </c>
      <c r="AC2626" t="s">
        <v>68</v>
      </c>
      <c r="AD2626" t="s">
        <v>38</v>
      </c>
      <c r="AE2626" t="s">
        <v>49</v>
      </c>
      <c r="AF2626" t="s">
        <v>50</v>
      </c>
      <c r="AG2626">
        <v>.9999999999999999999999999999999999999996</v>
      </c>
      <c r="AH2626">
        <v>0</v>
      </c>
      <c r="AI2626" t="s">
        <v>51</v>
      </c>
      <c r="AJ2626" t="s">
        <v>51</v>
      </c>
      <c r="AK2626" t="s">
        <v>51</v>
      </c>
    </row>
    <row r="2627" spans="1:37" x14ac:dyDescent="0.2">
      <c r="A2627">
        <v>58012</v>
      </c>
      <c r="B2627" t="s">
        <v>37</v>
      </c>
      <c r="C2627" t="s">
        <v>38</v>
      </c>
      <c r="D2627" t="s">
        <v>130</v>
      </c>
      <c r="E2627" t="s">
        <v>40</v>
      </c>
      <c r="G2627" s="4">
        <v>43945.698344907407</v>
      </c>
      <c r="H2627" s="4">
        <v>43945.698425925926</v>
      </c>
      <c r="I2627" t="s">
        <v>247</v>
      </c>
      <c r="J2627" s="5">
        <v>7</v>
      </c>
      <c r="K2627" t="s">
        <v>38</v>
      </c>
      <c r="M2627">
        <v>58019</v>
      </c>
      <c r="N2627" t="s">
        <v>158</v>
      </c>
      <c r="O2627" t="s">
        <v>159</v>
      </c>
      <c r="P2627" t="s">
        <v>38</v>
      </c>
      <c r="Q2627" t="s">
        <v>50</v>
      </c>
      <c r="R2627">
        <v>0</v>
      </c>
      <c r="S2627" t="s">
        <v>45</v>
      </c>
      <c r="T2627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7">
        <v>58020</v>
      </c>
      <c r="V2627" t="s">
        <v>38</v>
      </c>
      <c r="W2627" t="s">
        <v>50</v>
      </c>
      <c r="X2627">
        <v>0</v>
      </c>
      <c r="Y2627">
        <v>0</v>
      </c>
      <c r="Z2627" t="s">
        <v>46</v>
      </c>
      <c r="AA2627">
        <v>58023</v>
      </c>
      <c r="AB2627" t="s">
        <v>160</v>
      </c>
      <c r="AC2627" t="s">
        <v>56</v>
      </c>
      <c r="AD2627" t="s">
        <v>38</v>
      </c>
      <c r="AE2627" t="s">
        <v>49</v>
      </c>
      <c r="AF2627" t="s">
        <v>50</v>
      </c>
      <c r="AG2627">
        <v>0</v>
      </c>
      <c r="AH2627">
        <v>0</v>
      </c>
      <c r="AI2627" t="s">
        <v>51</v>
      </c>
      <c r="AJ2627" t="s">
        <v>51</v>
      </c>
      <c r="AK2627" t="s">
        <v>51</v>
      </c>
    </row>
    <row r="2628" spans="1:37" x14ac:dyDescent="0.2">
      <c r="A2628">
        <v>58012</v>
      </c>
      <c r="B2628" t="s">
        <v>37</v>
      </c>
      <c r="C2628" t="s">
        <v>38</v>
      </c>
      <c r="D2628" t="s">
        <v>130</v>
      </c>
      <c r="E2628" t="s">
        <v>40</v>
      </c>
      <c r="G2628" s="4">
        <v>43945.698344907407</v>
      </c>
      <c r="H2628" s="4">
        <v>43945.698425925926</v>
      </c>
      <c r="I2628" t="s">
        <v>247</v>
      </c>
      <c r="J2628" s="5">
        <v>7</v>
      </c>
      <c r="K2628" t="s">
        <v>38</v>
      </c>
      <c r="M2628">
        <v>58019</v>
      </c>
      <c r="N2628" t="s">
        <v>158</v>
      </c>
      <c r="O2628" t="s">
        <v>159</v>
      </c>
      <c r="P2628" t="s">
        <v>38</v>
      </c>
      <c r="Q2628" t="s">
        <v>50</v>
      </c>
      <c r="R2628">
        <v>0</v>
      </c>
      <c r="S2628" t="s">
        <v>45</v>
      </c>
      <c r="T2628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8">
        <v>58020</v>
      </c>
      <c r="V2628" t="s">
        <v>38</v>
      </c>
      <c r="W2628" t="s">
        <v>50</v>
      </c>
      <c r="X2628">
        <v>0</v>
      </c>
      <c r="Y2628">
        <v>0</v>
      </c>
      <c r="Z2628" t="s">
        <v>46</v>
      </c>
      <c r="AA2628">
        <v>58022</v>
      </c>
      <c r="AB2628" t="s">
        <v>161</v>
      </c>
      <c r="AC2628" t="s">
        <v>68</v>
      </c>
      <c r="AD2628" t="s">
        <v>38</v>
      </c>
      <c r="AE2628" t="s">
        <v>49</v>
      </c>
      <c r="AF2628" t="s">
        <v>50</v>
      </c>
      <c r="AG2628">
        <v>0</v>
      </c>
      <c r="AH2628">
        <v>0</v>
      </c>
      <c r="AI2628" t="s">
        <v>51</v>
      </c>
      <c r="AJ2628" t="s">
        <v>51</v>
      </c>
      <c r="AK2628" t="s">
        <v>51</v>
      </c>
    </row>
    <row r="2629" spans="1:37" x14ac:dyDescent="0.2">
      <c r="A2629">
        <v>58012</v>
      </c>
      <c r="B2629" t="s">
        <v>37</v>
      </c>
      <c r="C2629" t="s">
        <v>38</v>
      </c>
      <c r="D2629" t="s">
        <v>130</v>
      </c>
      <c r="E2629" t="s">
        <v>40</v>
      </c>
      <c r="G2629" s="4">
        <v>43945.698344907407</v>
      </c>
      <c r="H2629" s="4">
        <v>43945.698425925926</v>
      </c>
      <c r="I2629" t="s">
        <v>247</v>
      </c>
      <c r="J2629" s="5">
        <v>7</v>
      </c>
      <c r="K2629" t="s">
        <v>38</v>
      </c>
      <c r="M2629">
        <v>58019</v>
      </c>
      <c r="N2629" t="s">
        <v>158</v>
      </c>
      <c r="O2629" t="s">
        <v>159</v>
      </c>
      <c r="P2629" t="s">
        <v>38</v>
      </c>
      <c r="Q2629" t="s">
        <v>50</v>
      </c>
      <c r="R2629">
        <v>0</v>
      </c>
      <c r="S2629" t="s">
        <v>45</v>
      </c>
      <c r="T2629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29">
        <v>58020</v>
      </c>
      <c r="V2629" t="s">
        <v>38</v>
      </c>
      <c r="W2629" t="s">
        <v>50</v>
      </c>
      <c r="X2629">
        <v>0</v>
      </c>
      <c r="Y2629">
        <v>0</v>
      </c>
      <c r="Z2629" t="s">
        <v>46</v>
      </c>
      <c r="AA2629">
        <v>58021</v>
      </c>
      <c r="AB2629" t="s">
        <v>162</v>
      </c>
      <c r="AC2629" t="s">
        <v>68</v>
      </c>
      <c r="AD2629" t="s">
        <v>38</v>
      </c>
      <c r="AE2629" t="s">
        <v>49</v>
      </c>
      <c r="AF2629" t="s">
        <v>50</v>
      </c>
      <c r="AG2629">
        <v>0</v>
      </c>
      <c r="AH2629">
        <v>0</v>
      </c>
      <c r="AI2629" t="s">
        <v>51</v>
      </c>
      <c r="AJ2629" t="s">
        <v>51</v>
      </c>
      <c r="AK2629" t="s">
        <v>51</v>
      </c>
    </row>
    <row r="2630" spans="1:37" x14ac:dyDescent="0.2">
      <c r="A2630">
        <v>58012</v>
      </c>
      <c r="B2630" t="s">
        <v>37</v>
      </c>
      <c r="C2630" t="s">
        <v>38</v>
      </c>
      <c r="D2630" t="s">
        <v>130</v>
      </c>
      <c r="E2630" t="s">
        <v>40</v>
      </c>
      <c r="G2630" s="4">
        <v>43945.698344907407</v>
      </c>
      <c r="H2630" s="4">
        <v>43945.698425925926</v>
      </c>
      <c r="I2630" t="s">
        <v>247</v>
      </c>
      <c r="J2630" s="5">
        <v>7</v>
      </c>
      <c r="K2630" t="s">
        <v>38</v>
      </c>
      <c r="M2630">
        <v>58013</v>
      </c>
      <c r="N2630" t="s">
        <v>163</v>
      </c>
      <c r="O2630" t="s">
        <v>164</v>
      </c>
      <c r="P2630" t="s">
        <v>38</v>
      </c>
      <c r="Q2630" t="s">
        <v>85</v>
      </c>
      <c r="R2630">
        <v>3</v>
      </c>
      <c r="S2630" t="s">
        <v>45</v>
      </c>
      <c r="T2630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30">
        <v>58014</v>
      </c>
      <c r="V2630" t="s">
        <v>38</v>
      </c>
      <c r="W2630" t="s">
        <v>85</v>
      </c>
      <c r="X2630">
        <v>3</v>
      </c>
      <c r="Y2630">
        <v>0</v>
      </c>
      <c r="Z2630" t="s">
        <v>46</v>
      </c>
      <c r="AA2630">
        <v>58018</v>
      </c>
      <c r="AB2630" t="s">
        <v>165</v>
      </c>
      <c r="AC2630" t="s">
        <v>56</v>
      </c>
      <c r="AD2630" t="s">
        <v>38</v>
      </c>
      <c r="AE2630" t="s">
        <v>49</v>
      </c>
      <c r="AF2630" t="s">
        <v>50</v>
      </c>
      <c r="AG2630">
        <v>0</v>
      </c>
      <c r="AH2630">
        <v>0</v>
      </c>
      <c r="AI2630" t="s">
        <v>51</v>
      </c>
      <c r="AJ2630" t="s">
        <v>51</v>
      </c>
      <c r="AK2630" t="s">
        <v>51</v>
      </c>
    </row>
    <row r="2631" spans="1:37" x14ac:dyDescent="0.2">
      <c r="A2631">
        <v>58012</v>
      </c>
      <c r="B2631" t="s">
        <v>37</v>
      </c>
      <c r="C2631" t="s">
        <v>38</v>
      </c>
      <c r="D2631" t="s">
        <v>130</v>
      </c>
      <c r="E2631" t="s">
        <v>40</v>
      </c>
      <c r="G2631" s="4">
        <v>43945.698344907407</v>
      </c>
      <c r="H2631" s="4">
        <v>43945.698425925926</v>
      </c>
      <c r="I2631" t="s">
        <v>247</v>
      </c>
      <c r="J2631" s="5">
        <v>7</v>
      </c>
      <c r="K2631" t="s">
        <v>38</v>
      </c>
      <c r="M2631">
        <v>58013</v>
      </c>
      <c r="N2631" t="s">
        <v>163</v>
      </c>
      <c r="O2631" t="s">
        <v>164</v>
      </c>
      <c r="P2631" t="s">
        <v>38</v>
      </c>
      <c r="Q2631" t="s">
        <v>85</v>
      </c>
      <c r="R2631">
        <v>3</v>
      </c>
      <c r="S2631" t="s">
        <v>45</v>
      </c>
      <c r="T2631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31">
        <v>58014</v>
      </c>
      <c r="V2631" t="s">
        <v>38</v>
      </c>
      <c r="W2631" t="s">
        <v>85</v>
      </c>
      <c r="X2631">
        <v>3</v>
      </c>
      <c r="Y2631">
        <v>0</v>
      </c>
      <c r="Z2631" t="s">
        <v>46</v>
      </c>
      <c r="AA2631">
        <v>58017</v>
      </c>
      <c r="AB2631" t="s">
        <v>1874</v>
      </c>
      <c r="AC2631" t="s">
        <v>48</v>
      </c>
      <c r="AD2631" t="s">
        <v>38</v>
      </c>
      <c r="AE2631" t="s">
        <v>49</v>
      </c>
      <c r="AF2631" t="s">
        <v>85</v>
      </c>
      <c r="AG2631">
        <v>3</v>
      </c>
      <c r="AH2631">
        <v>0</v>
      </c>
      <c r="AI2631" t="s">
        <v>51</v>
      </c>
      <c r="AJ2631" t="s">
        <v>51</v>
      </c>
      <c r="AK2631" t="s">
        <v>51</v>
      </c>
    </row>
    <row r="2632" spans="1:37" x14ac:dyDescent="0.2">
      <c r="A2632">
        <v>58012</v>
      </c>
      <c r="B2632" t="s">
        <v>37</v>
      </c>
      <c r="C2632" t="s">
        <v>38</v>
      </c>
      <c r="D2632" t="s">
        <v>130</v>
      </c>
      <c r="E2632" t="s">
        <v>40</v>
      </c>
      <c r="G2632" s="4">
        <v>43945.698344907407</v>
      </c>
      <c r="H2632" s="4">
        <v>43945.698425925926</v>
      </c>
      <c r="I2632" t="s">
        <v>247</v>
      </c>
      <c r="J2632" s="5">
        <v>7</v>
      </c>
      <c r="K2632" t="s">
        <v>38</v>
      </c>
      <c r="M2632">
        <v>58013</v>
      </c>
      <c r="N2632" t="s">
        <v>163</v>
      </c>
      <c r="O2632" t="s">
        <v>164</v>
      </c>
      <c r="P2632" t="s">
        <v>38</v>
      </c>
      <c r="Q2632" t="s">
        <v>85</v>
      </c>
      <c r="R2632">
        <v>3</v>
      </c>
      <c r="S2632" t="s">
        <v>45</v>
      </c>
      <c r="T2632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32">
        <v>58014</v>
      </c>
      <c r="V2632" t="s">
        <v>38</v>
      </c>
      <c r="W2632" t="s">
        <v>85</v>
      </c>
      <c r="X2632">
        <v>3</v>
      </c>
      <c r="Y2632">
        <v>0</v>
      </c>
      <c r="Z2632" t="s">
        <v>46</v>
      </c>
      <c r="AA2632">
        <v>58016</v>
      </c>
      <c r="AB2632" t="s">
        <v>167</v>
      </c>
      <c r="AC2632" t="s">
        <v>68</v>
      </c>
      <c r="AD2632" t="s">
        <v>38</v>
      </c>
      <c r="AE2632" t="s">
        <v>49</v>
      </c>
      <c r="AF2632" t="s">
        <v>50</v>
      </c>
      <c r="AG2632">
        <v>0</v>
      </c>
      <c r="AH2632">
        <v>0</v>
      </c>
      <c r="AI2632" t="s">
        <v>51</v>
      </c>
      <c r="AJ2632" t="s">
        <v>51</v>
      </c>
      <c r="AK2632" t="s">
        <v>51</v>
      </c>
    </row>
    <row r="2633" spans="1:37" x14ac:dyDescent="0.2">
      <c r="A2633">
        <v>58012</v>
      </c>
      <c r="B2633" t="s">
        <v>37</v>
      </c>
      <c r="C2633" t="s">
        <v>38</v>
      </c>
      <c r="D2633" t="s">
        <v>130</v>
      </c>
      <c r="E2633" t="s">
        <v>40</v>
      </c>
      <c r="G2633" s="4">
        <v>43945.698344907407</v>
      </c>
      <c r="H2633" s="4">
        <v>43945.698425925926</v>
      </c>
      <c r="I2633" t="s">
        <v>247</v>
      </c>
      <c r="J2633" s="5">
        <v>7</v>
      </c>
      <c r="K2633" t="s">
        <v>38</v>
      </c>
      <c r="M2633">
        <v>58013</v>
      </c>
      <c r="N2633" t="s">
        <v>163</v>
      </c>
      <c r="O2633" t="s">
        <v>164</v>
      </c>
      <c r="P2633" t="s">
        <v>38</v>
      </c>
      <c r="Q2633" t="s">
        <v>85</v>
      </c>
      <c r="R2633">
        <v>3</v>
      </c>
      <c r="S2633" t="s">
        <v>45</v>
      </c>
      <c r="T2633" t="str" s="2">
        <f>=HYPERLINK("http://demo.enginatics.com:80/ecc/user/applications/log/58012.log","http://demo.enginatics.com:80/ecc/user/applications/log/58012.log")</f>
        <v>"http://demo.enginatics.com:80/ecc/user/applications/log/58012.log")</v>
      </c>
      <c r="U2633">
        <v>58014</v>
      </c>
      <c r="V2633" t="s">
        <v>38</v>
      </c>
      <c r="W2633" t="s">
        <v>85</v>
      </c>
      <c r="X2633">
        <v>3</v>
      </c>
      <c r="Y2633">
        <v>0</v>
      </c>
      <c r="Z2633" t="s">
        <v>46</v>
      </c>
      <c r="AA2633">
        <v>58015</v>
      </c>
      <c r="AB2633" t="s">
        <v>168</v>
      </c>
      <c r="AC2633" t="s">
        <v>68</v>
      </c>
      <c r="AD2633" t="s">
        <v>38</v>
      </c>
      <c r="AE2633" t="s">
        <v>49</v>
      </c>
      <c r="AF2633" t="s">
        <v>50</v>
      </c>
      <c r="AG2633">
        <v>0</v>
      </c>
      <c r="AH2633">
        <v>0</v>
      </c>
      <c r="AI2633" t="s">
        <v>51</v>
      </c>
      <c r="AJ2633" t="s">
        <v>51</v>
      </c>
      <c r="AK2633" t="s">
        <v>51</v>
      </c>
    </row>
    <row r="2634" spans="1:37" x14ac:dyDescent="0.2">
      <c r="A2634">
        <v>58008</v>
      </c>
      <c r="B2634" t="s">
        <v>37</v>
      </c>
      <c r="C2634" t="s">
        <v>38</v>
      </c>
      <c r="D2634" t="s">
        <v>169</v>
      </c>
      <c r="E2634" t="s">
        <v>170</v>
      </c>
      <c r="G2634" s="4">
        <v>43945.674201388889</v>
      </c>
      <c r="H2634" s="4">
        <v>43945.674201388889</v>
      </c>
      <c r="I2634" t="s">
        <v>50</v>
      </c>
      <c r="J2634" s="5">
        <v>0</v>
      </c>
      <c r="K2634" t="s">
        <v>38</v>
      </c>
      <c r="M2634">
        <v>58009</v>
      </c>
      <c r="N2634" t="s">
        <v>170</v>
      </c>
      <c r="O2634" t="s">
        <v>171</v>
      </c>
      <c r="P2634" t="s">
        <v>38</v>
      </c>
      <c r="Q2634" t="s">
        <v>50</v>
      </c>
      <c r="R2634">
        <v>0</v>
      </c>
      <c r="S2634" t="s">
        <v>45</v>
      </c>
      <c r="T2634" t="str" s="2">
        <f>=HYPERLINK("http://demo.enginatics.com:80/ecc/user/applications/log/58008.log","http://demo.enginatics.com:80/ecc/user/applications/log/58008.log")</f>
        <v>"http://demo.enginatics.com:80/ecc/user/applications/log/58008.log")</v>
      </c>
      <c r="U2634">
        <v>58010</v>
      </c>
      <c r="V2634" t="s">
        <v>38</v>
      </c>
      <c r="W2634" t="s">
        <v>50</v>
      </c>
      <c r="X2634">
        <v>0</v>
      </c>
      <c r="Y2634">
        <v>0</v>
      </c>
      <c r="Z2634" t="s">
        <v>46</v>
      </c>
      <c r="AA2634">
        <v>58011</v>
      </c>
      <c r="AB2634" t="s">
        <v>172</v>
      </c>
      <c r="AC2634" t="s">
        <v>68</v>
      </c>
      <c r="AD2634" t="s">
        <v>38</v>
      </c>
      <c r="AE2634" t="s">
        <v>49</v>
      </c>
      <c r="AF2634" t="s">
        <v>50</v>
      </c>
      <c r="AG2634">
        <v>0</v>
      </c>
      <c r="AH2634">
        <v>0</v>
      </c>
      <c r="AI2634" t="s">
        <v>51</v>
      </c>
      <c r="AJ2634" t="s">
        <v>51</v>
      </c>
      <c r="AK2634" t="s">
        <v>51</v>
      </c>
    </row>
    <row r="2635" spans="1:37" x14ac:dyDescent="0.2">
      <c r="A2635">
        <v>58004</v>
      </c>
      <c r="B2635" t="s">
        <v>37</v>
      </c>
      <c r="C2635" t="s">
        <v>38</v>
      </c>
      <c r="D2635" t="s">
        <v>169</v>
      </c>
      <c r="E2635" t="s">
        <v>173</v>
      </c>
      <c r="G2635" s="4">
        <v>43945.674074074074</v>
      </c>
      <c r="H2635" s="4">
        <v>43945.674085648148</v>
      </c>
      <c r="I2635" t="s">
        <v>50</v>
      </c>
      <c r="J2635" s="5">
        <v>.9999999999999999999999999999999999999996</v>
      </c>
      <c r="K2635" t="s">
        <v>38</v>
      </c>
      <c r="M2635">
        <v>58005</v>
      </c>
      <c r="N2635" t="s">
        <v>173</v>
      </c>
      <c r="O2635" t="s">
        <v>174</v>
      </c>
      <c r="P2635" t="s">
        <v>38</v>
      </c>
      <c r="Q2635" t="s">
        <v>50</v>
      </c>
      <c r="R2635">
        <v>0</v>
      </c>
      <c r="S2635" t="s">
        <v>45</v>
      </c>
      <c r="T2635" t="str" s="2">
        <f>=HYPERLINK("http://demo.enginatics.com:80/ecc/user/applications/log/58004.log","http://demo.enginatics.com:80/ecc/user/applications/log/58004.log")</f>
        <v>"http://demo.enginatics.com:80/ecc/user/applications/log/58004.log")</v>
      </c>
      <c r="U2635">
        <v>58006</v>
      </c>
      <c r="V2635" t="s">
        <v>38</v>
      </c>
      <c r="W2635" t="s">
        <v>50</v>
      </c>
      <c r="X2635">
        <v>0</v>
      </c>
      <c r="Y2635">
        <v>0</v>
      </c>
      <c r="Z2635" t="s">
        <v>46</v>
      </c>
      <c r="AA2635">
        <v>58007</v>
      </c>
      <c r="AB2635" t="s">
        <v>175</v>
      </c>
      <c r="AC2635" t="s">
        <v>68</v>
      </c>
      <c r="AD2635" t="s">
        <v>38</v>
      </c>
      <c r="AE2635" t="s">
        <v>49</v>
      </c>
      <c r="AF2635" t="s">
        <v>50</v>
      </c>
      <c r="AG2635">
        <v>0</v>
      </c>
      <c r="AH2635">
        <v>0</v>
      </c>
      <c r="AI2635" t="s">
        <v>51</v>
      </c>
      <c r="AJ2635" t="s">
        <v>51</v>
      </c>
      <c r="AK2635" t="s">
        <v>51</v>
      </c>
    </row>
    <row r="2636" spans="1:37" x14ac:dyDescent="0.2">
      <c r="A2636">
        <v>58000</v>
      </c>
      <c r="B2636" t="s">
        <v>37</v>
      </c>
      <c r="C2636" t="s">
        <v>38</v>
      </c>
      <c r="D2636" t="s">
        <v>169</v>
      </c>
      <c r="E2636" t="s">
        <v>176</v>
      </c>
      <c r="G2636" s="4">
        <v>43945.673935185185</v>
      </c>
      <c r="H2636" s="4">
        <v>43945.673981481481</v>
      </c>
      <c r="I2636" t="s">
        <v>44</v>
      </c>
      <c r="J2636" s="5">
        <v>4</v>
      </c>
      <c r="K2636" t="s">
        <v>38</v>
      </c>
      <c r="M2636">
        <v>58001</v>
      </c>
      <c r="N2636" t="s">
        <v>176</v>
      </c>
      <c r="O2636" t="s">
        <v>177</v>
      </c>
      <c r="P2636" t="s">
        <v>38</v>
      </c>
      <c r="Q2636" t="s">
        <v>85</v>
      </c>
      <c r="R2636">
        <v>3</v>
      </c>
      <c r="S2636" t="s">
        <v>45</v>
      </c>
      <c r="T2636" t="str" s="2">
        <f>=HYPERLINK("http://demo.enginatics.com:80/ecc/user/applications/log/58000.log","http://demo.enginatics.com:80/ecc/user/applications/log/58000.log")</f>
        <v>"http://demo.enginatics.com:80/ecc/user/applications/log/58000.log")</v>
      </c>
      <c r="U2636">
        <v>58002</v>
      </c>
      <c r="V2636" t="s">
        <v>38</v>
      </c>
      <c r="W2636" t="s">
        <v>85</v>
      </c>
      <c r="X2636">
        <v>3</v>
      </c>
      <c r="Y2636">
        <v>0</v>
      </c>
      <c r="Z2636" t="s">
        <v>46</v>
      </c>
      <c r="AA2636">
        <v>58003</v>
      </c>
      <c r="AB2636" t="s">
        <v>178</v>
      </c>
      <c r="AC2636" t="s">
        <v>68</v>
      </c>
      <c r="AD2636" t="s">
        <v>38</v>
      </c>
      <c r="AE2636" t="s">
        <v>49</v>
      </c>
      <c r="AF2636" t="s">
        <v>85</v>
      </c>
      <c r="AG2636">
        <v>3</v>
      </c>
      <c r="AH2636">
        <v>0</v>
      </c>
      <c r="AI2636" t="s">
        <v>51</v>
      </c>
      <c r="AJ2636" t="s">
        <v>51</v>
      </c>
      <c r="AK2636" t="s">
        <v>51</v>
      </c>
    </row>
    <row r="2637" spans="1:37" x14ac:dyDescent="0.2">
      <c r="A2637">
        <v>57996</v>
      </c>
      <c r="B2637" t="s">
        <v>37</v>
      </c>
      <c r="C2637" t="s">
        <v>38</v>
      </c>
      <c r="D2637" t="s">
        <v>169</v>
      </c>
      <c r="E2637" t="s">
        <v>179</v>
      </c>
      <c r="G2637" s="4">
        <v>43945.673483796296</v>
      </c>
      <c r="H2637" s="4">
        <v>43945.67380787037</v>
      </c>
      <c r="I2637" t="s">
        <v>308</v>
      </c>
      <c r="J2637" s="5">
        <v>27.99999999999999999999999999999999999999</v>
      </c>
      <c r="K2637" t="s">
        <v>38</v>
      </c>
      <c r="M2637">
        <v>57997</v>
      </c>
      <c r="N2637" t="s">
        <v>179</v>
      </c>
      <c r="O2637" t="s">
        <v>181</v>
      </c>
      <c r="P2637" t="s">
        <v>38</v>
      </c>
      <c r="Q2637" t="s">
        <v>308</v>
      </c>
      <c r="R2637">
        <v>27</v>
      </c>
      <c r="S2637" t="s">
        <v>45</v>
      </c>
      <c r="T2637" t="str" s="2">
        <f>=HYPERLINK("http://demo.enginatics.com:80/ecc/user/applications/log/57996.log","http://demo.enginatics.com:80/ecc/user/applications/log/57996.log")</f>
        <v>"http://demo.enginatics.com:80/ecc/user/applications/log/57996.log")</v>
      </c>
      <c r="U2637">
        <v>57998</v>
      </c>
      <c r="V2637" t="s">
        <v>38</v>
      </c>
      <c r="W2637" t="s">
        <v>308</v>
      </c>
      <c r="X2637">
        <v>27</v>
      </c>
      <c r="Y2637">
        <v>0</v>
      </c>
      <c r="Z2637" t="s">
        <v>46</v>
      </c>
      <c r="AA2637">
        <v>57999</v>
      </c>
      <c r="AB2637" t="s">
        <v>182</v>
      </c>
      <c r="AC2637" t="s">
        <v>68</v>
      </c>
      <c r="AD2637" t="s">
        <v>38</v>
      </c>
      <c r="AE2637" t="s">
        <v>49</v>
      </c>
      <c r="AF2637" t="s">
        <v>308</v>
      </c>
      <c r="AG2637">
        <v>27</v>
      </c>
      <c r="AH2637">
        <v>22</v>
      </c>
      <c r="AI2637" t="s">
        <v>51</v>
      </c>
      <c r="AJ2637" t="s">
        <v>51</v>
      </c>
      <c r="AK2637" t="s">
        <v>51</v>
      </c>
    </row>
    <row r="2638" spans="1:37" x14ac:dyDescent="0.2">
      <c r="A2638">
        <v>57992</v>
      </c>
      <c r="B2638" t="s">
        <v>37</v>
      </c>
      <c r="C2638" t="s">
        <v>38</v>
      </c>
      <c r="D2638" t="s">
        <v>169</v>
      </c>
      <c r="E2638" t="s">
        <v>184</v>
      </c>
      <c r="G2638" s="4">
        <v>43945.673391203704</v>
      </c>
      <c r="H2638" s="4">
        <v>43945.673391203704</v>
      </c>
      <c r="I2638" t="s">
        <v>50</v>
      </c>
      <c r="J2638" s="5">
        <v>0</v>
      </c>
      <c r="K2638" t="s">
        <v>38</v>
      </c>
      <c r="M2638">
        <v>57993</v>
      </c>
      <c r="N2638" t="s">
        <v>184</v>
      </c>
      <c r="O2638" t="s">
        <v>185</v>
      </c>
      <c r="P2638" t="s">
        <v>38</v>
      </c>
      <c r="Q2638" t="s">
        <v>50</v>
      </c>
      <c r="R2638">
        <v>0</v>
      </c>
      <c r="S2638" t="s">
        <v>45</v>
      </c>
      <c r="T2638" t="str" s="2">
        <f>=HYPERLINK("http://demo.enginatics.com:80/ecc/user/applications/log/57992.log","http://demo.enginatics.com:80/ecc/user/applications/log/57992.log")</f>
        <v>"http://demo.enginatics.com:80/ecc/user/applications/log/57992.log")</v>
      </c>
      <c r="U2638">
        <v>57994</v>
      </c>
      <c r="V2638" t="s">
        <v>38</v>
      </c>
      <c r="W2638" t="s">
        <v>50</v>
      </c>
      <c r="X2638">
        <v>0</v>
      </c>
      <c r="Y2638">
        <v>0</v>
      </c>
      <c r="Z2638" t="s">
        <v>46</v>
      </c>
      <c r="AA2638">
        <v>57995</v>
      </c>
      <c r="AB2638" t="s">
        <v>186</v>
      </c>
      <c r="AC2638" t="s">
        <v>68</v>
      </c>
      <c r="AD2638" t="s">
        <v>38</v>
      </c>
      <c r="AE2638" t="s">
        <v>49</v>
      </c>
      <c r="AF2638" t="s">
        <v>50</v>
      </c>
      <c r="AG2638">
        <v>0</v>
      </c>
      <c r="AH2638">
        <v>0</v>
      </c>
      <c r="AI2638" t="s">
        <v>51</v>
      </c>
      <c r="AJ2638" t="s">
        <v>51</v>
      </c>
      <c r="AK2638" t="s">
        <v>51</v>
      </c>
    </row>
    <row r="2639" spans="1:37" x14ac:dyDescent="0.2">
      <c r="A2639">
        <v>57988</v>
      </c>
      <c r="B2639" t="s">
        <v>37</v>
      </c>
      <c r="C2639" t="s">
        <v>38</v>
      </c>
      <c r="D2639" t="s">
        <v>169</v>
      </c>
      <c r="E2639" t="s">
        <v>187</v>
      </c>
      <c r="G2639" s="4">
        <v>43945.673194444444</v>
      </c>
      <c r="H2639" s="4">
        <v>43945.673252314815</v>
      </c>
      <c r="I2639" t="s">
        <v>78</v>
      </c>
      <c r="J2639" s="5">
        <v>5</v>
      </c>
      <c r="K2639" t="s">
        <v>38</v>
      </c>
      <c r="M2639">
        <v>57989</v>
      </c>
      <c r="N2639" t="s">
        <v>187</v>
      </c>
      <c r="O2639" t="s">
        <v>188</v>
      </c>
      <c r="P2639" t="s">
        <v>38</v>
      </c>
      <c r="Q2639" t="s">
        <v>78</v>
      </c>
      <c r="R2639">
        <v>5</v>
      </c>
      <c r="S2639" t="s">
        <v>45</v>
      </c>
      <c r="T2639" t="str" s="2">
        <f>=HYPERLINK("http://demo.enginatics.com:80/ecc/user/applications/log/57988.log","http://demo.enginatics.com:80/ecc/user/applications/log/57988.log")</f>
        <v>"http://demo.enginatics.com:80/ecc/user/applications/log/57988.log")</v>
      </c>
      <c r="U2639">
        <v>57990</v>
      </c>
      <c r="V2639" t="s">
        <v>38</v>
      </c>
      <c r="W2639" t="s">
        <v>78</v>
      </c>
      <c r="X2639">
        <v>5</v>
      </c>
      <c r="Y2639">
        <v>0</v>
      </c>
      <c r="Z2639" t="s">
        <v>46</v>
      </c>
      <c r="AA2639">
        <v>57991</v>
      </c>
      <c r="AB2639" t="s">
        <v>189</v>
      </c>
      <c r="AC2639" t="s">
        <v>68</v>
      </c>
      <c r="AD2639" t="s">
        <v>38</v>
      </c>
      <c r="AE2639" t="s">
        <v>49</v>
      </c>
      <c r="AF2639" t="s">
        <v>85</v>
      </c>
      <c r="AG2639">
        <v>3</v>
      </c>
      <c r="AH2639">
        <v>3</v>
      </c>
      <c r="AI2639" t="s">
        <v>51</v>
      </c>
      <c r="AJ2639" t="s">
        <v>51</v>
      </c>
      <c r="AK2639" t="s">
        <v>51</v>
      </c>
    </row>
    <row r="2640" spans="1:37" x14ac:dyDescent="0.2">
      <c r="A2640">
        <v>57984</v>
      </c>
      <c r="B2640" t="s">
        <v>37</v>
      </c>
      <c r="C2640" t="s">
        <v>38</v>
      </c>
      <c r="D2640" t="s">
        <v>169</v>
      </c>
      <c r="E2640" t="s">
        <v>190</v>
      </c>
      <c r="G2640" s="4">
        <v>43945.673020833333</v>
      </c>
      <c r="H2640" s="4">
        <v>43945.673032407407</v>
      </c>
      <c r="I2640" t="s">
        <v>50</v>
      </c>
      <c r="J2640" s="5">
        <v>.9999999999999999999999999999999999999996</v>
      </c>
      <c r="K2640" t="s">
        <v>38</v>
      </c>
      <c r="M2640">
        <v>57985</v>
      </c>
      <c r="N2640" t="s">
        <v>190</v>
      </c>
      <c r="O2640" t="s">
        <v>191</v>
      </c>
      <c r="P2640" t="s">
        <v>38</v>
      </c>
      <c r="Q2640" t="s">
        <v>50</v>
      </c>
      <c r="R2640">
        <v>0</v>
      </c>
      <c r="S2640" t="s">
        <v>45</v>
      </c>
      <c r="T2640" t="str" s="2">
        <f>=HYPERLINK("http://demo.enginatics.com:80/ecc/user/applications/log/57984.log","http://demo.enginatics.com:80/ecc/user/applications/log/57984.log")</f>
        <v>"http://demo.enginatics.com:80/ecc/user/applications/log/57984.log")</v>
      </c>
      <c r="U2640">
        <v>57986</v>
      </c>
      <c r="V2640" t="s">
        <v>38</v>
      </c>
      <c r="W2640" t="s">
        <v>50</v>
      </c>
      <c r="X2640">
        <v>0</v>
      </c>
      <c r="Y2640">
        <v>0</v>
      </c>
      <c r="Z2640" t="s">
        <v>46</v>
      </c>
      <c r="AA2640">
        <v>57987</v>
      </c>
      <c r="AB2640" t="s">
        <v>192</v>
      </c>
      <c r="AC2640" t="s">
        <v>68</v>
      </c>
      <c r="AD2640" t="s">
        <v>38</v>
      </c>
      <c r="AE2640" t="s">
        <v>49</v>
      </c>
      <c r="AF2640" t="s">
        <v>50</v>
      </c>
      <c r="AG2640">
        <v>0</v>
      </c>
      <c r="AH2640">
        <v>0</v>
      </c>
      <c r="AI2640" t="s">
        <v>51</v>
      </c>
      <c r="AJ2640" t="s">
        <v>51</v>
      </c>
      <c r="AK2640" t="s">
        <v>51</v>
      </c>
    </row>
    <row r="2641" spans="1:37" x14ac:dyDescent="0.2">
      <c r="A2641">
        <v>57980</v>
      </c>
      <c r="B2641" t="s">
        <v>37</v>
      </c>
      <c r="C2641" t="s">
        <v>38</v>
      </c>
      <c r="D2641" t="s">
        <v>169</v>
      </c>
      <c r="E2641" t="s">
        <v>193</v>
      </c>
      <c r="G2641" s="4">
        <v>43945.672916666667</v>
      </c>
      <c r="H2641" s="4">
        <v>43945.672928240741</v>
      </c>
      <c r="I2641" t="s">
        <v>50</v>
      </c>
      <c r="J2641" s="5">
        <v>.9999999999999999999999999999999999999996</v>
      </c>
      <c r="K2641" t="s">
        <v>38</v>
      </c>
      <c r="M2641">
        <v>57981</v>
      </c>
      <c r="N2641" t="s">
        <v>193</v>
      </c>
      <c r="O2641" t="s">
        <v>194</v>
      </c>
      <c r="P2641" t="s">
        <v>38</v>
      </c>
      <c r="Q2641" t="s">
        <v>50</v>
      </c>
      <c r="R2641">
        <v>0</v>
      </c>
      <c r="S2641" t="s">
        <v>45</v>
      </c>
      <c r="T2641" t="str" s="2">
        <f>=HYPERLINK("http://demo.enginatics.com:80/ecc/user/applications/log/57980.log","http://demo.enginatics.com:80/ecc/user/applications/log/57980.log")</f>
        <v>"http://demo.enginatics.com:80/ecc/user/applications/log/57980.log")</v>
      </c>
      <c r="U2641">
        <v>57982</v>
      </c>
      <c r="V2641" t="s">
        <v>38</v>
      </c>
      <c r="W2641" t="s">
        <v>50</v>
      </c>
      <c r="X2641">
        <v>0</v>
      </c>
      <c r="Y2641">
        <v>0</v>
      </c>
      <c r="Z2641" t="s">
        <v>46</v>
      </c>
      <c r="AA2641">
        <v>57983</v>
      </c>
      <c r="AB2641" t="s">
        <v>195</v>
      </c>
      <c r="AC2641" t="s">
        <v>68</v>
      </c>
      <c r="AD2641" t="s">
        <v>38</v>
      </c>
      <c r="AE2641" t="s">
        <v>49</v>
      </c>
      <c r="AF2641" t="s">
        <v>50</v>
      </c>
      <c r="AG2641">
        <v>0</v>
      </c>
      <c r="AH2641">
        <v>0</v>
      </c>
      <c r="AI2641" t="s">
        <v>51</v>
      </c>
      <c r="AJ2641" t="s">
        <v>51</v>
      </c>
      <c r="AK2641" t="s">
        <v>51</v>
      </c>
    </row>
    <row r="2642" spans="1:37" x14ac:dyDescent="0.2">
      <c r="A2642">
        <v>57977</v>
      </c>
      <c r="B2642" t="s">
        <v>37</v>
      </c>
      <c r="C2642" t="s">
        <v>196</v>
      </c>
      <c r="D2642" t="s">
        <v>169</v>
      </c>
      <c r="E2642" t="s">
        <v>197</v>
      </c>
      <c r="G2642" s="4">
        <v>43945.672800925926</v>
      </c>
      <c r="H2642" s="4">
        <v>43945.6728125</v>
      </c>
      <c r="I2642" t="s">
        <v>50</v>
      </c>
      <c r="J2642" s="5">
        <v>.9999999999999999999999999999999999999996</v>
      </c>
      <c r="K2642" t="s">
        <v>196</v>
      </c>
      <c r="M2642">
        <v>57978</v>
      </c>
      <c r="N2642" t="s">
        <v>197</v>
      </c>
      <c r="O2642" t="s">
        <v>198</v>
      </c>
      <c r="P2642" t="s">
        <v>196</v>
      </c>
      <c r="Q2642" t="s">
        <v>50</v>
      </c>
      <c r="R2642">
        <v>0</v>
      </c>
      <c r="S2642" t="s">
        <v>199</v>
      </c>
      <c r="T2642" t="str" s="2">
        <f>=HYPERLINK("http://demo.enginatics.com:80/ecc/user/applications/log/57977.log","http://demo.enginatics.com:80/ecc/user/applications/log/57977.log")</f>
        <v>"http://demo.enginatics.com:80/ecc/user/applications/log/57977.log")</v>
      </c>
      <c r="U2642">
        <v>57979</v>
      </c>
      <c r="V2642" t="s">
        <v>196</v>
      </c>
      <c r="W2642" t="s">
        <v>50</v>
      </c>
      <c r="X2642">
        <v>0</v>
      </c>
      <c r="Y2642">
        <v>0</v>
      </c>
      <c r="Z2642" t="s">
        <v>2119</v>
      </c>
    </row>
    <row r="2643" spans="1:37" x14ac:dyDescent="0.2">
      <c r="A2643">
        <v>57973</v>
      </c>
      <c r="B2643" t="s">
        <v>37</v>
      </c>
      <c r="C2643" t="s">
        <v>38</v>
      </c>
      <c r="D2643" t="s">
        <v>169</v>
      </c>
      <c r="E2643" t="s">
        <v>201</v>
      </c>
      <c r="G2643" s="4">
        <v>43945.670381944444</v>
      </c>
      <c r="H2643" s="4">
        <v>43945.670405092593</v>
      </c>
      <c r="I2643" t="s">
        <v>88</v>
      </c>
      <c r="J2643" s="5">
        <v>2</v>
      </c>
      <c r="K2643" t="s">
        <v>38</v>
      </c>
      <c r="M2643">
        <v>57974</v>
      </c>
      <c r="N2643" t="s">
        <v>201</v>
      </c>
      <c r="O2643" t="s">
        <v>202</v>
      </c>
      <c r="P2643" t="s">
        <v>38</v>
      </c>
      <c r="Q2643" t="s">
        <v>50</v>
      </c>
      <c r="R2643">
        <v>.9999999999999999999999999999999999999996</v>
      </c>
      <c r="S2643" t="s">
        <v>45</v>
      </c>
      <c r="T2643" t="str" s="2">
        <f>=HYPERLINK("http://demo.enginatics.com:80/ecc/user/applications/log/57973.log","http://demo.enginatics.com:80/ecc/user/applications/log/57973.log")</f>
        <v>"http://demo.enginatics.com:80/ecc/user/applications/log/57973.log")</v>
      </c>
      <c r="U2643">
        <v>57975</v>
      </c>
      <c r="V2643" t="s">
        <v>38</v>
      </c>
      <c r="W2643" t="s">
        <v>50</v>
      </c>
      <c r="X2643">
        <v>.9999999999999999999999999999999999999996</v>
      </c>
      <c r="Y2643">
        <v>0</v>
      </c>
      <c r="Z2643" t="s">
        <v>46</v>
      </c>
      <c r="AA2643">
        <v>57976</v>
      </c>
      <c r="AB2643" t="s">
        <v>1876</v>
      </c>
      <c r="AC2643" t="s">
        <v>68</v>
      </c>
      <c r="AD2643" t="s">
        <v>38</v>
      </c>
      <c r="AE2643" t="s">
        <v>49</v>
      </c>
      <c r="AF2643" t="s">
        <v>50</v>
      </c>
      <c r="AG2643">
        <v>.9999999999999999999999999999999999999996</v>
      </c>
      <c r="AH2643">
        <v>0</v>
      </c>
      <c r="AI2643" t="s">
        <v>51</v>
      </c>
      <c r="AJ2643" t="s">
        <v>51</v>
      </c>
      <c r="AK2643" t="s">
        <v>51</v>
      </c>
    </row>
    <row r="2644" spans="1:37" x14ac:dyDescent="0.2">
      <c r="A2644">
        <v>57968</v>
      </c>
      <c r="B2644" t="s">
        <v>37</v>
      </c>
      <c r="C2644" t="s">
        <v>38</v>
      </c>
      <c r="D2644" t="s">
        <v>169</v>
      </c>
      <c r="E2644" t="s">
        <v>204</v>
      </c>
      <c r="G2644" s="4">
        <v>43945.67025462963</v>
      </c>
      <c r="H2644" s="4">
        <v>43945.670289351852</v>
      </c>
      <c r="I2644" t="s">
        <v>85</v>
      </c>
      <c r="J2644" s="5">
        <v>3</v>
      </c>
      <c r="K2644" t="s">
        <v>38</v>
      </c>
      <c r="M2644">
        <v>57969</v>
      </c>
      <c r="N2644" t="s">
        <v>204</v>
      </c>
      <c r="O2644" t="s">
        <v>205</v>
      </c>
      <c r="P2644" t="s">
        <v>38</v>
      </c>
      <c r="Q2644" t="s">
        <v>85</v>
      </c>
      <c r="R2644">
        <v>3</v>
      </c>
      <c r="S2644" t="s">
        <v>45</v>
      </c>
      <c r="T2644" t="str" s="2">
        <f>=HYPERLINK("http://demo.enginatics.com:80/ecc/user/applications/log/57968.log","http://demo.enginatics.com:80/ecc/user/applications/log/57968.log")</f>
        <v>"http://demo.enginatics.com:80/ecc/user/applications/log/57968.log")</v>
      </c>
      <c r="U2644">
        <v>57970</v>
      </c>
      <c r="V2644" t="s">
        <v>38</v>
      </c>
      <c r="W2644" t="s">
        <v>85</v>
      </c>
      <c r="X2644">
        <v>3</v>
      </c>
      <c r="Y2644">
        <v>1</v>
      </c>
      <c r="Z2644" t="s">
        <v>46</v>
      </c>
      <c r="AA2644">
        <v>57972</v>
      </c>
      <c r="AB2644" t="s">
        <v>206</v>
      </c>
      <c r="AC2644" t="s">
        <v>68</v>
      </c>
      <c r="AD2644" t="s">
        <v>38</v>
      </c>
      <c r="AE2644" t="s">
        <v>49</v>
      </c>
      <c r="AF2644" t="s">
        <v>50</v>
      </c>
      <c r="AG2644">
        <v>.9999999999999999999999999999999999999996</v>
      </c>
      <c r="AH2644">
        <v>0</v>
      </c>
      <c r="AI2644" t="s">
        <v>51</v>
      </c>
      <c r="AJ2644" t="s">
        <v>51</v>
      </c>
      <c r="AK2644" t="s">
        <v>51</v>
      </c>
    </row>
    <row r="2645" spans="1:37" x14ac:dyDescent="0.2">
      <c r="A2645">
        <v>57968</v>
      </c>
      <c r="B2645" t="s">
        <v>37</v>
      </c>
      <c r="C2645" t="s">
        <v>38</v>
      </c>
      <c r="D2645" t="s">
        <v>169</v>
      </c>
      <c r="E2645" t="s">
        <v>204</v>
      </c>
      <c r="G2645" s="4">
        <v>43945.67025462963</v>
      </c>
      <c r="H2645" s="4">
        <v>43945.670289351852</v>
      </c>
      <c r="I2645" t="s">
        <v>85</v>
      </c>
      <c r="J2645" s="5">
        <v>3</v>
      </c>
      <c r="K2645" t="s">
        <v>38</v>
      </c>
      <c r="M2645">
        <v>57969</v>
      </c>
      <c r="N2645" t="s">
        <v>204</v>
      </c>
      <c r="O2645" t="s">
        <v>205</v>
      </c>
      <c r="P2645" t="s">
        <v>38</v>
      </c>
      <c r="Q2645" t="s">
        <v>85</v>
      </c>
      <c r="R2645">
        <v>3</v>
      </c>
      <c r="S2645" t="s">
        <v>45</v>
      </c>
      <c r="T2645" t="str" s="2">
        <f>=HYPERLINK("http://demo.enginatics.com:80/ecc/user/applications/log/57968.log","http://demo.enginatics.com:80/ecc/user/applications/log/57968.log")</f>
        <v>"http://demo.enginatics.com:80/ecc/user/applications/log/57968.log")</v>
      </c>
      <c r="U2645">
        <v>57970</v>
      </c>
      <c r="V2645" t="s">
        <v>38</v>
      </c>
      <c r="W2645" t="s">
        <v>85</v>
      </c>
      <c r="X2645">
        <v>3</v>
      </c>
      <c r="Y2645">
        <v>1</v>
      </c>
      <c r="Z2645" t="s">
        <v>46</v>
      </c>
      <c r="AA2645">
        <v>57971</v>
      </c>
      <c r="AB2645" t="s">
        <v>207</v>
      </c>
      <c r="AC2645" t="s">
        <v>56</v>
      </c>
      <c r="AD2645" t="s">
        <v>38</v>
      </c>
      <c r="AE2645" t="s">
        <v>49</v>
      </c>
      <c r="AF2645" t="s">
        <v>50</v>
      </c>
      <c r="AG2645">
        <v>.9999999999999999999999999999999999999996</v>
      </c>
      <c r="AH2645">
        <v>1</v>
      </c>
      <c r="AI2645" t="s">
        <v>51</v>
      </c>
      <c r="AJ2645" t="s">
        <v>51</v>
      </c>
      <c r="AK2645" t="s">
        <v>51</v>
      </c>
    </row>
    <row r="2646" spans="1:37" x14ac:dyDescent="0.2">
      <c r="A2646">
        <v>57963</v>
      </c>
      <c r="B2646" t="s">
        <v>37</v>
      </c>
      <c r="C2646" t="s">
        <v>38</v>
      </c>
      <c r="D2646" t="s">
        <v>169</v>
      </c>
      <c r="E2646" t="s">
        <v>208</v>
      </c>
      <c r="G2646" s="4">
        <v>43945.670081018519</v>
      </c>
      <c r="H2646" s="4">
        <v>43945.670092592593</v>
      </c>
      <c r="I2646" t="s">
        <v>50</v>
      </c>
      <c r="J2646" s="5">
        <v>.9999999999999999999999999999999999999996</v>
      </c>
      <c r="K2646" t="s">
        <v>38</v>
      </c>
      <c r="M2646">
        <v>57964</v>
      </c>
      <c r="N2646" t="s">
        <v>208</v>
      </c>
      <c r="O2646" t="s">
        <v>209</v>
      </c>
      <c r="P2646" t="s">
        <v>38</v>
      </c>
      <c r="Q2646" t="s">
        <v>50</v>
      </c>
      <c r="R2646">
        <v>0</v>
      </c>
      <c r="S2646" t="s">
        <v>45</v>
      </c>
      <c r="T2646" t="str" s="2">
        <f>=HYPERLINK("http://demo.enginatics.com:80/ecc/user/applications/log/57963.log","http://demo.enginatics.com:80/ecc/user/applications/log/57963.log")</f>
        <v>"http://demo.enginatics.com:80/ecc/user/applications/log/57963.log")</v>
      </c>
      <c r="U2646">
        <v>57965</v>
      </c>
      <c r="V2646" t="s">
        <v>38</v>
      </c>
      <c r="W2646" t="s">
        <v>50</v>
      </c>
      <c r="X2646">
        <v>0</v>
      </c>
      <c r="Y2646">
        <v>0</v>
      </c>
      <c r="Z2646" t="s">
        <v>46</v>
      </c>
      <c r="AA2646">
        <v>57967</v>
      </c>
      <c r="AB2646" t="s">
        <v>210</v>
      </c>
      <c r="AC2646" t="s">
        <v>48</v>
      </c>
      <c r="AD2646" t="s">
        <v>38</v>
      </c>
      <c r="AE2646" t="s">
        <v>49</v>
      </c>
      <c r="AF2646" t="s">
        <v>50</v>
      </c>
      <c r="AG2646">
        <v>0</v>
      </c>
      <c r="AH2646">
        <v>0</v>
      </c>
      <c r="AI2646" t="s">
        <v>51</v>
      </c>
      <c r="AJ2646" t="s">
        <v>51</v>
      </c>
      <c r="AK2646" t="s">
        <v>51</v>
      </c>
    </row>
    <row r="2647" spans="1:37" x14ac:dyDescent="0.2">
      <c r="A2647">
        <v>57963</v>
      </c>
      <c r="B2647" t="s">
        <v>37</v>
      </c>
      <c r="C2647" t="s">
        <v>38</v>
      </c>
      <c r="D2647" t="s">
        <v>169</v>
      </c>
      <c r="E2647" t="s">
        <v>208</v>
      </c>
      <c r="G2647" s="4">
        <v>43945.670081018519</v>
      </c>
      <c r="H2647" s="4">
        <v>43945.670092592593</v>
      </c>
      <c r="I2647" t="s">
        <v>50</v>
      </c>
      <c r="J2647" s="5">
        <v>.9999999999999999999999999999999999999996</v>
      </c>
      <c r="K2647" t="s">
        <v>38</v>
      </c>
      <c r="M2647">
        <v>57964</v>
      </c>
      <c r="N2647" t="s">
        <v>208</v>
      </c>
      <c r="O2647" t="s">
        <v>209</v>
      </c>
      <c r="P2647" t="s">
        <v>38</v>
      </c>
      <c r="Q2647" t="s">
        <v>50</v>
      </c>
      <c r="R2647">
        <v>0</v>
      </c>
      <c r="S2647" t="s">
        <v>45</v>
      </c>
      <c r="T2647" t="str" s="2">
        <f>=HYPERLINK("http://demo.enginatics.com:80/ecc/user/applications/log/57963.log","http://demo.enginatics.com:80/ecc/user/applications/log/57963.log")</f>
        <v>"http://demo.enginatics.com:80/ecc/user/applications/log/57963.log")</v>
      </c>
      <c r="U2647">
        <v>57965</v>
      </c>
      <c r="V2647" t="s">
        <v>38</v>
      </c>
      <c r="W2647" t="s">
        <v>50</v>
      </c>
      <c r="X2647">
        <v>0</v>
      </c>
      <c r="Y2647">
        <v>0</v>
      </c>
      <c r="Z2647" t="s">
        <v>46</v>
      </c>
      <c r="AA2647">
        <v>57966</v>
      </c>
      <c r="AB2647" t="s">
        <v>211</v>
      </c>
      <c r="AC2647" t="s">
        <v>56</v>
      </c>
      <c r="AD2647" t="s">
        <v>38</v>
      </c>
      <c r="AE2647" t="s">
        <v>49</v>
      </c>
      <c r="AF2647" t="s">
        <v>50</v>
      </c>
      <c r="AG2647">
        <v>0</v>
      </c>
      <c r="AH2647">
        <v>0</v>
      </c>
      <c r="AI2647" t="s">
        <v>51</v>
      </c>
      <c r="AJ2647" t="s">
        <v>51</v>
      </c>
      <c r="AK2647" t="s">
        <v>51</v>
      </c>
    </row>
    <row r="2648" spans="1:37" x14ac:dyDescent="0.2">
      <c r="A2648">
        <v>57959</v>
      </c>
      <c r="B2648" t="s">
        <v>37</v>
      </c>
      <c r="C2648" t="s">
        <v>38</v>
      </c>
      <c r="D2648" t="s">
        <v>169</v>
      </c>
      <c r="E2648" t="s">
        <v>212</v>
      </c>
      <c r="G2648" s="4">
        <v>43945.669918981481</v>
      </c>
      <c r="H2648" s="4">
        <v>43945.669930555556</v>
      </c>
      <c r="I2648" t="s">
        <v>50</v>
      </c>
      <c r="J2648" s="5">
        <v>.9999999999999999999999999999999999999996</v>
      </c>
      <c r="K2648" t="s">
        <v>38</v>
      </c>
      <c r="M2648">
        <v>57960</v>
      </c>
      <c r="N2648" t="s">
        <v>212</v>
      </c>
      <c r="O2648" t="s">
        <v>213</v>
      </c>
      <c r="P2648" t="s">
        <v>38</v>
      </c>
      <c r="Q2648" t="s">
        <v>50</v>
      </c>
      <c r="R2648">
        <v>.9999999999999999999999999999999999999996</v>
      </c>
      <c r="S2648" t="s">
        <v>45</v>
      </c>
      <c r="T2648" t="str" s="2">
        <f>=HYPERLINK("http://demo.enginatics.com:80/ecc/user/applications/log/57959.log","http://demo.enginatics.com:80/ecc/user/applications/log/57959.log")</f>
        <v>"http://demo.enginatics.com:80/ecc/user/applications/log/57959.log")</v>
      </c>
      <c r="U2648">
        <v>57961</v>
      </c>
      <c r="V2648" t="s">
        <v>38</v>
      </c>
      <c r="W2648" t="s">
        <v>50</v>
      </c>
      <c r="X2648">
        <v>.9999999999999999999999999999999999999996</v>
      </c>
      <c r="Y2648">
        <v>0</v>
      </c>
      <c r="Z2648" t="s">
        <v>46</v>
      </c>
      <c r="AA2648">
        <v>57962</v>
      </c>
      <c r="AB2648" t="s">
        <v>1877</v>
      </c>
      <c r="AC2648" t="s">
        <v>68</v>
      </c>
      <c r="AD2648" t="s">
        <v>38</v>
      </c>
      <c r="AE2648" t="s">
        <v>49</v>
      </c>
      <c r="AF2648" t="s">
        <v>50</v>
      </c>
      <c r="AG2648">
        <v>0</v>
      </c>
      <c r="AH2648">
        <v>0</v>
      </c>
      <c r="AI2648" t="s">
        <v>51</v>
      </c>
      <c r="AJ2648" t="s">
        <v>51</v>
      </c>
      <c r="AK2648" t="s">
        <v>51</v>
      </c>
    </row>
    <row r="2649" spans="1:37" x14ac:dyDescent="0.2">
      <c r="A2649">
        <v>57954</v>
      </c>
      <c r="B2649" t="s">
        <v>37</v>
      </c>
      <c r="C2649" t="s">
        <v>38</v>
      </c>
      <c r="D2649" t="s">
        <v>169</v>
      </c>
      <c r="E2649" t="s">
        <v>215</v>
      </c>
      <c r="G2649" s="4">
        <v>43945.669768518519</v>
      </c>
      <c r="H2649" s="4">
        <v>43945.669780092593</v>
      </c>
      <c r="I2649" t="s">
        <v>50</v>
      </c>
      <c r="J2649" s="5">
        <v>.9999999999999999999999999999999999999996</v>
      </c>
      <c r="K2649" t="s">
        <v>38</v>
      </c>
      <c r="M2649">
        <v>57955</v>
      </c>
      <c r="N2649" t="s">
        <v>215</v>
      </c>
      <c r="O2649" t="s">
        <v>216</v>
      </c>
      <c r="P2649" t="s">
        <v>38</v>
      </c>
      <c r="Q2649" t="s">
        <v>50</v>
      </c>
      <c r="R2649">
        <v>.9999999999999999999999999999999999999996</v>
      </c>
      <c r="S2649" t="s">
        <v>45</v>
      </c>
      <c r="T2649" t="str" s="2">
        <f>=HYPERLINK("http://demo.enginatics.com:80/ecc/user/applications/log/57954.log","http://demo.enginatics.com:80/ecc/user/applications/log/57954.log")</f>
        <v>"http://demo.enginatics.com:80/ecc/user/applications/log/57954.log")</v>
      </c>
      <c r="U2649">
        <v>57956</v>
      </c>
      <c r="V2649" t="s">
        <v>38</v>
      </c>
      <c r="W2649" t="s">
        <v>50</v>
      </c>
      <c r="X2649">
        <v>.9999999999999999999999999999999999999996</v>
      </c>
      <c r="Y2649">
        <v>0</v>
      </c>
      <c r="Z2649" t="s">
        <v>46</v>
      </c>
      <c r="AA2649">
        <v>57958</v>
      </c>
      <c r="AB2649" t="s">
        <v>217</v>
      </c>
      <c r="AC2649" t="s">
        <v>48</v>
      </c>
      <c r="AD2649" t="s">
        <v>38</v>
      </c>
      <c r="AE2649" t="s">
        <v>49</v>
      </c>
      <c r="AF2649" t="s">
        <v>50</v>
      </c>
      <c r="AG2649">
        <v>.9999999999999999999999999999999999999996</v>
      </c>
      <c r="AH2649">
        <v>0</v>
      </c>
      <c r="AI2649" t="s">
        <v>51</v>
      </c>
      <c r="AJ2649" t="s">
        <v>51</v>
      </c>
      <c r="AK2649" t="s">
        <v>51</v>
      </c>
    </row>
    <row r="2650" spans="1:37" x14ac:dyDescent="0.2">
      <c r="A2650">
        <v>57954</v>
      </c>
      <c r="B2650" t="s">
        <v>37</v>
      </c>
      <c r="C2650" t="s">
        <v>38</v>
      </c>
      <c r="D2650" t="s">
        <v>169</v>
      </c>
      <c r="E2650" t="s">
        <v>215</v>
      </c>
      <c r="G2650" s="4">
        <v>43945.669768518519</v>
      </c>
      <c r="H2650" s="4">
        <v>43945.669780092593</v>
      </c>
      <c r="I2650" t="s">
        <v>50</v>
      </c>
      <c r="J2650" s="5">
        <v>.9999999999999999999999999999999999999996</v>
      </c>
      <c r="K2650" t="s">
        <v>38</v>
      </c>
      <c r="M2650">
        <v>57955</v>
      </c>
      <c r="N2650" t="s">
        <v>215</v>
      </c>
      <c r="O2650" t="s">
        <v>216</v>
      </c>
      <c r="P2650" t="s">
        <v>38</v>
      </c>
      <c r="Q2650" t="s">
        <v>50</v>
      </c>
      <c r="R2650">
        <v>.9999999999999999999999999999999999999996</v>
      </c>
      <c r="S2650" t="s">
        <v>45</v>
      </c>
      <c r="T2650" t="str" s="2">
        <f>=HYPERLINK("http://demo.enginatics.com:80/ecc/user/applications/log/57954.log","http://demo.enginatics.com:80/ecc/user/applications/log/57954.log")</f>
        <v>"http://demo.enginatics.com:80/ecc/user/applications/log/57954.log")</v>
      </c>
      <c r="U2650">
        <v>57956</v>
      </c>
      <c r="V2650" t="s">
        <v>38</v>
      </c>
      <c r="W2650" t="s">
        <v>50</v>
      </c>
      <c r="X2650">
        <v>.9999999999999999999999999999999999999996</v>
      </c>
      <c r="Y2650">
        <v>0</v>
      </c>
      <c r="Z2650" t="s">
        <v>46</v>
      </c>
      <c r="AA2650">
        <v>57957</v>
      </c>
      <c r="AB2650" t="s">
        <v>218</v>
      </c>
      <c r="AC2650" t="s">
        <v>56</v>
      </c>
      <c r="AD2650" t="s">
        <v>38</v>
      </c>
      <c r="AE2650" t="s">
        <v>49</v>
      </c>
      <c r="AF2650" t="s">
        <v>50</v>
      </c>
      <c r="AG2650">
        <v>0</v>
      </c>
      <c r="AH2650">
        <v>0</v>
      </c>
      <c r="AI2650" t="s">
        <v>51</v>
      </c>
      <c r="AJ2650" t="s">
        <v>51</v>
      </c>
      <c r="AK2650" t="s">
        <v>51</v>
      </c>
    </row>
    <row r="2651" spans="1:37" x14ac:dyDescent="0.2">
      <c r="A2651">
        <v>57948</v>
      </c>
      <c r="B2651" t="s">
        <v>37</v>
      </c>
      <c r="C2651" t="s">
        <v>38</v>
      </c>
      <c r="D2651" t="s">
        <v>169</v>
      </c>
      <c r="E2651" t="s">
        <v>223</v>
      </c>
      <c r="G2651" s="4">
        <v>43945.669467592593</v>
      </c>
      <c r="H2651" s="4">
        <v>43945.669479166667</v>
      </c>
      <c r="I2651" t="s">
        <v>50</v>
      </c>
      <c r="J2651" s="5">
        <v>.9999999999999999999999999999999999999996</v>
      </c>
      <c r="K2651" t="s">
        <v>38</v>
      </c>
      <c r="M2651">
        <v>57949</v>
      </c>
      <c r="N2651" t="s">
        <v>223</v>
      </c>
      <c r="O2651" t="s">
        <v>224</v>
      </c>
      <c r="P2651" t="s">
        <v>38</v>
      </c>
      <c r="Q2651" t="s">
        <v>50</v>
      </c>
      <c r="R2651">
        <v>.9999999999999999999999999999999999999996</v>
      </c>
      <c r="S2651" t="s">
        <v>45</v>
      </c>
      <c r="T2651" t="str" s="2">
        <f>=HYPERLINK("http://demo.enginatics.com:80/ecc/user/applications/log/57948.log","http://demo.enginatics.com:80/ecc/user/applications/log/57948.log")</f>
        <v>"http://demo.enginatics.com:80/ecc/user/applications/log/57948.log")</v>
      </c>
      <c r="U2651">
        <v>57950</v>
      </c>
      <c r="V2651" t="s">
        <v>38</v>
      </c>
      <c r="W2651" t="s">
        <v>50</v>
      </c>
      <c r="X2651">
        <v>.9999999999999999999999999999999999999996</v>
      </c>
      <c r="Y2651">
        <v>0</v>
      </c>
      <c r="Z2651" t="s">
        <v>46</v>
      </c>
      <c r="AA2651">
        <v>57951</v>
      </c>
      <c r="AB2651" t="s">
        <v>225</v>
      </c>
      <c r="AC2651" t="s">
        <v>68</v>
      </c>
      <c r="AD2651" t="s">
        <v>38</v>
      </c>
      <c r="AE2651" t="s">
        <v>49</v>
      </c>
      <c r="AF2651" t="s">
        <v>50</v>
      </c>
      <c r="AG2651">
        <v>0</v>
      </c>
      <c r="AH2651">
        <v>0</v>
      </c>
      <c r="AI2651" t="s">
        <v>51</v>
      </c>
      <c r="AJ2651" t="s">
        <v>51</v>
      </c>
      <c r="AK2651" t="s">
        <v>51</v>
      </c>
    </row>
    <row r="2652" spans="1:37" x14ac:dyDescent="0.2">
      <c r="A2652">
        <v>57945</v>
      </c>
      <c r="B2652" t="s">
        <v>37</v>
      </c>
      <c r="C2652" t="s">
        <v>38</v>
      </c>
      <c r="D2652" t="s">
        <v>169</v>
      </c>
      <c r="E2652" t="s">
        <v>219</v>
      </c>
      <c r="G2652" s="4">
        <v>43945.669375</v>
      </c>
      <c r="H2652" s="4">
        <v>43945.669641203704</v>
      </c>
      <c r="I2652" t="s">
        <v>183</v>
      </c>
      <c r="J2652" s="5">
        <v>23.00000000000000000000000000000000000003</v>
      </c>
      <c r="K2652" t="s">
        <v>38</v>
      </c>
      <c r="M2652">
        <v>57946</v>
      </c>
      <c r="N2652" t="s">
        <v>219</v>
      </c>
      <c r="O2652" t="s">
        <v>220</v>
      </c>
      <c r="P2652" t="s">
        <v>38</v>
      </c>
      <c r="Q2652" t="s">
        <v>911</v>
      </c>
      <c r="R2652">
        <v>22.00000000000000000000000000000000000003</v>
      </c>
      <c r="S2652" t="s">
        <v>45</v>
      </c>
      <c r="T2652" t="str" s="2">
        <f>=HYPERLINK("http://demo.enginatics.com:80/ecc/user/applications/log/57945.log","http://demo.enginatics.com:80/ecc/user/applications/log/57945.log")</f>
        <v>"http://demo.enginatics.com:80/ecc/user/applications/log/57945.log")</v>
      </c>
      <c r="U2652">
        <v>57947</v>
      </c>
      <c r="V2652" t="s">
        <v>38</v>
      </c>
      <c r="W2652" t="s">
        <v>911</v>
      </c>
      <c r="X2652">
        <v>22.00000000000000000000000000000000000003</v>
      </c>
      <c r="Y2652">
        <v>22</v>
      </c>
      <c r="Z2652" t="s">
        <v>46</v>
      </c>
      <c r="AA2652">
        <v>57953</v>
      </c>
      <c r="AB2652" t="s">
        <v>221</v>
      </c>
      <c r="AC2652" t="s">
        <v>48</v>
      </c>
      <c r="AD2652" t="s">
        <v>38</v>
      </c>
      <c r="AE2652" t="s">
        <v>49</v>
      </c>
      <c r="AF2652" t="s">
        <v>50</v>
      </c>
      <c r="AG2652">
        <v>0</v>
      </c>
      <c r="AH2652">
        <v>0</v>
      </c>
      <c r="AI2652" t="s">
        <v>51</v>
      </c>
      <c r="AJ2652" t="s">
        <v>51</v>
      </c>
      <c r="AK2652" t="s">
        <v>51</v>
      </c>
    </row>
    <row r="2653" spans="1:37" x14ac:dyDescent="0.2">
      <c r="A2653">
        <v>57945</v>
      </c>
      <c r="B2653" t="s">
        <v>37</v>
      </c>
      <c r="C2653" t="s">
        <v>38</v>
      </c>
      <c r="D2653" t="s">
        <v>169</v>
      </c>
      <c r="E2653" t="s">
        <v>219</v>
      </c>
      <c r="G2653" s="4">
        <v>43945.669375</v>
      </c>
      <c r="H2653" s="4">
        <v>43945.669641203704</v>
      </c>
      <c r="I2653" t="s">
        <v>183</v>
      </c>
      <c r="J2653" s="5">
        <v>23.00000000000000000000000000000000000003</v>
      </c>
      <c r="K2653" t="s">
        <v>38</v>
      </c>
      <c r="M2653">
        <v>57946</v>
      </c>
      <c r="N2653" t="s">
        <v>219</v>
      </c>
      <c r="O2653" t="s">
        <v>220</v>
      </c>
      <c r="P2653" t="s">
        <v>38</v>
      </c>
      <c r="Q2653" t="s">
        <v>911</v>
      </c>
      <c r="R2653">
        <v>22.00000000000000000000000000000000000003</v>
      </c>
      <c r="S2653" t="s">
        <v>45</v>
      </c>
      <c r="T2653" t="str" s="2">
        <f>=HYPERLINK("http://demo.enginatics.com:80/ecc/user/applications/log/57945.log","http://demo.enginatics.com:80/ecc/user/applications/log/57945.log")</f>
        <v>"http://demo.enginatics.com:80/ecc/user/applications/log/57945.log")</v>
      </c>
      <c r="U2653">
        <v>57947</v>
      </c>
      <c r="V2653" t="s">
        <v>38</v>
      </c>
      <c r="W2653" t="s">
        <v>911</v>
      </c>
      <c r="X2653">
        <v>22.00000000000000000000000000000000000003</v>
      </c>
      <c r="Y2653">
        <v>22</v>
      </c>
      <c r="Z2653" t="s">
        <v>46</v>
      </c>
      <c r="AA2653">
        <v>57952</v>
      </c>
      <c r="AB2653" t="s">
        <v>222</v>
      </c>
      <c r="AC2653" t="s">
        <v>56</v>
      </c>
      <c r="AD2653" t="s">
        <v>38</v>
      </c>
      <c r="AE2653" t="s">
        <v>49</v>
      </c>
      <c r="AF2653" t="s">
        <v>50</v>
      </c>
      <c r="AG2653">
        <v>0</v>
      </c>
      <c r="AH2653">
        <v>0</v>
      </c>
      <c r="AI2653" t="s">
        <v>51</v>
      </c>
      <c r="AJ2653" t="s">
        <v>51</v>
      </c>
      <c r="AK2653" t="s">
        <v>51</v>
      </c>
    </row>
    <row r="2654" spans="1:37" x14ac:dyDescent="0.2">
      <c r="A2654">
        <v>57941</v>
      </c>
      <c r="B2654" t="s">
        <v>37</v>
      </c>
      <c r="C2654" t="s">
        <v>38</v>
      </c>
      <c r="D2654" t="s">
        <v>169</v>
      </c>
      <c r="E2654" t="s">
        <v>226</v>
      </c>
      <c r="G2654" s="4">
        <v>43945.669351851852</v>
      </c>
      <c r="H2654" s="4">
        <v>43945.669363425926</v>
      </c>
      <c r="I2654" t="s">
        <v>50</v>
      </c>
      <c r="J2654" s="5">
        <v>.9999999999999999999999999999999999999996</v>
      </c>
      <c r="K2654" t="s">
        <v>38</v>
      </c>
      <c r="M2654">
        <v>57942</v>
      </c>
      <c r="N2654" t="s">
        <v>226</v>
      </c>
      <c r="O2654" t="s">
        <v>227</v>
      </c>
      <c r="P2654" t="s">
        <v>38</v>
      </c>
      <c r="Q2654" t="s">
        <v>50</v>
      </c>
      <c r="R2654">
        <v>.9999999999999999999999999999999999999996</v>
      </c>
      <c r="S2654" t="s">
        <v>45</v>
      </c>
      <c r="T2654" t="str" s="2">
        <f>=HYPERLINK("http://demo.enginatics.com:80/ecc/user/applications/log/57941.log","http://demo.enginatics.com:80/ecc/user/applications/log/57941.log")</f>
        <v>"http://demo.enginatics.com:80/ecc/user/applications/log/57941.log")</v>
      </c>
      <c r="U2654">
        <v>57943</v>
      </c>
      <c r="V2654" t="s">
        <v>38</v>
      </c>
      <c r="W2654" t="s">
        <v>50</v>
      </c>
      <c r="X2654">
        <v>.9999999999999999999999999999999999999996</v>
      </c>
      <c r="Y2654">
        <v>0</v>
      </c>
      <c r="Z2654" t="s">
        <v>46</v>
      </c>
      <c r="AA2654">
        <v>57944</v>
      </c>
      <c r="AB2654" t="s">
        <v>228</v>
      </c>
      <c r="AC2654" t="s">
        <v>68</v>
      </c>
      <c r="AD2654" t="s">
        <v>38</v>
      </c>
      <c r="AE2654" t="s">
        <v>49</v>
      </c>
      <c r="AF2654" t="s">
        <v>50</v>
      </c>
      <c r="AG2654">
        <v>0</v>
      </c>
      <c r="AH2654">
        <v>0</v>
      </c>
      <c r="AI2654" t="s">
        <v>51</v>
      </c>
      <c r="AJ2654" t="s">
        <v>51</v>
      </c>
      <c r="AK2654" t="s">
        <v>51</v>
      </c>
    </row>
    <row r="2655" spans="1:37" x14ac:dyDescent="0.2">
      <c r="A2655">
        <v>57937</v>
      </c>
      <c r="B2655" t="s">
        <v>37</v>
      </c>
      <c r="C2655" t="s">
        <v>38</v>
      </c>
      <c r="D2655" t="s">
        <v>169</v>
      </c>
      <c r="E2655" t="s">
        <v>229</v>
      </c>
      <c r="G2655" s="4">
        <v>43945.669201388889</v>
      </c>
      <c r="H2655" s="4">
        <v>43945.669201388889</v>
      </c>
      <c r="I2655" t="s">
        <v>50</v>
      </c>
      <c r="J2655" s="5">
        <v>0</v>
      </c>
      <c r="K2655" t="s">
        <v>38</v>
      </c>
      <c r="M2655">
        <v>57938</v>
      </c>
      <c r="N2655" t="s">
        <v>229</v>
      </c>
      <c r="O2655" t="s">
        <v>230</v>
      </c>
      <c r="P2655" t="s">
        <v>38</v>
      </c>
      <c r="Q2655" t="s">
        <v>50</v>
      </c>
      <c r="R2655">
        <v>0</v>
      </c>
      <c r="S2655" t="s">
        <v>45</v>
      </c>
      <c r="T2655" t="str" s="2">
        <f>=HYPERLINK("http://demo.enginatics.com:80/ecc/user/applications/log/57937.log","http://demo.enginatics.com:80/ecc/user/applications/log/57937.log")</f>
        <v>"http://demo.enginatics.com:80/ecc/user/applications/log/57937.log")</v>
      </c>
      <c r="U2655">
        <v>57939</v>
      </c>
      <c r="V2655" t="s">
        <v>38</v>
      </c>
      <c r="W2655" t="s">
        <v>50</v>
      </c>
      <c r="X2655">
        <v>0</v>
      </c>
      <c r="Y2655">
        <v>0</v>
      </c>
      <c r="Z2655" t="s">
        <v>46</v>
      </c>
      <c r="AA2655">
        <v>57940</v>
      </c>
      <c r="AB2655" t="s">
        <v>231</v>
      </c>
      <c r="AC2655" t="s">
        <v>68</v>
      </c>
      <c r="AD2655" t="s">
        <v>38</v>
      </c>
      <c r="AE2655" t="s">
        <v>49</v>
      </c>
      <c r="AF2655" t="s">
        <v>50</v>
      </c>
      <c r="AG2655">
        <v>0</v>
      </c>
      <c r="AH2655">
        <v>0</v>
      </c>
      <c r="AI2655" t="s">
        <v>51</v>
      </c>
      <c r="AJ2655" t="s">
        <v>51</v>
      </c>
      <c r="AK2655" t="s">
        <v>51</v>
      </c>
    </row>
    <row r="2656" spans="1:37" x14ac:dyDescent="0.2">
      <c r="A2656">
        <v>57933</v>
      </c>
      <c r="B2656" t="s">
        <v>37</v>
      </c>
      <c r="C2656" t="s">
        <v>38</v>
      </c>
      <c r="D2656" t="s">
        <v>169</v>
      </c>
      <c r="E2656" t="s">
        <v>232</v>
      </c>
      <c r="G2656" s="4">
        <v>43945.669085648148</v>
      </c>
      <c r="H2656" s="4">
        <v>43945.669143518519</v>
      </c>
      <c r="I2656" t="s">
        <v>78</v>
      </c>
      <c r="J2656" s="5">
        <v>5</v>
      </c>
      <c r="K2656" t="s">
        <v>38</v>
      </c>
      <c r="M2656">
        <v>57934</v>
      </c>
      <c r="N2656" t="s">
        <v>232</v>
      </c>
      <c r="O2656" t="s">
        <v>233</v>
      </c>
      <c r="P2656" t="s">
        <v>38</v>
      </c>
      <c r="Q2656" t="s">
        <v>78</v>
      </c>
      <c r="R2656">
        <v>5</v>
      </c>
      <c r="S2656" t="s">
        <v>45</v>
      </c>
      <c r="T2656" t="str" s="2">
        <f>=HYPERLINK("http://demo.enginatics.com:80/ecc/user/applications/log/57933.log","http://demo.enginatics.com:80/ecc/user/applications/log/57933.log")</f>
        <v>"http://demo.enginatics.com:80/ecc/user/applications/log/57933.log")</v>
      </c>
      <c r="U2656">
        <v>57935</v>
      </c>
      <c r="V2656" t="s">
        <v>38</v>
      </c>
      <c r="W2656" t="s">
        <v>50</v>
      </c>
      <c r="X2656">
        <v>.9999999999999999999999999999999999999996</v>
      </c>
      <c r="Y2656">
        <v>0</v>
      </c>
      <c r="Z2656" t="s">
        <v>46</v>
      </c>
      <c r="AA2656">
        <v>57936</v>
      </c>
      <c r="AB2656" t="s">
        <v>234</v>
      </c>
      <c r="AC2656" t="s">
        <v>68</v>
      </c>
      <c r="AD2656" t="s">
        <v>38</v>
      </c>
      <c r="AE2656" t="s">
        <v>49</v>
      </c>
      <c r="AF2656" t="s">
        <v>50</v>
      </c>
      <c r="AG2656">
        <v>.9999999999999999999999999999999999999996</v>
      </c>
      <c r="AH2656">
        <v>0</v>
      </c>
      <c r="AI2656" t="s">
        <v>51</v>
      </c>
      <c r="AJ2656" t="s">
        <v>51</v>
      </c>
      <c r="AK2656" t="s">
        <v>51</v>
      </c>
    </row>
    <row r="2657" spans="1:37" x14ac:dyDescent="0.2">
      <c r="A2657">
        <v>57929</v>
      </c>
      <c r="B2657" t="s">
        <v>37</v>
      </c>
      <c r="C2657" t="s">
        <v>38</v>
      </c>
      <c r="D2657" t="s">
        <v>169</v>
      </c>
      <c r="E2657" t="s">
        <v>235</v>
      </c>
      <c r="G2657" s="4">
        <v>43945.668900462963</v>
      </c>
      <c r="H2657" s="4">
        <v>43945.668969907407</v>
      </c>
      <c r="I2657" t="s">
        <v>75</v>
      </c>
      <c r="J2657" s="5">
        <v>6</v>
      </c>
      <c r="K2657" t="s">
        <v>38</v>
      </c>
      <c r="M2657">
        <v>57930</v>
      </c>
      <c r="N2657" t="s">
        <v>235</v>
      </c>
      <c r="O2657" t="s">
        <v>237</v>
      </c>
      <c r="P2657" t="s">
        <v>38</v>
      </c>
      <c r="Q2657" t="s">
        <v>75</v>
      </c>
      <c r="R2657">
        <v>6</v>
      </c>
      <c r="S2657" t="s">
        <v>45</v>
      </c>
      <c r="T2657" t="str" s="2">
        <f>=HYPERLINK("http://demo.enginatics.com:80/ecc/user/applications/log/57929.log","http://demo.enginatics.com:80/ecc/user/applications/log/57929.log")</f>
        <v>"http://demo.enginatics.com:80/ecc/user/applications/log/57929.log")</v>
      </c>
      <c r="U2657">
        <v>57931</v>
      </c>
      <c r="V2657" t="s">
        <v>38</v>
      </c>
      <c r="W2657" t="s">
        <v>78</v>
      </c>
      <c r="X2657">
        <v>5</v>
      </c>
      <c r="Y2657">
        <v>0</v>
      </c>
      <c r="Z2657" t="s">
        <v>46</v>
      </c>
      <c r="AA2657">
        <v>57932</v>
      </c>
      <c r="AB2657" t="s">
        <v>239</v>
      </c>
      <c r="AC2657" t="s">
        <v>68</v>
      </c>
      <c r="AD2657" t="s">
        <v>38</v>
      </c>
      <c r="AE2657" t="s">
        <v>240</v>
      </c>
      <c r="AF2657" t="s">
        <v>44</v>
      </c>
      <c r="AG2657">
        <v>4</v>
      </c>
      <c r="AH2657">
        <v>0</v>
      </c>
      <c r="AI2657" t="s">
        <v>241</v>
      </c>
      <c r="AJ2657" t="s">
        <v>51</v>
      </c>
      <c r="AK2657" t="s">
        <v>241</v>
      </c>
    </row>
    <row r="2658" spans="1:37" x14ac:dyDescent="0.2">
      <c r="A2658">
        <v>57925</v>
      </c>
      <c r="B2658" t="s">
        <v>37</v>
      </c>
      <c r="C2658" t="s">
        <v>38</v>
      </c>
      <c r="D2658" t="s">
        <v>169</v>
      </c>
      <c r="E2658" t="s">
        <v>246</v>
      </c>
      <c r="G2658" s="4">
        <v>43945.668773148148</v>
      </c>
      <c r="H2658" s="4">
        <v>43945.668865740741</v>
      </c>
      <c r="I2658" t="s">
        <v>652</v>
      </c>
      <c r="J2658" s="5">
        <v>8</v>
      </c>
      <c r="K2658" t="s">
        <v>38</v>
      </c>
      <c r="M2658">
        <v>57926</v>
      </c>
      <c r="N2658" t="s">
        <v>246</v>
      </c>
      <c r="O2658" t="s">
        <v>248</v>
      </c>
      <c r="P2658" t="s">
        <v>38</v>
      </c>
      <c r="Q2658" t="s">
        <v>652</v>
      </c>
      <c r="R2658">
        <v>8</v>
      </c>
      <c r="S2658" t="s">
        <v>45</v>
      </c>
      <c r="T2658" t="str" s="2">
        <f>=HYPERLINK("http://demo.enginatics.com:80/ecc/user/applications/log/57925.log","http://demo.enginatics.com:80/ecc/user/applications/log/57925.log")</f>
        <v>"http://demo.enginatics.com:80/ecc/user/applications/log/57925.log")</v>
      </c>
      <c r="U2658">
        <v>57927</v>
      </c>
      <c r="V2658" t="s">
        <v>38</v>
      </c>
      <c r="W2658" t="s">
        <v>247</v>
      </c>
      <c r="X2658">
        <v>7</v>
      </c>
      <c r="Y2658">
        <v>6</v>
      </c>
      <c r="Z2658" t="s">
        <v>46</v>
      </c>
      <c r="AA2658">
        <v>57928</v>
      </c>
      <c r="AB2658" t="s">
        <v>249</v>
      </c>
      <c r="AC2658" t="s">
        <v>68</v>
      </c>
      <c r="AD2658" t="s">
        <v>38</v>
      </c>
      <c r="AE2658" t="s">
        <v>49</v>
      </c>
      <c r="AF2658" t="s">
        <v>50</v>
      </c>
      <c r="AG2658">
        <v>.9999999999999999999999999999999999999996</v>
      </c>
      <c r="AH2658">
        <v>0</v>
      </c>
      <c r="AI2658" t="s">
        <v>51</v>
      </c>
      <c r="AJ2658" t="s">
        <v>51</v>
      </c>
      <c r="AK2658" t="s">
        <v>51</v>
      </c>
    </row>
    <row r="2659" spans="1:37" x14ac:dyDescent="0.2">
      <c r="A2659">
        <v>57920</v>
      </c>
      <c r="B2659" t="s">
        <v>37</v>
      </c>
      <c r="C2659" t="s">
        <v>38</v>
      </c>
      <c r="D2659" t="s">
        <v>169</v>
      </c>
      <c r="E2659" t="s">
        <v>242</v>
      </c>
      <c r="G2659" s="4">
        <v>43945.668761574074</v>
      </c>
      <c r="H2659" s="4">
        <v>43945.668773148148</v>
      </c>
      <c r="I2659" t="s">
        <v>50</v>
      </c>
      <c r="J2659" s="5">
        <v>.9999999999999999999999999999999999999996</v>
      </c>
      <c r="K2659" t="s">
        <v>38</v>
      </c>
      <c r="M2659">
        <v>57921</v>
      </c>
      <c r="N2659" t="s">
        <v>242</v>
      </c>
      <c r="O2659" t="s">
        <v>243</v>
      </c>
      <c r="P2659" t="s">
        <v>38</v>
      </c>
      <c r="Q2659" t="s">
        <v>50</v>
      </c>
      <c r="R2659">
        <v>.9999999999999999999999999999999999999996</v>
      </c>
      <c r="S2659" t="s">
        <v>45</v>
      </c>
      <c r="T2659" t="str" s="2">
        <f>=HYPERLINK("http://demo.enginatics.com:80/ecc/user/applications/log/57920.log","http://demo.enginatics.com:80/ecc/user/applications/log/57920.log")</f>
        <v>"http://demo.enginatics.com:80/ecc/user/applications/log/57920.log")</v>
      </c>
      <c r="U2659">
        <v>57922</v>
      </c>
      <c r="V2659" t="s">
        <v>38</v>
      </c>
      <c r="W2659" t="s">
        <v>50</v>
      </c>
      <c r="X2659">
        <v>.9999999999999999999999999999999999999996</v>
      </c>
      <c r="Y2659">
        <v>0</v>
      </c>
      <c r="Z2659" t="s">
        <v>46</v>
      </c>
      <c r="AA2659">
        <v>57924</v>
      </c>
      <c r="AB2659" t="s">
        <v>244</v>
      </c>
      <c r="AC2659" t="s">
        <v>56</v>
      </c>
      <c r="AD2659" t="s">
        <v>38</v>
      </c>
      <c r="AE2659" t="s">
        <v>49</v>
      </c>
      <c r="AF2659" t="s">
        <v>50</v>
      </c>
      <c r="AG2659">
        <v>0</v>
      </c>
      <c r="AH2659">
        <v>0</v>
      </c>
      <c r="AI2659" t="s">
        <v>51</v>
      </c>
      <c r="AJ2659" t="s">
        <v>51</v>
      </c>
      <c r="AK2659" t="s">
        <v>51</v>
      </c>
    </row>
    <row r="2660" spans="1:37" x14ac:dyDescent="0.2">
      <c r="A2660">
        <v>57920</v>
      </c>
      <c r="B2660" t="s">
        <v>37</v>
      </c>
      <c r="C2660" t="s">
        <v>38</v>
      </c>
      <c r="D2660" t="s">
        <v>169</v>
      </c>
      <c r="E2660" t="s">
        <v>242</v>
      </c>
      <c r="G2660" s="4">
        <v>43945.668761574074</v>
      </c>
      <c r="H2660" s="4">
        <v>43945.668773148148</v>
      </c>
      <c r="I2660" t="s">
        <v>50</v>
      </c>
      <c r="J2660" s="5">
        <v>.9999999999999999999999999999999999999996</v>
      </c>
      <c r="K2660" t="s">
        <v>38</v>
      </c>
      <c r="M2660">
        <v>57921</v>
      </c>
      <c r="N2660" t="s">
        <v>242</v>
      </c>
      <c r="O2660" t="s">
        <v>243</v>
      </c>
      <c r="P2660" t="s">
        <v>38</v>
      </c>
      <c r="Q2660" t="s">
        <v>50</v>
      </c>
      <c r="R2660">
        <v>.9999999999999999999999999999999999999996</v>
      </c>
      <c r="S2660" t="s">
        <v>45</v>
      </c>
      <c r="T2660" t="str" s="2">
        <f>=HYPERLINK("http://demo.enginatics.com:80/ecc/user/applications/log/57920.log","http://demo.enginatics.com:80/ecc/user/applications/log/57920.log")</f>
        <v>"http://demo.enginatics.com:80/ecc/user/applications/log/57920.log")</v>
      </c>
      <c r="U2660">
        <v>57922</v>
      </c>
      <c r="V2660" t="s">
        <v>38</v>
      </c>
      <c r="W2660" t="s">
        <v>50</v>
      </c>
      <c r="X2660">
        <v>.9999999999999999999999999999999999999996</v>
      </c>
      <c r="Y2660">
        <v>0</v>
      </c>
      <c r="Z2660" t="s">
        <v>46</v>
      </c>
      <c r="AA2660">
        <v>57923</v>
      </c>
      <c r="AB2660" t="s">
        <v>245</v>
      </c>
      <c r="AC2660" t="s">
        <v>68</v>
      </c>
      <c r="AD2660" t="s">
        <v>38</v>
      </c>
      <c r="AE2660" t="s">
        <v>49</v>
      </c>
      <c r="AF2660" t="s">
        <v>50</v>
      </c>
      <c r="AG2660">
        <v>0</v>
      </c>
      <c r="AH2660">
        <v>0</v>
      </c>
      <c r="AI2660" t="s">
        <v>51</v>
      </c>
      <c r="AJ2660" t="s">
        <v>51</v>
      </c>
      <c r="AK2660" t="s">
        <v>51</v>
      </c>
    </row>
    <row r="2661" spans="1:37" x14ac:dyDescent="0.2">
      <c r="A2661">
        <v>57916</v>
      </c>
      <c r="B2661" t="s">
        <v>37</v>
      </c>
      <c r="C2661" t="s">
        <v>38</v>
      </c>
      <c r="D2661" t="s">
        <v>169</v>
      </c>
      <c r="E2661" t="s">
        <v>250</v>
      </c>
      <c r="G2661" s="4">
        <v>43945.668587962963</v>
      </c>
      <c r="H2661" s="4">
        <v>43945.668657407407</v>
      </c>
      <c r="I2661" t="s">
        <v>75</v>
      </c>
      <c r="J2661" s="5">
        <v>6</v>
      </c>
      <c r="K2661" t="s">
        <v>38</v>
      </c>
      <c r="M2661">
        <v>57917</v>
      </c>
      <c r="N2661" t="s">
        <v>250</v>
      </c>
      <c r="O2661" t="s">
        <v>251</v>
      </c>
      <c r="P2661" t="s">
        <v>38</v>
      </c>
      <c r="Q2661" t="s">
        <v>75</v>
      </c>
      <c r="R2661">
        <v>6</v>
      </c>
      <c r="S2661" t="s">
        <v>45</v>
      </c>
      <c r="T2661" t="str" s="2">
        <f>=HYPERLINK("http://demo.enginatics.com:80/ecc/user/applications/log/57916.log","http://demo.enginatics.com:80/ecc/user/applications/log/57916.log")</f>
        <v>"http://demo.enginatics.com:80/ecc/user/applications/log/57916.log")</v>
      </c>
      <c r="U2661">
        <v>57918</v>
      </c>
      <c r="V2661" t="s">
        <v>38</v>
      </c>
      <c r="W2661" t="s">
        <v>75</v>
      </c>
      <c r="X2661">
        <v>6</v>
      </c>
      <c r="Y2661">
        <v>0</v>
      </c>
      <c r="Z2661" t="s">
        <v>46</v>
      </c>
      <c r="AA2661">
        <v>57919</v>
      </c>
      <c r="AB2661" t="s">
        <v>252</v>
      </c>
      <c r="AC2661" t="s">
        <v>68</v>
      </c>
      <c r="AD2661" t="s">
        <v>38</v>
      </c>
      <c r="AE2661" t="s">
        <v>49</v>
      </c>
      <c r="AF2661" t="s">
        <v>78</v>
      </c>
      <c r="AG2661">
        <v>5</v>
      </c>
      <c r="AH2661">
        <v>0</v>
      </c>
      <c r="AI2661" t="s">
        <v>51</v>
      </c>
      <c r="AJ2661" t="s">
        <v>51</v>
      </c>
      <c r="AK2661" t="s">
        <v>51</v>
      </c>
    </row>
    <row r="2662" spans="1:37" x14ac:dyDescent="0.2">
      <c r="A2662">
        <v>57891</v>
      </c>
      <c r="B2662" t="s">
        <v>37</v>
      </c>
      <c r="C2662" t="s">
        <v>38</v>
      </c>
      <c r="D2662" t="s">
        <v>270</v>
      </c>
      <c r="E2662" t="s">
        <v>40</v>
      </c>
      <c r="G2662" s="4">
        <v>43945.664722222222</v>
      </c>
      <c r="H2662" s="4">
        <v>43945.664814814815</v>
      </c>
      <c r="I2662" t="s">
        <v>652</v>
      </c>
      <c r="J2662" s="5">
        <v>8</v>
      </c>
      <c r="K2662" t="s">
        <v>38</v>
      </c>
      <c r="M2662">
        <v>57913</v>
      </c>
      <c r="N2662" t="s">
        <v>271</v>
      </c>
      <c r="O2662" t="s">
        <v>272</v>
      </c>
      <c r="P2662" t="s">
        <v>38</v>
      </c>
      <c r="Q2662" t="s">
        <v>50</v>
      </c>
      <c r="R2662">
        <v>0</v>
      </c>
      <c r="S2662" t="s">
        <v>45</v>
      </c>
      <c r="T2662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2">
        <v>57914</v>
      </c>
      <c r="V2662" t="s">
        <v>38</v>
      </c>
      <c r="W2662" t="s">
        <v>50</v>
      </c>
      <c r="X2662">
        <v>0</v>
      </c>
      <c r="Y2662">
        <v>0</v>
      </c>
      <c r="Z2662" t="s">
        <v>46</v>
      </c>
      <c r="AA2662">
        <v>57915</v>
      </c>
      <c r="AB2662" t="s">
        <v>273</v>
      </c>
      <c r="AC2662" t="s">
        <v>68</v>
      </c>
      <c r="AD2662" t="s">
        <v>38</v>
      </c>
      <c r="AE2662" t="s">
        <v>49</v>
      </c>
      <c r="AF2662" t="s">
        <v>50</v>
      </c>
      <c r="AG2662">
        <v>0</v>
      </c>
      <c r="AH2662">
        <v>0</v>
      </c>
      <c r="AI2662" t="s">
        <v>51</v>
      </c>
      <c r="AJ2662" t="s">
        <v>51</v>
      </c>
      <c r="AK2662" t="s">
        <v>51</v>
      </c>
    </row>
    <row r="2663" spans="1:37" x14ac:dyDescent="0.2">
      <c r="A2663">
        <v>57891</v>
      </c>
      <c r="B2663" t="s">
        <v>37</v>
      </c>
      <c r="C2663" t="s">
        <v>38</v>
      </c>
      <c r="D2663" t="s">
        <v>270</v>
      </c>
      <c r="E2663" t="s">
        <v>40</v>
      </c>
      <c r="G2663" s="4">
        <v>43945.664722222222</v>
      </c>
      <c r="H2663" s="4">
        <v>43945.664814814815</v>
      </c>
      <c r="I2663" t="s">
        <v>652</v>
      </c>
      <c r="J2663" s="5">
        <v>8</v>
      </c>
      <c r="K2663" t="s">
        <v>38</v>
      </c>
      <c r="M2663">
        <v>57910</v>
      </c>
      <c r="N2663" t="s">
        <v>274</v>
      </c>
      <c r="O2663" t="s">
        <v>275</v>
      </c>
      <c r="P2663" t="s">
        <v>38</v>
      </c>
      <c r="Q2663" t="s">
        <v>50</v>
      </c>
      <c r="R2663">
        <v>0</v>
      </c>
      <c r="S2663" t="s">
        <v>45</v>
      </c>
      <c r="T2663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3">
        <v>57911</v>
      </c>
      <c r="V2663" t="s">
        <v>38</v>
      </c>
      <c r="W2663" t="s">
        <v>50</v>
      </c>
      <c r="X2663">
        <v>0</v>
      </c>
      <c r="Y2663">
        <v>0</v>
      </c>
      <c r="Z2663" t="s">
        <v>46</v>
      </c>
      <c r="AA2663">
        <v>57912</v>
      </c>
      <c r="AB2663" t="s">
        <v>276</v>
      </c>
      <c r="AC2663" t="s">
        <v>68</v>
      </c>
      <c r="AD2663" t="s">
        <v>38</v>
      </c>
      <c r="AE2663" t="s">
        <v>49</v>
      </c>
      <c r="AF2663" t="s">
        <v>50</v>
      </c>
      <c r="AG2663">
        <v>0</v>
      </c>
      <c r="AH2663">
        <v>0</v>
      </c>
      <c r="AI2663" t="s">
        <v>51</v>
      </c>
      <c r="AJ2663" t="s">
        <v>51</v>
      </c>
      <c r="AK2663" t="s">
        <v>51</v>
      </c>
    </row>
    <row r="2664" spans="1:37" x14ac:dyDescent="0.2">
      <c r="A2664">
        <v>57891</v>
      </c>
      <c r="B2664" t="s">
        <v>37</v>
      </c>
      <c r="C2664" t="s">
        <v>38</v>
      </c>
      <c r="D2664" t="s">
        <v>270</v>
      </c>
      <c r="E2664" t="s">
        <v>40</v>
      </c>
      <c r="G2664" s="4">
        <v>43945.664722222222</v>
      </c>
      <c r="H2664" s="4">
        <v>43945.664814814815</v>
      </c>
      <c r="I2664" t="s">
        <v>652</v>
      </c>
      <c r="J2664" s="5">
        <v>8</v>
      </c>
      <c r="K2664" t="s">
        <v>38</v>
      </c>
      <c r="M2664">
        <v>57907</v>
      </c>
      <c r="N2664" t="s">
        <v>277</v>
      </c>
      <c r="O2664" t="s">
        <v>278</v>
      </c>
      <c r="P2664" t="s">
        <v>38</v>
      </c>
      <c r="Q2664" t="s">
        <v>50</v>
      </c>
      <c r="R2664">
        <v>0</v>
      </c>
      <c r="S2664" t="s">
        <v>45</v>
      </c>
      <c r="T2664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4">
        <v>57908</v>
      </c>
      <c r="V2664" t="s">
        <v>38</v>
      </c>
      <c r="W2664" t="s">
        <v>50</v>
      </c>
      <c r="X2664">
        <v>0</v>
      </c>
      <c r="Y2664">
        <v>0</v>
      </c>
      <c r="Z2664" t="s">
        <v>46</v>
      </c>
      <c r="AA2664">
        <v>57909</v>
      </c>
      <c r="AB2664" t="s">
        <v>279</v>
      </c>
      <c r="AC2664" t="s">
        <v>68</v>
      </c>
      <c r="AD2664" t="s">
        <v>38</v>
      </c>
      <c r="AE2664" t="s">
        <v>49</v>
      </c>
      <c r="AF2664" t="s">
        <v>50</v>
      </c>
      <c r="AG2664">
        <v>0</v>
      </c>
      <c r="AH2664">
        <v>0</v>
      </c>
      <c r="AI2664" t="s">
        <v>51</v>
      </c>
      <c r="AJ2664" t="s">
        <v>51</v>
      </c>
      <c r="AK2664" t="s">
        <v>51</v>
      </c>
    </row>
    <row r="2665" spans="1:37" x14ac:dyDescent="0.2">
      <c r="A2665">
        <v>57891</v>
      </c>
      <c r="B2665" t="s">
        <v>37</v>
      </c>
      <c r="C2665" t="s">
        <v>38</v>
      </c>
      <c r="D2665" t="s">
        <v>270</v>
      </c>
      <c r="E2665" t="s">
        <v>40</v>
      </c>
      <c r="G2665" s="4">
        <v>43945.664722222222</v>
      </c>
      <c r="H2665" s="4">
        <v>43945.664814814815</v>
      </c>
      <c r="I2665" t="s">
        <v>652</v>
      </c>
      <c r="J2665" s="5">
        <v>8</v>
      </c>
      <c r="K2665" t="s">
        <v>38</v>
      </c>
      <c r="M2665">
        <v>57904</v>
      </c>
      <c r="N2665" t="s">
        <v>280</v>
      </c>
      <c r="O2665" t="s">
        <v>281</v>
      </c>
      <c r="P2665" t="s">
        <v>38</v>
      </c>
      <c r="Q2665" t="s">
        <v>50</v>
      </c>
      <c r="R2665">
        <v>0</v>
      </c>
      <c r="S2665" t="s">
        <v>45</v>
      </c>
      <c r="T2665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5">
        <v>57905</v>
      </c>
      <c r="V2665" t="s">
        <v>38</v>
      </c>
      <c r="W2665" t="s">
        <v>50</v>
      </c>
      <c r="X2665">
        <v>0</v>
      </c>
      <c r="Y2665">
        <v>0</v>
      </c>
      <c r="Z2665" t="s">
        <v>46</v>
      </c>
      <c r="AA2665">
        <v>57906</v>
      </c>
      <c r="AB2665" t="s">
        <v>282</v>
      </c>
      <c r="AC2665" t="s">
        <v>68</v>
      </c>
      <c r="AD2665" t="s">
        <v>38</v>
      </c>
      <c r="AE2665" t="s">
        <v>49</v>
      </c>
      <c r="AF2665" t="s">
        <v>50</v>
      </c>
      <c r="AG2665">
        <v>0</v>
      </c>
      <c r="AH2665">
        <v>0</v>
      </c>
      <c r="AI2665" t="s">
        <v>51</v>
      </c>
      <c r="AJ2665" t="s">
        <v>51</v>
      </c>
      <c r="AK2665" t="s">
        <v>51</v>
      </c>
    </row>
    <row r="2666" spans="1:37" x14ac:dyDescent="0.2">
      <c r="A2666">
        <v>57891</v>
      </c>
      <c r="B2666" t="s">
        <v>37</v>
      </c>
      <c r="C2666" t="s">
        <v>38</v>
      </c>
      <c r="D2666" t="s">
        <v>270</v>
      </c>
      <c r="E2666" t="s">
        <v>40</v>
      </c>
      <c r="G2666" s="4">
        <v>43945.664722222222</v>
      </c>
      <c r="H2666" s="4">
        <v>43945.664814814815</v>
      </c>
      <c r="I2666" t="s">
        <v>652</v>
      </c>
      <c r="J2666" s="5">
        <v>8</v>
      </c>
      <c r="K2666" t="s">
        <v>38</v>
      </c>
      <c r="M2666">
        <v>57901</v>
      </c>
      <c r="N2666" t="s">
        <v>283</v>
      </c>
      <c r="O2666" t="s">
        <v>284</v>
      </c>
      <c r="P2666" t="s">
        <v>38</v>
      </c>
      <c r="Q2666" t="s">
        <v>75</v>
      </c>
      <c r="R2666">
        <v>6</v>
      </c>
      <c r="S2666" t="s">
        <v>45</v>
      </c>
      <c r="T2666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6">
        <v>57902</v>
      </c>
      <c r="V2666" t="s">
        <v>38</v>
      </c>
      <c r="W2666" t="s">
        <v>75</v>
      </c>
      <c r="X2666">
        <v>6</v>
      </c>
      <c r="Y2666">
        <v>0</v>
      </c>
      <c r="Z2666" t="s">
        <v>46</v>
      </c>
      <c r="AA2666">
        <v>57903</v>
      </c>
      <c r="AB2666" t="s">
        <v>285</v>
      </c>
      <c r="AC2666" t="s">
        <v>68</v>
      </c>
      <c r="AD2666" t="s">
        <v>38</v>
      </c>
      <c r="AE2666" t="s">
        <v>49</v>
      </c>
      <c r="AF2666" t="s">
        <v>75</v>
      </c>
      <c r="AG2666">
        <v>6</v>
      </c>
      <c r="AH2666">
        <v>5</v>
      </c>
      <c r="AI2666" t="s">
        <v>51</v>
      </c>
      <c r="AJ2666" t="s">
        <v>51</v>
      </c>
      <c r="AK2666" t="s">
        <v>51</v>
      </c>
    </row>
    <row r="2667" spans="1:37" x14ac:dyDescent="0.2">
      <c r="A2667">
        <v>57891</v>
      </c>
      <c r="B2667" t="s">
        <v>37</v>
      </c>
      <c r="C2667" t="s">
        <v>38</v>
      </c>
      <c r="D2667" t="s">
        <v>270</v>
      </c>
      <c r="E2667" t="s">
        <v>40</v>
      </c>
      <c r="G2667" s="4">
        <v>43945.664722222222</v>
      </c>
      <c r="H2667" s="4">
        <v>43945.664814814815</v>
      </c>
      <c r="I2667" t="s">
        <v>652</v>
      </c>
      <c r="J2667" s="5">
        <v>8</v>
      </c>
      <c r="K2667" t="s">
        <v>38</v>
      </c>
      <c r="M2667">
        <v>57898</v>
      </c>
      <c r="N2667" t="s">
        <v>286</v>
      </c>
      <c r="O2667" t="s">
        <v>287</v>
      </c>
      <c r="P2667" t="s">
        <v>38</v>
      </c>
      <c r="Q2667" t="s">
        <v>88</v>
      </c>
      <c r="R2667">
        <v>2</v>
      </c>
      <c r="S2667" t="s">
        <v>45</v>
      </c>
      <c r="T2667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7">
        <v>57899</v>
      </c>
      <c r="V2667" t="s">
        <v>38</v>
      </c>
      <c r="W2667" t="s">
        <v>88</v>
      </c>
      <c r="X2667">
        <v>2</v>
      </c>
      <c r="Y2667">
        <v>1</v>
      </c>
      <c r="Z2667" t="s">
        <v>46</v>
      </c>
      <c r="AA2667">
        <v>57900</v>
      </c>
      <c r="AB2667" t="s">
        <v>288</v>
      </c>
      <c r="AC2667" t="s">
        <v>68</v>
      </c>
      <c r="AD2667" t="s">
        <v>38</v>
      </c>
      <c r="AE2667" t="s">
        <v>49</v>
      </c>
      <c r="AF2667" t="s">
        <v>50</v>
      </c>
      <c r="AG2667">
        <v>0</v>
      </c>
      <c r="AH2667">
        <v>0</v>
      </c>
      <c r="AI2667" t="s">
        <v>51</v>
      </c>
      <c r="AJ2667" t="s">
        <v>51</v>
      </c>
      <c r="AK2667" t="s">
        <v>51</v>
      </c>
    </row>
    <row r="2668" spans="1:37" x14ac:dyDescent="0.2">
      <c r="A2668">
        <v>57891</v>
      </c>
      <c r="B2668" t="s">
        <v>37</v>
      </c>
      <c r="C2668" t="s">
        <v>38</v>
      </c>
      <c r="D2668" t="s">
        <v>270</v>
      </c>
      <c r="E2668" t="s">
        <v>40</v>
      </c>
      <c r="G2668" s="4">
        <v>43945.664722222222</v>
      </c>
      <c r="H2668" s="4">
        <v>43945.664814814815</v>
      </c>
      <c r="I2668" t="s">
        <v>652</v>
      </c>
      <c r="J2668" s="5">
        <v>8</v>
      </c>
      <c r="K2668" t="s">
        <v>38</v>
      </c>
      <c r="M2668">
        <v>57895</v>
      </c>
      <c r="N2668" t="s">
        <v>289</v>
      </c>
      <c r="O2668" t="s">
        <v>290</v>
      </c>
      <c r="P2668" t="s">
        <v>38</v>
      </c>
      <c r="Q2668" t="s">
        <v>50</v>
      </c>
      <c r="R2668">
        <v>0</v>
      </c>
      <c r="S2668" t="s">
        <v>45</v>
      </c>
      <c r="T2668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8">
        <v>57896</v>
      </c>
      <c r="V2668" t="s">
        <v>38</v>
      </c>
      <c r="W2668" t="s">
        <v>50</v>
      </c>
      <c r="X2668">
        <v>0</v>
      </c>
      <c r="Y2668">
        <v>0</v>
      </c>
      <c r="Z2668" t="s">
        <v>46</v>
      </c>
      <c r="AA2668">
        <v>57897</v>
      </c>
      <c r="AB2668" t="s">
        <v>291</v>
      </c>
      <c r="AC2668" t="s">
        <v>68</v>
      </c>
      <c r="AD2668" t="s">
        <v>38</v>
      </c>
      <c r="AE2668" t="s">
        <v>49</v>
      </c>
      <c r="AF2668" t="s">
        <v>50</v>
      </c>
      <c r="AG2668">
        <v>0</v>
      </c>
      <c r="AH2668">
        <v>0</v>
      </c>
      <c r="AI2668" t="s">
        <v>51</v>
      </c>
      <c r="AJ2668" t="s">
        <v>51</v>
      </c>
      <c r="AK2668" t="s">
        <v>51</v>
      </c>
    </row>
    <row r="2669" spans="1:37" x14ac:dyDescent="0.2">
      <c r="A2669">
        <v>57891</v>
      </c>
      <c r="B2669" t="s">
        <v>37</v>
      </c>
      <c r="C2669" t="s">
        <v>38</v>
      </c>
      <c r="D2669" t="s">
        <v>270</v>
      </c>
      <c r="E2669" t="s">
        <v>40</v>
      </c>
      <c r="G2669" s="4">
        <v>43945.664722222222</v>
      </c>
      <c r="H2669" s="4">
        <v>43945.664814814815</v>
      </c>
      <c r="I2669" t="s">
        <v>652</v>
      </c>
      <c r="J2669" s="5">
        <v>8</v>
      </c>
      <c r="K2669" t="s">
        <v>38</v>
      </c>
      <c r="M2669">
        <v>57892</v>
      </c>
      <c r="N2669" t="s">
        <v>292</v>
      </c>
      <c r="O2669" t="s">
        <v>293</v>
      </c>
      <c r="P2669" t="s">
        <v>38</v>
      </c>
      <c r="Q2669" t="s">
        <v>50</v>
      </c>
      <c r="R2669">
        <v>0</v>
      </c>
      <c r="S2669" t="s">
        <v>45</v>
      </c>
      <c r="T2669" t="str" s="2">
        <f>=HYPERLINK("http://demo.enginatics.com:80/ecc/user/applications/log/57891.log","http://demo.enginatics.com:80/ecc/user/applications/log/57891.log")</f>
        <v>"http://demo.enginatics.com:80/ecc/user/applications/log/57891.log")</v>
      </c>
      <c r="U2669">
        <v>57893</v>
      </c>
      <c r="V2669" t="s">
        <v>38</v>
      </c>
      <c r="W2669" t="s">
        <v>50</v>
      </c>
      <c r="X2669">
        <v>0</v>
      </c>
      <c r="Y2669">
        <v>0</v>
      </c>
      <c r="Z2669" t="s">
        <v>46</v>
      </c>
      <c r="AA2669">
        <v>57894</v>
      </c>
      <c r="AB2669" t="s">
        <v>294</v>
      </c>
      <c r="AC2669" t="s">
        <v>68</v>
      </c>
      <c r="AD2669" t="s">
        <v>38</v>
      </c>
      <c r="AE2669" t="s">
        <v>49</v>
      </c>
      <c r="AF2669" t="s">
        <v>50</v>
      </c>
      <c r="AG2669">
        <v>0</v>
      </c>
      <c r="AH2669">
        <v>0</v>
      </c>
      <c r="AI2669" t="s">
        <v>51</v>
      </c>
      <c r="AJ2669" t="s">
        <v>51</v>
      </c>
      <c r="AK2669" t="s">
        <v>51</v>
      </c>
    </row>
    <row r="2670" spans="1:37" x14ac:dyDescent="0.2">
      <c r="A2670">
        <v>57887</v>
      </c>
      <c r="B2670" t="s">
        <v>37</v>
      </c>
      <c r="C2670" t="s">
        <v>38</v>
      </c>
      <c r="D2670" t="s">
        <v>253</v>
      </c>
      <c r="E2670" t="s">
        <v>254</v>
      </c>
      <c r="G2670" s="4">
        <v>43945.662708333333</v>
      </c>
      <c r="H2670" s="4">
        <v>43945.662719907407</v>
      </c>
      <c r="I2670" t="s">
        <v>50</v>
      </c>
      <c r="J2670" s="5">
        <v>.9999999999999999999999999999999999999996</v>
      </c>
      <c r="K2670" t="s">
        <v>38</v>
      </c>
      <c r="M2670">
        <v>57888</v>
      </c>
      <c r="N2670" t="s">
        <v>254</v>
      </c>
      <c r="O2670" t="s">
        <v>255</v>
      </c>
      <c r="P2670" t="s">
        <v>38</v>
      </c>
      <c r="Q2670" t="s">
        <v>50</v>
      </c>
      <c r="R2670">
        <v>.9999999999999999999999999999999999999996</v>
      </c>
      <c r="S2670" t="s">
        <v>45</v>
      </c>
      <c r="T2670" t="str" s="2">
        <f>=HYPERLINK("http://demo.enginatics.com:80/ecc/user/applications/log/57887.log","http://demo.enginatics.com:80/ecc/user/applications/log/57887.log")</f>
        <v>"http://demo.enginatics.com:80/ecc/user/applications/log/57887.log")</v>
      </c>
      <c r="U2670">
        <v>57889</v>
      </c>
      <c r="V2670" t="s">
        <v>38</v>
      </c>
      <c r="W2670" t="s">
        <v>50</v>
      </c>
      <c r="X2670">
        <v>.9999999999999999999999999999999999999996</v>
      </c>
      <c r="Y2670">
        <v>0</v>
      </c>
      <c r="Z2670" t="s">
        <v>46</v>
      </c>
      <c r="AA2670">
        <v>57890</v>
      </c>
      <c r="AB2670" t="s">
        <v>1878</v>
      </c>
      <c r="AC2670" t="s">
        <v>68</v>
      </c>
      <c r="AD2670" t="s">
        <v>38</v>
      </c>
      <c r="AE2670" t="s">
        <v>49</v>
      </c>
      <c r="AF2670" t="s">
        <v>50</v>
      </c>
      <c r="AG2670">
        <v>.9999999999999999999999999999999999999996</v>
      </c>
      <c r="AH2670">
        <v>0</v>
      </c>
      <c r="AI2670" t="s">
        <v>51</v>
      </c>
      <c r="AJ2670" t="s">
        <v>51</v>
      </c>
      <c r="AK2670" t="s">
        <v>51</v>
      </c>
    </row>
    <row r="2671" spans="1:37" x14ac:dyDescent="0.2">
      <c r="A2671">
        <v>57883</v>
      </c>
      <c r="B2671" t="s">
        <v>37</v>
      </c>
      <c r="C2671" t="s">
        <v>38</v>
      </c>
      <c r="D2671" t="s">
        <v>253</v>
      </c>
      <c r="E2671" t="s">
        <v>257</v>
      </c>
      <c r="G2671" s="4">
        <v>43945.662453703704</v>
      </c>
      <c r="H2671" s="4">
        <v>43945.66255787037</v>
      </c>
      <c r="I2671" t="s">
        <v>238</v>
      </c>
      <c r="J2671" s="5">
        <v>9.00000000000000000000000000000000000003</v>
      </c>
      <c r="K2671" t="s">
        <v>38</v>
      </c>
      <c r="M2671">
        <v>57884</v>
      </c>
      <c r="N2671" t="s">
        <v>257</v>
      </c>
      <c r="O2671" t="s">
        <v>258</v>
      </c>
      <c r="P2671" t="s">
        <v>38</v>
      </c>
      <c r="Q2671" t="s">
        <v>75</v>
      </c>
      <c r="R2671">
        <v>6</v>
      </c>
      <c r="S2671" t="s">
        <v>45</v>
      </c>
      <c r="T2671" t="str" s="2">
        <f>=HYPERLINK("http://demo.enginatics.com:80/ecc/user/applications/log/57883.log","http://demo.enginatics.com:80/ecc/user/applications/log/57883.log")</f>
        <v>"http://demo.enginatics.com:80/ecc/user/applications/log/57883.log")</v>
      </c>
      <c r="U2671">
        <v>57885</v>
      </c>
      <c r="V2671" t="s">
        <v>38</v>
      </c>
      <c r="W2671" t="s">
        <v>78</v>
      </c>
      <c r="X2671">
        <v>5</v>
      </c>
      <c r="Y2671">
        <v>0</v>
      </c>
      <c r="Z2671" t="s">
        <v>46</v>
      </c>
      <c r="AA2671">
        <v>57886</v>
      </c>
      <c r="AB2671" t="s">
        <v>2120</v>
      </c>
      <c r="AC2671" t="s">
        <v>68</v>
      </c>
      <c r="AD2671" t="s">
        <v>38</v>
      </c>
      <c r="AE2671" t="s">
        <v>260</v>
      </c>
      <c r="AF2671" t="s">
        <v>78</v>
      </c>
      <c r="AG2671">
        <v>5</v>
      </c>
      <c r="AH2671">
        <v>2</v>
      </c>
      <c r="AI2671" t="s">
        <v>261</v>
      </c>
      <c r="AJ2671" t="s">
        <v>51</v>
      </c>
      <c r="AK2671" t="s">
        <v>261</v>
      </c>
    </row>
    <row r="2672" spans="1:37" x14ac:dyDescent="0.2">
      <c r="A2672">
        <v>57878</v>
      </c>
      <c r="B2672" t="s">
        <v>37</v>
      </c>
      <c r="C2672" t="s">
        <v>38</v>
      </c>
      <c r="D2672" t="s">
        <v>253</v>
      </c>
      <c r="E2672" t="s">
        <v>262</v>
      </c>
      <c r="G2672" s="4">
        <v>43945.662326388889</v>
      </c>
      <c r="H2672" s="4">
        <v>43945.662337962963</v>
      </c>
      <c r="I2672" t="s">
        <v>50</v>
      </c>
      <c r="J2672" s="5">
        <v>.9999999999999999999999999999999999999996</v>
      </c>
      <c r="K2672" t="s">
        <v>38</v>
      </c>
      <c r="M2672">
        <v>57879</v>
      </c>
      <c r="N2672" t="s">
        <v>262</v>
      </c>
      <c r="O2672" t="s">
        <v>263</v>
      </c>
      <c r="P2672" t="s">
        <v>38</v>
      </c>
      <c r="Q2672" t="s">
        <v>50</v>
      </c>
      <c r="R2672">
        <v>.9999999999999999999999999999999999999996</v>
      </c>
      <c r="S2672" t="s">
        <v>45</v>
      </c>
      <c r="T2672" t="str" s="2">
        <f>=HYPERLINK("http://demo.enginatics.com:80/ecc/user/applications/log/57878.log","http://demo.enginatics.com:80/ecc/user/applications/log/57878.log")</f>
        <v>"http://demo.enginatics.com:80/ecc/user/applications/log/57878.log")</v>
      </c>
      <c r="U2672">
        <v>57880</v>
      </c>
      <c r="V2672" t="s">
        <v>38</v>
      </c>
      <c r="W2672" t="s">
        <v>50</v>
      </c>
      <c r="X2672">
        <v>.9999999999999999999999999999999999999996</v>
      </c>
      <c r="Y2672">
        <v>0</v>
      </c>
      <c r="Z2672" t="s">
        <v>46</v>
      </c>
      <c r="AA2672">
        <v>57882</v>
      </c>
      <c r="AB2672" t="s">
        <v>264</v>
      </c>
      <c r="AC2672" t="s">
        <v>68</v>
      </c>
      <c r="AD2672" t="s">
        <v>38</v>
      </c>
      <c r="AE2672" t="s">
        <v>49</v>
      </c>
      <c r="AF2672" t="s">
        <v>50</v>
      </c>
      <c r="AG2672">
        <v>0</v>
      </c>
      <c r="AH2672">
        <v>0</v>
      </c>
      <c r="AI2672" t="s">
        <v>51</v>
      </c>
      <c r="AJ2672" t="s">
        <v>51</v>
      </c>
      <c r="AK2672" t="s">
        <v>51</v>
      </c>
    </row>
    <row r="2673" spans="1:37" x14ac:dyDescent="0.2">
      <c r="A2673">
        <v>57878</v>
      </c>
      <c r="B2673" t="s">
        <v>37</v>
      </c>
      <c r="C2673" t="s">
        <v>38</v>
      </c>
      <c r="D2673" t="s">
        <v>253</v>
      </c>
      <c r="E2673" t="s">
        <v>262</v>
      </c>
      <c r="G2673" s="4">
        <v>43945.662326388889</v>
      </c>
      <c r="H2673" s="4">
        <v>43945.662337962963</v>
      </c>
      <c r="I2673" t="s">
        <v>50</v>
      </c>
      <c r="J2673" s="5">
        <v>.9999999999999999999999999999999999999996</v>
      </c>
      <c r="K2673" t="s">
        <v>38</v>
      </c>
      <c r="M2673">
        <v>57879</v>
      </c>
      <c r="N2673" t="s">
        <v>262</v>
      </c>
      <c r="O2673" t="s">
        <v>263</v>
      </c>
      <c r="P2673" t="s">
        <v>38</v>
      </c>
      <c r="Q2673" t="s">
        <v>50</v>
      </c>
      <c r="R2673">
        <v>.9999999999999999999999999999999999999996</v>
      </c>
      <c r="S2673" t="s">
        <v>45</v>
      </c>
      <c r="T2673" t="str" s="2">
        <f>=HYPERLINK("http://demo.enginatics.com:80/ecc/user/applications/log/57878.log","http://demo.enginatics.com:80/ecc/user/applications/log/57878.log")</f>
        <v>"http://demo.enginatics.com:80/ecc/user/applications/log/57878.log")</v>
      </c>
      <c r="U2673">
        <v>57880</v>
      </c>
      <c r="V2673" t="s">
        <v>38</v>
      </c>
      <c r="W2673" t="s">
        <v>50</v>
      </c>
      <c r="X2673">
        <v>.9999999999999999999999999999999999999996</v>
      </c>
      <c r="Y2673">
        <v>0</v>
      </c>
      <c r="Z2673" t="s">
        <v>46</v>
      </c>
      <c r="AA2673">
        <v>57881</v>
      </c>
      <c r="AB2673" t="s">
        <v>2121</v>
      </c>
      <c r="AC2673" t="s">
        <v>56</v>
      </c>
      <c r="AD2673" t="s">
        <v>38</v>
      </c>
      <c r="AE2673" t="s">
        <v>49</v>
      </c>
      <c r="AF2673" t="s">
        <v>50</v>
      </c>
      <c r="AG2673">
        <v>0</v>
      </c>
      <c r="AH2673">
        <v>0</v>
      </c>
      <c r="AI2673" t="s">
        <v>51</v>
      </c>
      <c r="AJ2673" t="s">
        <v>51</v>
      </c>
      <c r="AK2673" t="s">
        <v>51</v>
      </c>
    </row>
    <row r="2674" spans="1:37" x14ac:dyDescent="0.2">
      <c r="A2674">
        <v>57872</v>
      </c>
      <c r="B2674" t="s">
        <v>37</v>
      </c>
      <c r="C2674" t="s">
        <v>38</v>
      </c>
      <c r="D2674" t="s">
        <v>253</v>
      </c>
      <c r="E2674" t="s">
        <v>266</v>
      </c>
      <c r="G2674" s="4">
        <v>43945.662210648148</v>
      </c>
      <c r="H2674" s="4">
        <v>43945.662210648148</v>
      </c>
      <c r="I2674" t="s">
        <v>50</v>
      </c>
      <c r="J2674" s="5">
        <v>0</v>
      </c>
      <c r="K2674" t="s">
        <v>38</v>
      </c>
      <c r="M2674">
        <v>57873</v>
      </c>
      <c r="N2674" t="s">
        <v>266</v>
      </c>
      <c r="O2674" t="s">
        <v>267</v>
      </c>
      <c r="P2674" t="s">
        <v>38</v>
      </c>
      <c r="Q2674" t="s">
        <v>50</v>
      </c>
      <c r="R2674">
        <v>0</v>
      </c>
      <c r="S2674" t="s">
        <v>45</v>
      </c>
      <c r="T2674" t="str" s="2">
        <f>=HYPERLINK("http://demo.enginatics.com:80/ecc/user/applications/log/57872.log","http://demo.enginatics.com:80/ecc/user/applications/log/57872.log")</f>
        <v>"http://demo.enginatics.com:80/ecc/user/applications/log/57872.log")</v>
      </c>
      <c r="U2674">
        <v>57876</v>
      </c>
      <c r="V2674" t="s">
        <v>38</v>
      </c>
      <c r="W2674" t="s">
        <v>50</v>
      </c>
      <c r="X2674">
        <v>0</v>
      </c>
      <c r="Y2674">
        <v>0</v>
      </c>
      <c r="Z2674" t="s">
        <v>46</v>
      </c>
      <c r="AA2674">
        <v>57877</v>
      </c>
      <c r="AB2674" t="s">
        <v>268</v>
      </c>
      <c r="AC2674" t="s">
        <v>48</v>
      </c>
      <c r="AD2674" t="s">
        <v>38</v>
      </c>
      <c r="AE2674" t="s">
        <v>49</v>
      </c>
      <c r="AF2674" t="s">
        <v>50</v>
      </c>
      <c r="AG2674">
        <v>0</v>
      </c>
      <c r="AH2674">
        <v>0</v>
      </c>
      <c r="AI2674" t="s">
        <v>51</v>
      </c>
      <c r="AJ2674" t="s">
        <v>51</v>
      </c>
      <c r="AK2674" t="s">
        <v>51</v>
      </c>
    </row>
    <row r="2675" spans="1:37" x14ac:dyDescent="0.2">
      <c r="A2675">
        <v>57872</v>
      </c>
      <c r="B2675" t="s">
        <v>37</v>
      </c>
      <c r="C2675" t="s">
        <v>38</v>
      </c>
      <c r="D2675" t="s">
        <v>253</v>
      </c>
      <c r="E2675" t="s">
        <v>266</v>
      </c>
      <c r="G2675" s="4">
        <v>43945.662210648148</v>
      </c>
      <c r="H2675" s="4">
        <v>43945.662210648148</v>
      </c>
      <c r="I2675" t="s">
        <v>50</v>
      </c>
      <c r="J2675" s="5">
        <v>0</v>
      </c>
      <c r="K2675" t="s">
        <v>38</v>
      </c>
      <c r="M2675">
        <v>57873</v>
      </c>
      <c r="N2675" t="s">
        <v>266</v>
      </c>
      <c r="O2675" t="s">
        <v>267</v>
      </c>
      <c r="P2675" t="s">
        <v>38</v>
      </c>
      <c r="Q2675" t="s">
        <v>50</v>
      </c>
      <c r="R2675">
        <v>0</v>
      </c>
      <c r="S2675" t="s">
        <v>45</v>
      </c>
      <c r="T2675" t="str" s="2">
        <f>=HYPERLINK("http://demo.enginatics.com:80/ecc/user/applications/log/57872.log","http://demo.enginatics.com:80/ecc/user/applications/log/57872.log")</f>
        <v>"http://demo.enginatics.com:80/ecc/user/applications/log/57872.log")</v>
      </c>
      <c r="U2675">
        <v>57874</v>
      </c>
      <c r="V2675" t="s">
        <v>38</v>
      </c>
      <c r="W2675" t="s">
        <v>50</v>
      </c>
      <c r="X2675">
        <v>0</v>
      </c>
      <c r="Y2675">
        <v>0</v>
      </c>
      <c r="Z2675" t="s">
        <v>46</v>
      </c>
      <c r="AA2675">
        <v>57875</v>
      </c>
      <c r="AB2675" t="s">
        <v>269</v>
      </c>
      <c r="AC2675" t="s">
        <v>56</v>
      </c>
      <c r="AD2675" t="s">
        <v>38</v>
      </c>
      <c r="AE2675" t="s">
        <v>49</v>
      </c>
      <c r="AF2675" t="s">
        <v>50</v>
      </c>
      <c r="AG2675">
        <v>0</v>
      </c>
      <c r="AH2675">
        <v>0</v>
      </c>
      <c r="AI2675" t="s">
        <v>51</v>
      </c>
      <c r="AJ2675" t="s">
        <v>51</v>
      </c>
      <c r="AK2675" t="s">
        <v>51</v>
      </c>
    </row>
    <row r="2676" spans="1:37" x14ac:dyDescent="0.2">
      <c r="A2676">
        <v>57865</v>
      </c>
      <c r="B2676" t="s">
        <v>37</v>
      </c>
      <c r="C2676" t="s">
        <v>38</v>
      </c>
      <c r="D2676" t="s">
        <v>295</v>
      </c>
      <c r="E2676" t="s">
        <v>296</v>
      </c>
      <c r="G2676" s="4">
        <v>43945.661736111111</v>
      </c>
      <c r="H2676" s="4">
        <v>43945.66181712963</v>
      </c>
      <c r="I2676" t="s">
        <v>247</v>
      </c>
      <c r="J2676" s="5">
        <v>7</v>
      </c>
      <c r="K2676" t="s">
        <v>38</v>
      </c>
      <c r="M2676">
        <v>57867</v>
      </c>
      <c r="N2676" t="s">
        <v>296</v>
      </c>
      <c r="O2676" t="s">
        <v>297</v>
      </c>
      <c r="P2676" t="s">
        <v>38</v>
      </c>
      <c r="Q2676" t="s">
        <v>50</v>
      </c>
      <c r="R2676">
        <v>0</v>
      </c>
      <c r="S2676" t="s">
        <v>45</v>
      </c>
      <c r="T2676" t="str" s="2">
        <f>=HYPERLINK("http://demo.enginatics.com:80/ecc/user/applications/log/57865.log","http://demo.enginatics.com:80/ecc/user/applications/log/57865.log")</f>
        <v>"http://demo.enginatics.com:80/ecc/user/applications/log/57865.log")</v>
      </c>
      <c r="U2676">
        <v>57868</v>
      </c>
      <c r="V2676" t="s">
        <v>38</v>
      </c>
      <c r="W2676" t="s">
        <v>50</v>
      </c>
      <c r="X2676">
        <v>0</v>
      </c>
      <c r="Y2676">
        <v>0</v>
      </c>
      <c r="Z2676" t="s">
        <v>46</v>
      </c>
      <c r="AA2676">
        <v>57869</v>
      </c>
      <c r="AB2676" t="s">
        <v>1880</v>
      </c>
      <c r="AC2676" t="s">
        <v>68</v>
      </c>
      <c r="AD2676" t="s">
        <v>38</v>
      </c>
      <c r="AE2676" t="s">
        <v>49</v>
      </c>
      <c r="AF2676" t="s">
        <v>50</v>
      </c>
      <c r="AG2676">
        <v>0</v>
      </c>
      <c r="AH2676">
        <v>0</v>
      </c>
      <c r="AI2676" t="s">
        <v>51</v>
      </c>
      <c r="AJ2676" t="s">
        <v>51</v>
      </c>
      <c r="AK2676" t="s">
        <v>51</v>
      </c>
    </row>
    <row r="2677" spans="1:37" x14ac:dyDescent="0.2">
      <c r="A2677">
        <v>57862</v>
      </c>
      <c r="B2677" t="s">
        <v>37</v>
      </c>
      <c r="C2677" t="s">
        <v>38</v>
      </c>
      <c r="D2677" t="s">
        <v>295</v>
      </c>
      <c r="E2677" t="s">
        <v>299</v>
      </c>
      <c r="G2677" s="4">
        <v>43945.661736111111</v>
      </c>
      <c r="H2677" s="4">
        <v>43945.661851851852</v>
      </c>
      <c r="I2677" t="s">
        <v>300</v>
      </c>
      <c r="J2677" s="5">
        <v>10.00000000000000000000000000000000000002</v>
      </c>
      <c r="K2677" t="s">
        <v>38</v>
      </c>
      <c r="M2677">
        <v>57863</v>
      </c>
      <c r="N2677" t="s">
        <v>299</v>
      </c>
      <c r="O2677" t="s">
        <v>301</v>
      </c>
      <c r="P2677" t="s">
        <v>38</v>
      </c>
      <c r="Q2677" t="s">
        <v>300</v>
      </c>
      <c r="R2677">
        <v>10.00000000000000000000000000000000000002</v>
      </c>
      <c r="S2677" t="s">
        <v>45</v>
      </c>
      <c r="T2677" t="str" s="2">
        <f>=HYPERLINK("http://demo.enginatics.com:80/ecc/user/applications/log/57862.log","http://demo.enginatics.com:80/ecc/user/applications/log/57862.log")</f>
        <v>"http://demo.enginatics.com:80/ecc/user/applications/log/57862.log")</v>
      </c>
      <c r="U2677">
        <v>57864</v>
      </c>
      <c r="V2677" t="s">
        <v>38</v>
      </c>
      <c r="W2677" t="s">
        <v>300</v>
      </c>
      <c r="X2677">
        <v>10.00000000000000000000000000000000000002</v>
      </c>
      <c r="Y2677">
        <v>10</v>
      </c>
      <c r="Z2677" t="s">
        <v>46</v>
      </c>
      <c r="AA2677">
        <v>57871</v>
      </c>
      <c r="AB2677" t="s">
        <v>302</v>
      </c>
      <c r="AC2677" t="s">
        <v>68</v>
      </c>
      <c r="AD2677" t="s">
        <v>38</v>
      </c>
      <c r="AE2677" t="s">
        <v>49</v>
      </c>
      <c r="AF2677" t="s">
        <v>50</v>
      </c>
      <c r="AG2677">
        <v>0</v>
      </c>
      <c r="AH2677">
        <v>0</v>
      </c>
      <c r="AI2677" t="s">
        <v>51</v>
      </c>
      <c r="AJ2677" t="s">
        <v>51</v>
      </c>
      <c r="AK2677" t="s">
        <v>51</v>
      </c>
    </row>
    <row r="2678" spans="1:37" x14ac:dyDescent="0.2">
      <c r="A2678">
        <v>57862</v>
      </c>
      <c r="B2678" t="s">
        <v>37</v>
      </c>
      <c r="C2678" t="s">
        <v>38</v>
      </c>
      <c r="D2678" t="s">
        <v>295</v>
      </c>
      <c r="E2678" t="s">
        <v>299</v>
      </c>
      <c r="G2678" s="4">
        <v>43945.661736111111</v>
      </c>
      <c r="H2678" s="4">
        <v>43945.661851851852</v>
      </c>
      <c r="I2678" t="s">
        <v>300</v>
      </c>
      <c r="J2678" s="5">
        <v>10.00000000000000000000000000000000000002</v>
      </c>
      <c r="K2678" t="s">
        <v>38</v>
      </c>
      <c r="M2678">
        <v>57863</v>
      </c>
      <c r="N2678" t="s">
        <v>299</v>
      </c>
      <c r="O2678" t="s">
        <v>301</v>
      </c>
      <c r="P2678" t="s">
        <v>38</v>
      </c>
      <c r="Q2678" t="s">
        <v>300</v>
      </c>
      <c r="R2678">
        <v>10.00000000000000000000000000000000000002</v>
      </c>
      <c r="S2678" t="s">
        <v>45</v>
      </c>
      <c r="T2678" t="str" s="2">
        <f>=HYPERLINK("http://demo.enginatics.com:80/ecc/user/applications/log/57862.log","http://demo.enginatics.com:80/ecc/user/applications/log/57862.log")</f>
        <v>"http://demo.enginatics.com:80/ecc/user/applications/log/57862.log")</v>
      </c>
      <c r="U2678">
        <v>57864</v>
      </c>
      <c r="V2678" t="s">
        <v>38</v>
      </c>
      <c r="W2678" t="s">
        <v>300</v>
      </c>
      <c r="X2678">
        <v>10.00000000000000000000000000000000000002</v>
      </c>
      <c r="Y2678">
        <v>10</v>
      </c>
      <c r="Z2678" t="s">
        <v>46</v>
      </c>
      <c r="AA2678">
        <v>57870</v>
      </c>
      <c r="AB2678" t="s">
        <v>303</v>
      </c>
      <c r="AC2678" t="s">
        <v>56</v>
      </c>
      <c r="AD2678" t="s">
        <v>38</v>
      </c>
      <c r="AE2678" t="s">
        <v>49</v>
      </c>
      <c r="AF2678" t="s">
        <v>50</v>
      </c>
      <c r="AG2678">
        <v>0</v>
      </c>
      <c r="AH2678">
        <v>0</v>
      </c>
      <c r="AI2678" t="s">
        <v>51</v>
      </c>
      <c r="AJ2678" t="s">
        <v>51</v>
      </c>
      <c r="AK2678" t="s">
        <v>51</v>
      </c>
    </row>
    <row r="2679" spans="1:37" x14ac:dyDescent="0.2">
      <c r="A2679">
        <v>57857</v>
      </c>
      <c r="B2679" t="s">
        <v>37</v>
      </c>
      <c r="C2679" t="s">
        <v>38</v>
      </c>
      <c r="D2679" t="s">
        <v>295</v>
      </c>
      <c r="E2679" t="s">
        <v>304</v>
      </c>
      <c r="G2679" s="4">
        <v>43945.661585648148</v>
      </c>
      <c r="H2679" s="4">
        <v>43945.661608796296</v>
      </c>
      <c r="I2679" t="s">
        <v>88</v>
      </c>
      <c r="J2679" s="5">
        <v>2</v>
      </c>
      <c r="K2679" t="s">
        <v>38</v>
      </c>
      <c r="M2679">
        <v>57858</v>
      </c>
      <c r="N2679" t="s">
        <v>304</v>
      </c>
      <c r="O2679" t="s">
        <v>305</v>
      </c>
      <c r="P2679" t="s">
        <v>38</v>
      </c>
      <c r="Q2679" t="s">
        <v>50</v>
      </c>
      <c r="R2679">
        <v>.9999999999999999999999999999999999999996</v>
      </c>
      <c r="S2679" t="s">
        <v>45</v>
      </c>
      <c r="T2679" t="str" s="2">
        <f>=HYPERLINK("http://demo.enginatics.com:80/ecc/user/applications/log/57857.log","http://demo.enginatics.com:80/ecc/user/applications/log/57857.log")</f>
        <v>"http://demo.enginatics.com:80/ecc/user/applications/log/57857.log")</v>
      </c>
      <c r="U2679">
        <v>57859</v>
      </c>
      <c r="V2679" t="s">
        <v>38</v>
      </c>
      <c r="W2679" t="s">
        <v>50</v>
      </c>
      <c r="X2679">
        <v>.9999999999999999999999999999999999999996</v>
      </c>
      <c r="Y2679">
        <v>0</v>
      </c>
      <c r="Z2679" t="s">
        <v>46</v>
      </c>
      <c r="AA2679">
        <v>57860</v>
      </c>
      <c r="AB2679" t="s">
        <v>306</v>
      </c>
      <c r="AC2679" t="s">
        <v>68</v>
      </c>
      <c r="AD2679" t="s">
        <v>38</v>
      </c>
      <c r="AE2679" t="s">
        <v>49</v>
      </c>
      <c r="AF2679" t="s">
        <v>50</v>
      </c>
      <c r="AG2679">
        <v>0</v>
      </c>
      <c r="AH2679">
        <v>0</v>
      </c>
      <c r="AI2679" t="s">
        <v>51</v>
      </c>
      <c r="AJ2679" t="s">
        <v>51</v>
      </c>
      <c r="AK2679" t="s">
        <v>51</v>
      </c>
    </row>
    <row r="2680" spans="1:37" x14ac:dyDescent="0.2">
      <c r="A2680">
        <v>57846</v>
      </c>
      <c r="B2680" t="s">
        <v>37</v>
      </c>
      <c r="C2680" t="s">
        <v>38</v>
      </c>
      <c r="D2680" t="s">
        <v>253</v>
      </c>
      <c r="E2680" t="s">
        <v>319</v>
      </c>
      <c r="G2680" s="4">
        <v>43945.661527777778</v>
      </c>
      <c r="H2680" s="4">
        <v>43945.661550925926</v>
      </c>
      <c r="I2680" t="s">
        <v>88</v>
      </c>
      <c r="J2680" s="5">
        <v>2</v>
      </c>
      <c r="K2680" t="s">
        <v>38</v>
      </c>
      <c r="M2680">
        <v>57850</v>
      </c>
      <c r="N2680" t="s">
        <v>319</v>
      </c>
      <c r="O2680" t="s">
        <v>320</v>
      </c>
      <c r="P2680" t="s">
        <v>38</v>
      </c>
      <c r="Q2680" t="s">
        <v>88</v>
      </c>
      <c r="R2680">
        <v>2</v>
      </c>
      <c r="S2680" t="s">
        <v>45</v>
      </c>
      <c r="T2680" t="str" s="2">
        <f>=HYPERLINK("http://demo.enginatics.com:80/ecc/user/applications/log/57846.log","http://demo.enginatics.com:80/ecc/user/applications/log/57846.log")</f>
        <v>"http://demo.enginatics.com:80/ecc/user/applications/log/57846.log")</v>
      </c>
      <c r="U2680">
        <v>57851</v>
      </c>
      <c r="V2680" t="s">
        <v>38</v>
      </c>
      <c r="W2680" t="s">
        <v>88</v>
      </c>
      <c r="X2680">
        <v>2</v>
      </c>
      <c r="Y2680">
        <v>1</v>
      </c>
      <c r="Z2680" t="s">
        <v>46</v>
      </c>
      <c r="AA2680">
        <v>57856</v>
      </c>
      <c r="AB2680" t="s">
        <v>321</v>
      </c>
      <c r="AC2680" t="s">
        <v>68</v>
      </c>
      <c r="AD2680" t="s">
        <v>38</v>
      </c>
      <c r="AE2680" t="s">
        <v>49</v>
      </c>
      <c r="AF2680" t="s">
        <v>50</v>
      </c>
      <c r="AG2680">
        <v>0</v>
      </c>
      <c r="AH2680">
        <v>0</v>
      </c>
      <c r="AI2680" t="s">
        <v>51</v>
      </c>
      <c r="AJ2680" t="s">
        <v>51</v>
      </c>
      <c r="AK2680" t="s">
        <v>51</v>
      </c>
    </row>
    <row r="2681" spans="1:37" x14ac:dyDescent="0.2">
      <c r="A2681">
        <v>57846</v>
      </c>
      <c r="B2681" t="s">
        <v>37</v>
      </c>
      <c r="C2681" t="s">
        <v>38</v>
      </c>
      <c r="D2681" t="s">
        <v>253</v>
      </c>
      <c r="E2681" t="s">
        <v>319</v>
      </c>
      <c r="G2681" s="4">
        <v>43945.661527777778</v>
      </c>
      <c r="H2681" s="4">
        <v>43945.661550925926</v>
      </c>
      <c r="I2681" t="s">
        <v>88</v>
      </c>
      <c r="J2681" s="5">
        <v>2</v>
      </c>
      <c r="K2681" t="s">
        <v>38</v>
      </c>
      <c r="M2681">
        <v>57850</v>
      </c>
      <c r="N2681" t="s">
        <v>319</v>
      </c>
      <c r="O2681" t="s">
        <v>320</v>
      </c>
      <c r="P2681" t="s">
        <v>38</v>
      </c>
      <c r="Q2681" t="s">
        <v>88</v>
      </c>
      <c r="R2681">
        <v>2</v>
      </c>
      <c r="S2681" t="s">
        <v>45</v>
      </c>
      <c r="T2681" t="str" s="2">
        <f>=HYPERLINK("http://demo.enginatics.com:80/ecc/user/applications/log/57846.log","http://demo.enginatics.com:80/ecc/user/applications/log/57846.log")</f>
        <v>"http://demo.enginatics.com:80/ecc/user/applications/log/57846.log")</v>
      </c>
      <c r="U2681">
        <v>57851</v>
      </c>
      <c r="V2681" t="s">
        <v>38</v>
      </c>
      <c r="W2681" t="s">
        <v>88</v>
      </c>
      <c r="X2681">
        <v>2</v>
      </c>
      <c r="Y2681">
        <v>1</v>
      </c>
      <c r="Z2681" t="s">
        <v>46</v>
      </c>
      <c r="AA2681">
        <v>57855</v>
      </c>
      <c r="AB2681" t="s">
        <v>322</v>
      </c>
      <c r="AC2681" t="s">
        <v>56</v>
      </c>
      <c r="AD2681" t="s">
        <v>38</v>
      </c>
      <c r="AE2681" t="s">
        <v>49</v>
      </c>
      <c r="AF2681" t="s">
        <v>50</v>
      </c>
      <c r="AG2681">
        <v>0</v>
      </c>
      <c r="AH2681">
        <v>0</v>
      </c>
      <c r="AI2681" t="s">
        <v>51</v>
      </c>
      <c r="AJ2681" t="s">
        <v>51</v>
      </c>
      <c r="AK2681" t="s">
        <v>51</v>
      </c>
    </row>
    <row r="2682" spans="1:37" x14ac:dyDescent="0.2">
      <c r="A2682">
        <v>57845</v>
      </c>
      <c r="B2682" t="s">
        <v>37</v>
      </c>
      <c r="C2682" t="s">
        <v>38</v>
      </c>
      <c r="D2682" t="s">
        <v>307</v>
      </c>
      <c r="E2682" t="s">
        <v>40</v>
      </c>
      <c r="G2682" s="4">
        <v>43945.661527777778</v>
      </c>
      <c r="H2682" s="4">
        <v>43945.66181712963</v>
      </c>
      <c r="I2682" t="s">
        <v>180</v>
      </c>
      <c r="J2682" s="5">
        <v>25.00000000000000000000000000000000000001</v>
      </c>
      <c r="K2682" t="s">
        <v>38</v>
      </c>
      <c r="M2682">
        <v>57852</v>
      </c>
      <c r="N2682" t="s">
        <v>309</v>
      </c>
      <c r="O2682" t="s">
        <v>310</v>
      </c>
      <c r="P2682" t="s">
        <v>38</v>
      </c>
      <c r="Q2682" t="s">
        <v>180</v>
      </c>
      <c r="R2682">
        <v>25.00000000000000000000000000000000000001</v>
      </c>
      <c r="S2682" t="s">
        <v>45</v>
      </c>
      <c r="T2682" t="str" s="2">
        <f>=HYPERLINK("http://demo.enginatics.com:80/ecc/user/applications/log/57845.log","http://demo.enginatics.com:80/ecc/user/applications/log/57845.log")</f>
        <v>"http://demo.enginatics.com:80/ecc/user/applications/log/57845.log")</v>
      </c>
      <c r="U2682">
        <v>57853</v>
      </c>
      <c r="V2682" t="s">
        <v>38</v>
      </c>
      <c r="W2682" t="s">
        <v>1153</v>
      </c>
      <c r="X2682">
        <v>24.00000000000000000000000000000000000002</v>
      </c>
      <c r="Y2682">
        <v>0</v>
      </c>
      <c r="Z2682" t="s">
        <v>46</v>
      </c>
      <c r="AA2682">
        <v>57866</v>
      </c>
      <c r="AB2682" t="s">
        <v>1881</v>
      </c>
      <c r="AC2682" t="s">
        <v>56</v>
      </c>
      <c r="AD2682" t="s">
        <v>38</v>
      </c>
      <c r="AE2682" t="s">
        <v>49</v>
      </c>
      <c r="AF2682" t="s">
        <v>50</v>
      </c>
      <c r="AG2682">
        <v>0</v>
      </c>
      <c r="AH2682">
        <v>0</v>
      </c>
      <c r="AI2682" t="s">
        <v>51</v>
      </c>
      <c r="AJ2682" t="s">
        <v>51</v>
      </c>
      <c r="AK2682" t="s">
        <v>51</v>
      </c>
    </row>
    <row r="2683" spans="1:37" x14ac:dyDescent="0.2">
      <c r="A2683">
        <v>57845</v>
      </c>
      <c r="B2683" t="s">
        <v>37</v>
      </c>
      <c r="C2683" t="s">
        <v>38</v>
      </c>
      <c r="D2683" t="s">
        <v>307</v>
      </c>
      <c r="E2683" t="s">
        <v>40</v>
      </c>
      <c r="G2683" s="4">
        <v>43945.661527777778</v>
      </c>
      <c r="H2683" s="4">
        <v>43945.66181712963</v>
      </c>
      <c r="I2683" t="s">
        <v>180</v>
      </c>
      <c r="J2683" s="5">
        <v>25.00000000000000000000000000000000000001</v>
      </c>
      <c r="K2683" t="s">
        <v>38</v>
      </c>
      <c r="M2683">
        <v>57852</v>
      </c>
      <c r="N2683" t="s">
        <v>309</v>
      </c>
      <c r="O2683" t="s">
        <v>310</v>
      </c>
      <c r="P2683" t="s">
        <v>38</v>
      </c>
      <c r="Q2683" t="s">
        <v>180</v>
      </c>
      <c r="R2683">
        <v>25.00000000000000000000000000000000000001</v>
      </c>
      <c r="S2683" t="s">
        <v>45</v>
      </c>
      <c r="T2683" t="str" s="2">
        <f>=HYPERLINK("http://demo.enginatics.com:80/ecc/user/applications/log/57845.log","http://demo.enginatics.com:80/ecc/user/applications/log/57845.log")</f>
        <v>"http://demo.enginatics.com:80/ecc/user/applications/log/57845.log")</v>
      </c>
      <c r="U2683">
        <v>57853</v>
      </c>
      <c r="V2683" t="s">
        <v>38</v>
      </c>
      <c r="W2683" t="s">
        <v>1153</v>
      </c>
      <c r="X2683">
        <v>24.00000000000000000000000000000000000002</v>
      </c>
      <c r="Y2683">
        <v>0</v>
      </c>
      <c r="Z2683" t="s">
        <v>46</v>
      </c>
      <c r="AA2683">
        <v>57861</v>
      </c>
      <c r="AB2683" t="s">
        <v>2122</v>
      </c>
      <c r="AC2683" t="s">
        <v>97</v>
      </c>
      <c r="AD2683" t="s">
        <v>38</v>
      </c>
      <c r="AE2683" t="s">
        <v>49</v>
      </c>
      <c r="AF2683" t="s">
        <v>313</v>
      </c>
      <c r="AG2683">
        <v>13</v>
      </c>
      <c r="AH2683">
        <v>12</v>
      </c>
      <c r="AI2683" t="s">
        <v>51</v>
      </c>
      <c r="AJ2683" t="s">
        <v>51</v>
      </c>
      <c r="AK2683" t="s">
        <v>51</v>
      </c>
    </row>
    <row r="2684" spans="1:37" x14ac:dyDescent="0.2">
      <c r="A2684">
        <v>57845</v>
      </c>
      <c r="B2684" t="s">
        <v>37</v>
      </c>
      <c r="C2684" t="s">
        <v>38</v>
      </c>
      <c r="D2684" t="s">
        <v>307</v>
      </c>
      <c r="E2684" t="s">
        <v>40</v>
      </c>
      <c r="G2684" s="4">
        <v>43945.661527777778</v>
      </c>
      <c r="H2684" s="4">
        <v>43945.66181712963</v>
      </c>
      <c r="I2684" t="s">
        <v>180</v>
      </c>
      <c r="J2684" s="5">
        <v>25.00000000000000000000000000000000000001</v>
      </c>
      <c r="K2684" t="s">
        <v>38</v>
      </c>
      <c r="M2684">
        <v>57852</v>
      </c>
      <c r="N2684" t="s">
        <v>309</v>
      </c>
      <c r="O2684" t="s">
        <v>310</v>
      </c>
      <c r="P2684" t="s">
        <v>38</v>
      </c>
      <c r="Q2684" t="s">
        <v>180</v>
      </c>
      <c r="R2684">
        <v>25.00000000000000000000000000000000000001</v>
      </c>
      <c r="S2684" t="s">
        <v>45</v>
      </c>
      <c r="T2684" t="str" s="2">
        <f>=HYPERLINK("http://demo.enginatics.com:80/ecc/user/applications/log/57845.log","http://demo.enginatics.com:80/ecc/user/applications/log/57845.log")</f>
        <v>"http://demo.enginatics.com:80/ecc/user/applications/log/57845.log")</v>
      </c>
      <c r="U2684">
        <v>57853</v>
      </c>
      <c r="V2684" t="s">
        <v>38</v>
      </c>
      <c r="W2684" t="s">
        <v>1153</v>
      </c>
      <c r="X2684">
        <v>24.00000000000000000000000000000000000002</v>
      </c>
      <c r="Y2684">
        <v>0</v>
      </c>
      <c r="Z2684" t="s">
        <v>46</v>
      </c>
      <c r="AA2684">
        <v>57854</v>
      </c>
      <c r="AB2684" t="s">
        <v>2123</v>
      </c>
      <c r="AC2684" t="s">
        <v>97</v>
      </c>
      <c r="AD2684" t="s">
        <v>38</v>
      </c>
      <c r="AE2684" t="s">
        <v>49</v>
      </c>
      <c r="AF2684" t="s">
        <v>337</v>
      </c>
      <c r="AG2684">
        <v>11.00000000000000000000000000000000000002</v>
      </c>
      <c r="AH2684">
        <v>11</v>
      </c>
      <c r="AI2684" t="s">
        <v>51</v>
      </c>
      <c r="AJ2684" t="s">
        <v>51</v>
      </c>
      <c r="AK2684" t="s">
        <v>51</v>
      </c>
    </row>
    <row r="2685" spans="1:37" x14ac:dyDescent="0.2">
      <c r="A2685">
        <v>57845</v>
      </c>
      <c r="B2685" t="s">
        <v>37</v>
      </c>
      <c r="C2685" t="s">
        <v>38</v>
      </c>
      <c r="D2685" t="s">
        <v>307</v>
      </c>
      <c r="E2685" t="s">
        <v>40</v>
      </c>
      <c r="G2685" s="4">
        <v>43945.661527777778</v>
      </c>
      <c r="H2685" s="4">
        <v>43945.66181712963</v>
      </c>
      <c r="I2685" t="s">
        <v>180</v>
      </c>
      <c r="J2685" s="5">
        <v>25.00000000000000000000000000000000000001</v>
      </c>
      <c r="K2685" t="s">
        <v>38</v>
      </c>
      <c r="M2685">
        <v>57847</v>
      </c>
      <c r="N2685" t="s">
        <v>316</v>
      </c>
      <c r="O2685" t="s">
        <v>317</v>
      </c>
      <c r="P2685" t="s">
        <v>38</v>
      </c>
      <c r="Q2685" t="s">
        <v>50</v>
      </c>
      <c r="R2685">
        <v>0</v>
      </c>
      <c r="S2685" t="s">
        <v>45</v>
      </c>
      <c r="T2685" t="str" s="2">
        <f>=HYPERLINK("http://demo.enginatics.com:80/ecc/user/applications/log/57845.log","http://demo.enginatics.com:80/ecc/user/applications/log/57845.log")</f>
        <v>"http://demo.enginatics.com:80/ecc/user/applications/log/57845.log")</v>
      </c>
      <c r="U2685">
        <v>57848</v>
      </c>
      <c r="V2685" t="s">
        <v>38</v>
      </c>
      <c r="W2685" t="s">
        <v>50</v>
      </c>
      <c r="X2685">
        <v>0</v>
      </c>
      <c r="Y2685">
        <v>0</v>
      </c>
      <c r="Z2685" t="s">
        <v>46</v>
      </c>
      <c r="AA2685">
        <v>57849</v>
      </c>
      <c r="AB2685" t="s">
        <v>1884</v>
      </c>
      <c r="AC2685" t="s">
        <v>97</v>
      </c>
      <c r="AD2685" t="s">
        <v>38</v>
      </c>
      <c r="AE2685" t="s">
        <v>49</v>
      </c>
      <c r="AF2685" t="s">
        <v>50</v>
      </c>
      <c r="AG2685">
        <v>0</v>
      </c>
      <c r="AH2685">
        <v>0</v>
      </c>
      <c r="AI2685" t="s">
        <v>51</v>
      </c>
      <c r="AJ2685" t="s">
        <v>51</v>
      </c>
      <c r="AK2685" t="s">
        <v>51</v>
      </c>
    </row>
    <row r="2686" spans="1:37" x14ac:dyDescent="0.2">
      <c r="A2686">
        <v>57841</v>
      </c>
      <c r="B2686" t="s">
        <v>37</v>
      </c>
      <c r="C2686" t="s">
        <v>38</v>
      </c>
      <c r="D2686" t="s">
        <v>253</v>
      </c>
      <c r="E2686" t="s">
        <v>358</v>
      </c>
      <c r="G2686" s="4">
        <v>43945.661377314815</v>
      </c>
      <c r="H2686" s="4">
        <v>43945.661388888889</v>
      </c>
      <c r="I2686" t="s">
        <v>50</v>
      </c>
      <c r="J2686" s="5">
        <v>.9999999999999999999999999999999999999996</v>
      </c>
      <c r="K2686" t="s">
        <v>38</v>
      </c>
      <c r="M2686">
        <v>57842</v>
      </c>
      <c r="N2686" t="s">
        <v>358</v>
      </c>
      <c r="O2686" t="s">
        <v>359</v>
      </c>
      <c r="P2686" t="s">
        <v>38</v>
      </c>
      <c r="Q2686" t="s">
        <v>50</v>
      </c>
      <c r="R2686">
        <v>0</v>
      </c>
      <c r="S2686" t="s">
        <v>45</v>
      </c>
      <c r="T2686" t="str" s="2">
        <f>=HYPERLINK("http://demo.enginatics.com:80/ecc/user/applications/log/57841.log","http://demo.enginatics.com:80/ecc/user/applications/log/57841.log")</f>
        <v>"http://demo.enginatics.com:80/ecc/user/applications/log/57841.log")</v>
      </c>
      <c r="U2686">
        <v>57843</v>
      </c>
      <c r="V2686" t="s">
        <v>38</v>
      </c>
      <c r="W2686" t="s">
        <v>50</v>
      </c>
      <c r="X2686">
        <v>0</v>
      </c>
      <c r="Y2686">
        <v>0</v>
      </c>
      <c r="Z2686" t="s">
        <v>46</v>
      </c>
      <c r="AA2686">
        <v>57844</v>
      </c>
      <c r="AB2686" t="s">
        <v>360</v>
      </c>
      <c r="AC2686" t="s">
        <v>68</v>
      </c>
      <c r="AD2686" t="s">
        <v>38</v>
      </c>
      <c r="AE2686" t="s">
        <v>49</v>
      </c>
      <c r="AF2686" t="s">
        <v>50</v>
      </c>
      <c r="AG2686">
        <v>0</v>
      </c>
      <c r="AH2686">
        <v>0</v>
      </c>
      <c r="AI2686" t="s">
        <v>51</v>
      </c>
      <c r="AJ2686" t="s">
        <v>51</v>
      </c>
      <c r="AK2686" t="s">
        <v>51</v>
      </c>
    </row>
    <row r="2687" spans="1:37" x14ac:dyDescent="0.2">
      <c r="A2687">
        <v>57763</v>
      </c>
      <c r="B2687" t="s">
        <v>37</v>
      </c>
      <c r="C2687" t="s">
        <v>38</v>
      </c>
      <c r="D2687" t="s">
        <v>323</v>
      </c>
      <c r="E2687" t="s">
        <v>40</v>
      </c>
      <c r="G2687" s="4">
        <v>43945.661099537037</v>
      </c>
      <c r="H2687" s="4">
        <v>43945.661365740741</v>
      </c>
      <c r="I2687" t="s">
        <v>183</v>
      </c>
      <c r="J2687" s="5">
        <v>23.00000000000000000000000000000000000003</v>
      </c>
      <c r="K2687" t="s">
        <v>38</v>
      </c>
      <c r="M2687">
        <v>57838</v>
      </c>
      <c r="N2687" t="s">
        <v>325</v>
      </c>
      <c r="O2687" t="s">
        <v>326</v>
      </c>
      <c r="P2687" t="s">
        <v>38</v>
      </c>
      <c r="Q2687" t="s">
        <v>50</v>
      </c>
      <c r="R2687">
        <v>0</v>
      </c>
      <c r="S2687" t="s">
        <v>45</v>
      </c>
      <c r="T2687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87">
        <v>57839</v>
      </c>
      <c r="V2687" t="s">
        <v>38</v>
      </c>
      <c r="W2687" t="s">
        <v>50</v>
      </c>
      <c r="X2687">
        <v>0</v>
      </c>
      <c r="Y2687">
        <v>0</v>
      </c>
      <c r="Z2687" t="s">
        <v>46</v>
      </c>
      <c r="AA2687">
        <v>57840</v>
      </c>
      <c r="AB2687" t="s">
        <v>1885</v>
      </c>
      <c r="AC2687" t="s">
        <v>97</v>
      </c>
      <c r="AD2687" t="s">
        <v>38</v>
      </c>
      <c r="AE2687" t="s">
        <v>49</v>
      </c>
      <c r="AF2687" t="s">
        <v>50</v>
      </c>
      <c r="AG2687">
        <v>0</v>
      </c>
      <c r="AH2687">
        <v>0</v>
      </c>
      <c r="AI2687" t="s">
        <v>51</v>
      </c>
      <c r="AJ2687" t="s">
        <v>51</v>
      </c>
      <c r="AK2687" t="s">
        <v>51</v>
      </c>
    </row>
    <row r="2688" spans="1:37" x14ac:dyDescent="0.2">
      <c r="A2688">
        <v>57763</v>
      </c>
      <c r="B2688" t="s">
        <v>37</v>
      </c>
      <c r="C2688" t="s">
        <v>38</v>
      </c>
      <c r="D2688" t="s">
        <v>323</v>
      </c>
      <c r="E2688" t="s">
        <v>40</v>
      </c>
      <c r="G2688" s="4">
        <v>43945.661099537037</v>
      </c>
      <c r="H2688" s="4">
        <v>43945.661365740741</v>
      </c>
      <c r="I2688" t="s">
        <v>183</v>
      </c>
      <c r="J2688" s="5">
        <v>23.00000000000000000000000000000000000003</v>
      </c>
      <c r="K2688" t="s">
        <v>38</v>
      </c>
      <c r="M2688">
        <v>57831</v>
      </c>
      <c r="N2688" t="s">
        <v>328</v>
      </c>
      <c r="O2688" t="s">
        <v>329</v>
      </c>
      <c r="P2688" t="s">
        <v>38</v>
      </c>
      <c r="Q2688" t="s">
        <v>50</v>
      </c>
      <c r="R2688">
        <v>.9999999999999999999999999999999999999996</v>
      </c>
      <c r="S2688" t="s">
        <v>45</v>
      </c>
      <c r="T2688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88">
        <v>57832</v>
      </c>
      <c r="V2688" t="s">
        <v>38</v>
      </c>
      <c r="W2688" t="s">
        <v>50</v>
      </c>
      <c r="X2688">
        <v>.9999999999999999999999999999999999999996</v>
      </c>
      <c r="Y2688">
        <v>0</v>
      </c>
      <c r="Z2688" t="s">
        <v>46</v>
      </c>
      <c r="AA2688">
        <v>57837</v>
      </c>
      <c r="AB2688" t="s">
        <v>2124</v>
      </c>
      <c r="AC2688" t="s">
        <v>97</v>
      </c>
      <c r="AD2688" t="s">
        <v>38</v>
      </c>
      <c r="AE2688" t="s">
        <v>49</v>
      </c>
      <c r="AF2688" t="s">
        <v>50</v>
      </c>
      <c r="AG2688">
        <v>0</v>
      </c>
      <c r="AH2688">
        <v>0</v>
      </c>
      <c r="AI2688" t="s">
        <v>51</v>
      </c>
      <c r="AJ2688" t="s">
        <v>51</v>
      </c>
      <c r="AK2688" t="s">
        <v>51</v>
      </c>
    </row>
    <row r="2689" spans="1:37" x14ac:dyDescent="0.2">
      <c r="A2689">
        <v>57763</v>
      </c>
      <c r="B2689" t="s">
        <v>37</v>
      </c>
      <c r="C2689" t="s">
        <v>38</v>
      </c>
      <c r="D2689" t="s">
        <v>323</v>
      </c>
      <c r="E2689" t="s">
        <v>40</v>
      </c>
      <c r="G2689" s="4">
        <v>43945.661099537037</v>
      </c>
      <c r="H2689" s="4">
        <v>43945.661365740741</v>
      </c>
      <c r="I2689" t="s">
        <v>183</v>
      </c>
      <c r="J2689" s="5">
        <v>23.00000000000000000000000000000000000003</v>
      </c>
      <c r="K2689" t="s">
        <v>38</v>
      </c>
      <c r="M2689">
        <v>57831</v>
      </c>
      <c r="N2689" t="s">
        <v>328</v>
      </c>
      <c r="O2689" t="s">
        <v>329</v>
      </c>
      <c r="P2689" t="s">
        <v>38</v>
      </c>
      <c r="Q2689" t="s">
        <v>50</v>
      </c>
      <c r="R2689">
        <v>.9999999999999999999999999999999999999996</v>
      </c>
      <c r="S2689" t="s">
        <v>45</v>
      </c>
      <c r="T2689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89">
        <v>57832</v>
      </c>
      <c r="V2689" t="s">
        <v>38</v>
      </c>
      <c r="W2689" t="s">
        <v>50</v>
      </c>
      <c r="X2689">
        <v>.9999999999999999999999999999999999999996</v>
      </c>
      <c r="Y2689">
        <v>0</v>
      </c>
      <c r="Z2689" t="s">
        <v>46</v>
      </c>
      <c r="AA2689">
        <v>57836</v>
      </c>
      <c r="AB2689" t="s">
        <v>2125</v>
      </c>
      <c r="AC2689" t="s">
        <v>97</v>
      </c>
      <c r="AD2689" t="s">
        <v>38</v>
      </c>
      <c r="AE2689" t="s">
        <v>49</v>
      </c>
      <c r="AF2689" t="s">
        <v>50</v>
      </c>
      <c r="AG2689">
        <v>.9999999999999999999999999999999999999996</v>
      </c>
      <c r="AH2689">
        <v>0</v>
      </c>
      <c r="AI2689" t="s">
        <v>51</v>
      </c>
      <c r="AJ2689" t="s">
        <v>51</v>
      </c>
      <c r="AK2689" t="s">
        <v>51</v>
      </c>
    </row>
    <row r="2690" spans="1:37" x14ac:dyDescent="0.2">
      <c r="A2690">
        <v>57763</v>
      </c>
      <c r="B2690" t="s">
        <v>37</v>
      </c>
      <c r="C2690" t="s">
        <v>38</v>
      </c>
      <c r="D2690" t="s">
        <v>323</v>
      </c>
      <c r="E2690" t="s">
        <v>40</v>
      </c>
      <c r="G2690" s="4">
        <v>43945.661099537037</v>
      </c>
      <c r="H2690" s="4">
        <v>43945.661365740741</v>
      </c>
      <c r="I2690" t="s">
        <v>183</v>
      </c>
      <c r="J2690" s="5">
        <v>23.00000000000000000000000000000000000003</v>
      </c>
      <c r="K2690" t="s">
        <v>38</v>
      </c>
      <c r="M2690">
        <v>57831</v>
      </c>
      <c r="N2690" t="s">
        <v>328</v>
      </c>
      <c r="O2690" t="s">
        <v>329</v>
      </c>
      <c r="P2690" t="s">
        <v>38</v>
      </c>
      <c r="Q2690" t="s">
        <v>50</v>
      </c>
      <c r="R2690">
        <v>.9999999999999999999999999999999999999996</v>
      </c>
      <c r="S2690" t="s">
        <v>45</v>
      </c>
      <c r="T2690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0">
        <v>57832</v>
      </c>
      <c r="V2690" t="s">
        <v>38</v>
      </c>
      <c r="W2690" t="s">
        <v>50</v>
      </c>
      <c r="X2690">
        <v>.9999999999999999999999999999999999999996</v>
      </c>
      <c r="Y2690">
        <v>0</v>
      </c>
      <c r="Z2690" t="s">
        <v>46</v>
      </c>
      <c r="AA2690">
        <v>57835</v>
      </c>
      <c r="AB2690" t="s">
        <v>2126</v>
      </c>
      <c r="AC2690" t="s">
        <v>97</v>
      </c>
      <c r="AD2690" t="s">
        <v>38</v>
      </c>
      <c r="AE2690" t="s">
        <v>49</v>
      </c>
      <c r="AF2690" t="s">
        <v>50</v>
      </c>
      <c r="AG2690">
        <v>0</v>
      </c>
      <c r="AH2690">
        <v>0</v>
      </c>
      <c r="AI2690" t="s">
        <v>51</v>
      </c>
      <c r="AJ2690" t="s">
        <v>51</v>
      </c>
      <c r="AK2690" t="s">
        <v>51</v>
      </c>
    </row>
    <row r="2691" spans="1:37" x14ac:dyDescent="0.2">
      <c r="A2691">
        <v>57763</v>
      </c>
      <c r="B2691" t="s">
        <v>37</v>
      </c>
      <c r="C2691" t="s">
        <v>38</v>
      </c>
      <c r="D2691" t="s">
        <v>323</v>
      </c>
      <c r="E2691" t="s">
        <v>40</v>
      </c>
      <c r="G2691" s="4">
        <v>43945.661099537037</v>
      </c>
      <c r="H2691" s="4">
        <v>43945.661365740741</v>
      </c>
      <c r="I2691" t="s">
        <v>183</v>
      </c>
      <c r="J2691" s="5">
        <v>23.00000000000000000000000000000000000003</v>
      </c>
      <c r="K2691" t="s">
        <v>38</v>
      </c>
      <c r="M2691">
        <v>57831</v>
      </c>
      <c r="N2691" t="s">
        <v>328</v>
      </c>
      <c r="O2691" t="s">
        <v>329</v>
      </c>
      <c r="P2691" t="s">
        <v>38</v>
      </c>
      <c r="Q2691" t="s">
        <v>50</v>
      </c>
      <c r="R2691">
        <v>.9999999999999999999999999999999999999996</v>
      </c>
      <c r="S2691" t="s">
        <v>45</v>
      </c>
      <c r="T2691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1">
        <v>57832</v>
      </c>
      <c r="V2691" t="s">
        <v>38</v>
      </c>
      <c r="W2691" t="s">
        <v>50</v>
      </c>
      <c r="X2691">
        <v>.9999999999999999999999999999999999999996</v>
      </c>
      <c r="Y2691">
        <v>0</v>
      </c>
      <c r="Z2691" t="s">
        <v>46</v>
      </c>
      <c r="AA2691">
        <v>57834</v>
      </c>
      <c r="AB2691" t="s">
        <v>2127</v>
      </c>
      <c r="AC2691" t="s">
        <v>97</v>
      </c>
      <c r="AD2691" t="s">
        <v>38</v>
      </c>
      <c r="AE2691" t="s">
        <v>49</v>
      </c>
      <c r="AF2691" t="s">
        <v>50</v>
      </c>
      <c r="AG2691">
        <v>0</v>
      </c>
      <c r="AH2691">
        <v>0</v>
      </c>
      <c r="AI2691" t="s">
        <v>51</v>
      </c>
      <c r="AJ2691" t="s">
        <v>51</v>
      </c>
      <c r="AK2691" t="s">
        <v>51</v>
      </c>
    </row>
    <row r="2692" spans="1:37" x14ac:dyDescent="0.2">
      <c r="A2692">
        <v>57763</v>
      </c>
      <c r="B2692" t="s">
        <v>37</v>
      </c>
      <c r="C2692" t="s">
        <v>38</v>
      </c>
      <c r="D2692" t="s">
        <v>323</v>
      </c>
      <c r="E2692" t="s">
        <v>40</v>
      </c>
      <c r="G2692" s="4">
        <v>43945.661099537037</v>
      </c>
      <c r="H2692" s="4">
        <v>43945.661365740741</v>
      </c>
      <c r="I2692" t="s">
        <v>183</v>
      </c>
      <c r="J2692" s="5">
        <v>23.00000000000000000000000000000000000003</v>
      </c>
      <c r="K2692" t="s">
        <v>38</v>
      </c>
      <c r="M2692">
        <v>57831</v>
      </c>
      <c r="N2692" t="s">
        <v>328</v>
      </c>
      <c r="O2692" t="s">
        <v>329</v>
      </c>
      <c r="P2692" t="s">
        <v>38</v>
      </c>
      <c r="Q2692" t="s">
        <v>50</v>
      </c>
      <c r="R2692">
        <v>.9999999999999999999999999999999999999996</v>
      </c>
      <c r="S2692" t="s">
        <v>45</v>
      </c>
      <c r="T2692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2">
        <v>57832</v>
      </c>
      <c r="V2692" t="s">
        <v>38</v>
      </c>
      <c r="W2692" t="s">
        <v>50</v>
      </c>
      <c r="X2692">
        <v>.9999999999999999999999999999999999999996</v>
      </c>
      <c r="Y2692">
        <v>0</v>
      </c>
      <c r="Z2692" t="s">
        <v>46</v>
      </c>
      <c r="AA2692">
        <v>57833</v>
      </c>
      <c r="AB2692" t="s">
        <v>2128</v>
      </c>
      <c r="AC2692" t="s">
        <v>97</v>
      </c>
      <c r="AD2692" t="s">
        <v>38</v>
      </c>
      <c r="AE2692" t="s">
        <v>49</v>
      </c>
      <c r="AF2692" t="s">
        <v>50</v>
      </c>
      <c r="AG2692">
        <v>0</v>
      </c>
      <c r="AH2692">
        <v>0</v>
      </c>
      <c r="AI2692" t="s">
        <v>51</v>
      </c>
      <c r="AJ2692" t="s">
        <v>51</v>
      </c>
      <c r="AK2692" t="s">
        <v>51</v>
      </c>
    </row>
    <row r="2693" spans="1:37" x14ac:dyDescent="0.2">
      <c r="A2693">
        <v>57763</v>
      </c>
      <c r="B2693" t="s">
        <v>37</v>
      </c>
      <c r="C2693" t="s">
        <v>38</v>
      </c>
      <c r="D2693" t="s">
        <v>323</v>
      </c>
      <c r="E2693" t="s">
        <v>40</v>
      </c>
      <c r="G2693" s="4">
        <v>43945.661099537037</v>
      </c>
      <c r="H2693" s="4">
        <v>43945.661365740741</v>
      </c>
      <c r="I2693" t="s">
        <v>183</v>
      </c>
      <c r="J2693" s="5">
        <v>23.00000000000000000000000000000000000003</v>
      </c>
      <c r="K2693" t="s">
        <v>38</v>
      </c>
      <c r="M2693">
        <v>57818</v>
      </c>
      <c r="N2693" t="s">
        <v>335</v>
      </c>
      <c r="O2693" t="s">
        <v>336</v>
      </c>
      <c r="P2693" t="s">
        <v>38</v>
      </c>
      <c r="Q2693" t="s">
        <v>315</v>
      </c>
      <c r="R2693">
        <v>14</v>
      </c>
      <c r="S2693" t="s">
        <v>45</v>
      </c>
      <c r="T2693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3">
        <v>57819</v>
      </c>
      <c r="V2693" t="s">
        <v>38</v>
      </c>
      <c r="W2693" t="s">
        <v>315</v>
      </c>
      <c r="X2693">
        <v>14</v>
      </c>
      <c r="Y2693">
        <v>1</v>
      </c>
      <c r="Z2693" t="s">
        <v>46</v>
      </c>
      <c r="AA2693">
        <v>57830</v>
      </c>
      <c r="AB2693" t="s">
        <v>1891</v>
      </c>
      <c r="AC2693" t="s">
        <v>97</v>
      </c>
      <c r="AD2693" t="s">
        <v>38</v>
      </c>
      <c r="AE2693" t="s">
        <v>49</v>
      </c>
      <c r="AF2693" t="s">
        <v>50</v>
      </c>
      <c r="AG2693">
        <v>0</v>
      </c>
      <c r="AH2693">
        <v>0</v>
      </c>
      <c r="AI2693" t="s">
        <v>51</v>
      </c>
      <c r="AJ2693" t="s">
        <v>51</v>
      </c>
      <c r="AK2693" t="s">
        <v>51</v>
      </c>
    </row>
    <row r="2694" spans="1:37" x14ac:dyDescent="0.2">
      <c r="A2694">
        <v>57763</v>
      </c>
      <c r="B2694" t="s">
        <v>37</v>
      </c>
      <c r="C2694" t="s">
        <v>38</v>
      </c>
      <c r="D2694" t="s">
        <v>323</v>
      </c>
      <c r="E2694" t="s">
        <v>40</v>
      </c>
      <c r="G2694" s="4">
        <v>43945.661099537037</v>
      </c>
      <c r="H2694" s="4">
        <v>43945.661365740741</v>
      </c>
      <c r="I2694" t="s">
        <v>183</v>
      </c>
      <c r="J2694" s="5">
        <v>23.00000000000000000000000000000000000003</v>
      </c>
      <c r="K2694" t="s">
        <v>38</v>
      </c>
      <c r="M2694">
        <v>57818</v>
      </c>
      <c r="N2694" t="s">
        <v>335</v>
      </c>
      <c r="O2694" t="s">
        <v>336</v>
      </c>
      <c r="P2694" t="s">
        <v>38</v>
      </c>
      <c r="Q2694" t="s">
        <v>315</v>
      </c>
      <c r="R2694">
        <v>14</v>
      </c>
      <c r="S2694" t="s">
        <v>45</v>
      </c>
      <c r="T2694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4">
        <v>57819</v>
      </c>
      <c r="V2694" t="s">
        <v>38</v>
      </c>
      <c r="W2694" t="s">
        <v>315</v>
      </c>
      <c r="X2694">
        <v>14</v>
      </c>
      <c r="Y2694">
        <v>1</v>
      </c>
      <c r="Z2694" t="s">
        <v>46</v>
      </c>
      <c r="AA2694">
        <v>57829</v>
      </c>
      <c r="AB2694" t="s">
        <v>1892</v>
      </c>
      <c r="AC2694" t="s">
        <v>97</v>
      </c>
      <c r="AD2694" t="s">
        <v>38</v>
      </c>
      <c r="AE2694" t="s">
        <v>49</v>
      </c>
      <c r="AF2694" t="s">
        <v>50</v>
      </c>
      <c r="AG2694">
        <v>.9999999999999999999999999999999999999996</v>
      </c>
      <c r="AH2694">
        <v>0</v>
      </c>
      <c r="AI2694" t="s">
        <v>51</v>
      </c>
      <c r="AJ2694" t="s">
        <v>51</v>
      </c>
      <c r="AK2694" t="s">
        <v>51</v>
      </c>
    </row>
    <row r="2695" spans="1:37" x14ac:dyDescent="0.2">
      <c r="A2695">
        <v>57763</v>
      </c>
      <c r="B2695" t="s">
        <v>37</v>
      </c>
      <c r="C2695" t="s">
        <v>38</v>
      </c>
      <c r="D2695" t="s">
        <v>323</v>
      </c>
      <c r="E2695" t="s">
        <v>40</v>
      </c>
      <c r="G2695" s="4">
        <v>43945.661099537037</v>
      </c>
      <c r="H2695" s="4">
        <v>43945.661365740741</v>
      </c>
      <c r="I2695" t="s">
        <v>183</v>
      </c>
      <c r="J2695" s="5">
        <v>23.00000000000000000000000000000000000003</v>
      </c>
      <c r="K2695" t="s">
        <v>38</v>
      </c>
      <c r="M2695">
        <v>57818</v>
      </c>
      <c r="N2695" t="s">
        <v>335</v>
      </c>
      <c r="O2695" t="s">
        <v>336</v>
      </c>
      <c r="P2695" t="s">
        <v>38</v>
      </c>
      <c r="Q2695" t="s">
        <v>315</v>
      </c>
      <c r="R2695">
        <v>14</v>
      </c>
      <c r="S2695" t="s">
        <v>45</v>
      </c>
      <c r="T2695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5">
        <v>57819</v>
      </c>
      <c r="V2695" t="s">
        <v>38</v>
      </c>
      <c r="W2695" t="s">
        <v>315</v>
      </c>
      <c r="X2695">
        <v>14</v>
      </c>
      <c r="Y2695">
        <v>1</v>
      </c>
      <c r="Z2695" t="s">
        <v>46</v>
      </c>
      <c r="AA2695">
        <v>57828</v>
      </c>
      <c r="AB2695" t="s">
        <v>1893</v>
      </c>
      <c r="AC2695" t="s">
        <v>97</v>
      </c>
      <c r="AD2695" t="s">
        <v>38</v>
      </c>
      <c r="AE2695" t="s">
        <v>49</v>
      </c>
      <c r="AF2695" t="s">
        <v>50</v>
      </c>
      <c r="AG2695">
        <v>0</v>
      </c>
      <c r="AH2695">
        <v>0</v>
      </c>
      <c r="AI2695" t="s">
        <v>51</v>
      </c>
      <c r="AJ2695" t="s">
        <v>51</v>
      </c>
      <c r="AK2695" t="s">
        <v>51</v>
      </c>
    </row>
    <row r="2696" spans="1:37" x14ac:dyDescent="0.2">
      <c r="A2696">
        <v>57763</v>
      </c>
      <c r="B2696" t="s">
        <v>37</v>
      </c>
      <c r="C2696" t="s">
        <v>38</v>
      </c>
      <c r="D2696" t="s">
        <v>323</v>
      </c>
      <c r="E2696" t="s">
        <v>40</v>
      </c>
      <c r="G2696" s="4">
        <v>43945.661099537037</v>
      </c>
      <c r="H2696" s="4">
        <v>43945.661365740741</v>
      </c>
      <c r="I2696" t="s">
        <v>183</v>
      </c>
      <c r="J2696" s="5">
        <v>23.00000000000000000000000000000000000003</v>
      </c>
      <c r="K2696" t="s">
        <v>38</v>
      </c>
      <c r="M2696">
        <v>57818</v>
      </c>
      <c r="N2696" t="s">
        <v>335</v>
      </c>
      <c r="O2696" t="s">
        <v>336</v>
      </c>
      <c r="P2696" t="s">
        <v>38</v>
      </c>
      <c r="Q2696" t="s">
        <v>315</v>
      </c>
      <c r="R2696">
        <v>14</v>
      </c>
      <c r="S2696" t="s">
        <v>45</v>
      </c>
      <c r="T2696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6">
        <v>57819</v>
      </c>
      <c r="V2696" t="s">
        <v>38</v>
      </c>
      <c r="W2696" t="s">
        <v>315</v>
      </c>
      <c r="X2696">
        <v>14</v>
      </c>
      <c r="Y2696">
        <v>1</v>
      </c>
      <c r="Z2696" t="s">
        <v>46</v>
      </c>
      <c r="AA2696">
        <v>57827</v>
      </c>
      <c r="AB2696" t="s">
        <v>1894</v>
      </c>
      <c r="AC2696" t="s">
        <v>97</v>
      </c>
      <c r="AD2696" t="s">
        <v>38</v>
      </c>
      <c r="AE2696" t="s">
        <v>49</v>
      </c>
      <c r="AF2696" t="s">
        <v>88</v>
      </c>
      <c r="AG2696">
        <v>2</v>
      </c>
      <c r="AH2696">
        <v>1</v>
      </c>
      <c r="AI2696" t="s">
        <v>51</v>
      </c>
      <c r="AJ2696" t="s">
        <v>51</v>
      </c>
      <c r="AK2696" t="s">
        <v>51</v>
      </c>
    </row>
    <row r="2697" spans="1:37" x14ac:dyDescent="0.2">
      <c r="A2697">
        <v>57763</v>
      </c>
      <c r="B2697" t="s">
        <v>37</v>
      </c>
      <c r="C2697" t="s">
        <v>38</v>
      </c>
      <c r="D2697" t="s">
        <v>323</v>
      </c>
      <c r="E2697" t="s">
        <v>40</v>
      </c>
      <c r="G2697" s="4">
        <v>43945.661099537037</v>
      </c>
      <c r="H2697" s="4">
        <v>43945.661365740741</v>
      </c>
      <c r="I2697" t="s">
        <v>183</v>
      </c>
      <c r="J2697" s="5">
        <v>23.00000000000000000000000000000000000003</v>
      </c>
      <c r="K2697" t="s">
        <v>38</v>
      </c>
      <c r="M2697">
        <v>57818</v>
      </c>
      <c r="N2697" t="s">
        <v>335</v>
      </c>
      <c r="O2697" t="s">
        <v>336</v>
      </c>
      <c r="P2697" t="s">
        <v>38</v>
      </c>
      <c r="Q2697" t="s">
        <v>315</v>
      </c>
      <c r="R2697">
        <v>14</v>
      </c>
      <c r="S2697" t="s">
        <v>45</v>
      </c>
      <c r="T2697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7">
        <v>57819</v>
      </c>
      <c r="V2697" t="s">
        <v>38</v>
      </c>
      <c r="W2697" t="s">
        <v>315</v>
      </c>
      <c r="X2697">
        <v>14</v>
      </c>
      <c r="Y2697">
        <v>1</v>
      </c>
      <c r="Z2697" t="s">
        <v>46</v>
      </c>
      <c r="AA2697">
        <v>57821</v>
      </c>
      <c r="AB2697" t="s">
        <v>1895</v>
      </c>
      <c r="AC2697" t="s">
        <v>97</v>
      </c>
      <c r="AD2697" t="s">
        <v>38</v>
      </c>
      <c r="AE2697" t="s">
        <v>49</v>
      </c>
      <c r="AF2697" t="s">
        <v>75</v>
      </c>
      <c r="AG2697">
        <v>6</v>
      </c>
      <c r="AH2697">
        <v>6</v>
      </c>
      <c r="AI2697" t="s">
        <v>51</v>
      </c>
      <c r="AJ2697" t="s">
        <v>51</v>
      </c>
      <c r="AK2697" t="s">
        <v>51</v>
      </c>
    </row>
    <row r="2698" spans="1:37" x14ac:dyDescent="0.2">
      <c r="A2698">
        <v>57763</v>
      </c>
      <c r="B2698" t="s">
        <v>37</v>
      </c>
      <c r="C2698" t="s">
        <v>38</v>
      </c>
      <c r="D2698" t="s">
        <v>323</v>
      </c>
      <c r="E2698" t="s">
        <v>40</v>
      </c>
      <c r="G2698" s="4">
        <v>43945.661099537037</v>
      </c>
      <c r="H2698" s="4">
        <v>43945.661365740741</v>
      </c>
      <c r="I2698" t="s">
        <v>183</v>
      </c>
      <c r="J2698" s="5">
        <v>23.00000000000000000000000000000000000003</v>
      </c>
      <c r="K2698" t="s">
        <v>38</v>
      </c>
      <c r="M2698">
        <v>57818</v>
      </c>
      <c r="N2698" t="s">
        <v>335</v>
      </c>
      <c r="O2698" t="s">
        <v>336</v>
      </c>
      <c r="P2698" t="s">
        <v>38</v>
      </c>
      <c r="Q2698" t="s">
        <v>315</v>
      </c>
      <c r="R2698">
        <v>14</v>
      </c>
      <c r="S2698" t="s">
        <v>45</v>
      </c>
      <c r="T2698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8">
        <v>57819</v>
      </c>
      <c r="V2698" t="s">
        <v>38</v>
      </c>
      <c r="W2698" t="s">
        <v>315</v>
      </c>
      <c r="X2698">
        <v>14</v>
      </c>
      <c r="Y2698">
        <v>1</v>
      </c>
      <c r="Z2698" t="s">
        <v>46</v>
      </c>
      <c r="AA2698">
        <v>57820</v>
      </c>
      <c r="AB2698" t="s">
        <v>1896</v>
      </c>
      <c r="AC2698" t="s">
        <v>97</v>
      </c>
      <c r="AD2698" t="s">
        <v>38</v>
      </c>
      <c r="AE2698" t="s">
        <v>49</v>
      </c>
      <c r="AF2698" t="s">
        <v>85</v>
      </c>
      <c r="AG2698">
        <v>3</v>
      </c>
      <c r="AH2698">
        <v>0</v>
      </c>
      <c r="AI2698" t="s">
        <v>51</v>
      </c>
      <c r="AJ2698" t="s">
        <v>51</v>
      </c>
      <c r="AK2698" t="s">
        <v>51</v>
      </c>
    </row>
    <row r="2699" spans="1:37" x14ac:dyDescent="0.2">
      <c r="A2699">
        <v>57763</v>
      </c>
      <c r="B2699" t="s">
        <v>37</v>
      </c>
      <c r="C2699" t="s">
        <v>38</v>
      </c>
      <c r="D2699" t="s">
        <v>323</v>
      </c>
      <c r="E2699" t="s">
        <v>40</v>
      </c>
      <c r="G2699" s="4">
        <v>43945.661099537037</v>
      </c>
      <c r="H2699" s="4">
        <v>43945.661365740741</v>
      </c>
      <c r="I2699" t="s">
        <v>183</v>
      </c>
      <c r="J2699" s="5">
        <v>23.00000000000000000000000000000000000003</v>
      </c>
      <c r="K2699" t="s">
        <v>38</v>
      </c>
      <c r="M2699">
        <v>57814</v>
      </c>
      <c r="N2699" t="s">
        <v>344</v>
      </c>
      <c r="O2699" t="s">
        <v>345</v>
      </c>
      <c r="P2699" t="s">
        <v>38</v>
      </c>
      <c r="Q2699" t="s">
        <v>50</v>
      </c>
      <c r="R2699">
        <v>.9999999999999999999999999999999999999996</v>
      </c>
      <c r="S2699" t="s">
        <v>45</v>
      </c>
      <c r="T2699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699">
        <v>57815</v>
      </c>
      <c r="V2699" t="s">
        <v>38</v>
      </c>
      <c r="W2699" t="s">
        <v>50</v>
      </c>
      <c r="X2699">
        <v>.9999999999999999999999999999999999999996</v>
      </c>
      <c r="Y2699">
        <v>0</v>
      </c>
      <c r="Z2699" t="s">
        <v>46</v>
      </c>
      <c r="AA2699">
        <v>57817</v>
      </c>
      <c r="AB2699" t="s">
        <v>1897</v>
      </c>
      <c r="AC2699" t="s">
        <v>56</v>
      </c>
      <c r="AD2699" t="s">
        <v>38</v>
      </c>
      <c r="AE2699" t="s">
        <v>49</v>
      </c>
      <c r="AF2699" t="s">
        <v>50</v>
      </c>
      <c r="AG2699">
        <v>0</v>
      </c>
      <c r="AH2699">
        <v>0</v>
      </c>
      <c r="AI2699" t="s">
        <v>51</v>
      </c>
      <c r="AJ2699" t="s">
        <v>51</v>
      </c>
      <c r="AK2699" t="s">
        <v>51</v>
      </c>
    </row>
    <row r="2700" spans="1:37" x14ac:dyDescent="0.2">
      <c r="A2700">
        <v>57763</v>
      </c>
      <c r="B2700" t="s">
        <v>37</v>
      </c>
      <c r="C2700" t="s">
        <v>38</v>
      </c>
      <c r="D2700" t="s">
        <v>323</v>
      </c>
      <c r="E2700" t="s">
        <v>40</v>
      </c>
      <c r="G2700" s="4">
        <v>43945.661099537037</v>
      </c>
      <c r="H2700" s="4">
        <v>43945.661365740741</v>
      </c>
      <c r="I2700" t="s">
        <v>183</v>
      </c>
      <c r="J2700" s="5">
        <v>23.00000000000000000000000000000000000003</v>
      </c>
      <c r="K2700" t="s">
        <v>38</v>
      </c>
      <c r="M2700">
        <v>57814</v>
      </c>
      <c r="N2700" t="s">
        <v>344</v>
      </c>
      <c r="O2700" t="s">
        <v>345</v>
      </c>
      <c r="P2700" t="s">
        <v>38</v>
      </c>
      <c r="Q2700" t="s">
        <v>50</v>
      </c>
      <c r="R2700">
        <v>.9999999999999999999999999999999999999996</v>
      </c>
      <c r="S2700" t="s">
        <v>45</v>
      </c>
      <c r="T2700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700">
        <v>57815</v>
      </c>
      <c r="V2700" t="s">
        <v>38</v>
      </c>
      <c r="W2700" t="s">
        <v>50</v>
      </c>
      <c r="X2700">
        <v>.9999999999999999999999999999999999999996</v>
      </c>
      <c r="Y2700">
        <v>0</v>
      </c>
      <c r="Z2700" t="s">
        <v>46</v>
      </c>
      <c r="AA2700">
        <v>57816</v>
      </c>
      <c r="AB2700" t="s">
        <v>1898</v>
      </c>
      <c r="AC2700" t="s">
        <v>97</v>
      </c>
      <c r="AD2700" t="s">
        <v>38</v>
      </c>
      <c r="AE2700" t="s">
        <v>49</v>
      </c>
      <c r="AF2700" t="s">
        <v>50</v>
      </c>
      <c r="AG2700">
        <v>.9999999999999999999999999999999999999996</v>
      </c>
      <c r="AH2700">
        <v>0</v>
      </c>
      <c r="AI2700" t="s">
        <v>51</v>
      </c>
      <c r="AJ2700" t="s">
        <v>51</v>
      </c>
      <c r="AK2700" t="s">
        <v>51</v>
      </c>
    </row>
    <row r="2701" spans="1:37" x14ac:dyDescent="0.2">
      <c r="A2701">
        <v>57763</v>
      </c>
      <c r="B2701" t="s">
        <v>37</v>
      </c>
      <c r="C2701" t="s">
        <v>38</v>
      </c>
      <c r="D2701" t="s">
        <v>323</v>
      </c>
      <c r="E2701" t="s">
        <v>40</v>
      </c>
      <c r="G2701" s="4">
        <v>43945.661099537037</v>
      </c>
      <c r="H2701" s="4">
        <v>43945.661365740741</v>
      </c>
      <c r="I2701" t="s">
        <v>183</v>
      </c>
      <c r="J2701" s="5">
        <v>23.00000000000000000000000000000000000003</v>
      </c>
      <c r="K2701" t="s">
        <v>38</v>
      </c>
      <c r="M2701">
        <v>57811</v>
      </c>
      <c r="N2701" t="s">
        <v>350</v>
      </c>
      <c r="O2701" t="s">
        <v>351</v>
      </c>
      <c r="P2701" t="s">
        <v>38</v>
      </c>
      <c r="Q2701" t="s">
        <v>50</v>
      </c>
      <c r="R2701">
        <v>0</v>
      </c>
      <c r="S2701" t="s">
        <v>45</v>
      </c>
      <c r="T2701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701">
        <v>57812</v>
      </c>
      <c r="V2701" t="s">
        <v>38</v>
      </c>
      <c r="W2701" t="s">
        <v>50</v>
      </c>
      <c r="X2701">
        <v>0</v>
      </c>
      <c r="Y2701">
        <v>0</v>
      </c>
      <c r="Z2701" t="s">
        <v>46</v>
      </c>
      <c r="AA2701">
        <v>57813</v>
      </c>
      <c r="AB2701" t="s">
        <v>1899</v>
      </c>
      <c r="AC2701" t="s">
        <v>97</v>
      </c>
      <c r="AD2701" t="s">
        <v>38</v>
      </c>
      <c r="AE2701" t="s">
        <v>49</v>
      </c>
      <c r="AF2701" t="s">
        <v>50</v>
      </c>
      <c r="AG2701">
        <v>0</v>
      </c>
      <c r="AH2701">
        <v>0</v>
      </c>
      <c r="AI2701" t="s">
        <v>51</v>
      </c>
      <c r="AJ2701" t="s">
        <v>51</v>
      </c>
      <c r="AK2701" t="s">
        <v>51</v>
      </c>
    </row>
    <row r="2702" spans="1:37" x14ac:dyDescent="0.2">
      <c r="A2702">
        <v>57763</v>
      </c>
      <c r="B2702" t="s">
        <v>37</v>
      </c>
      <c r="C2702" t="s">
        <v>38</v>
      </c>
      <c r="D2702" t="s">
        <v>323</v>
      </c>
      <c r="E2702" t="s">
        <v>40</v>
      </c>
      <c r="G2702" s="4">
        <v>43945.661099537037</v>
      </c>
      <c r="H2702" s="4">
        <v>43945.661365740741</v>
      </c>
      <c r="I2702" t="s">
        <v>183</v>
      </c>
      <c r="J2702" s="5">
        <v>23.00000000000000000000000000000000000003</v>
      </c>
      <c r="K2702" t="s">
        <v>38</v>
      </c>
      <c r="M2702">
        <v>57806</v>
      </c>
      <c r="N2702" t="s">
        <v>353</v>
      </c>
      <c r="O2702" t="s">
        <v>354</v>
      </c>
      <c r="P2702" t="s">
        <v>38</v>
      </c>
      <c r="Q2702" t="s">
        <v>50</v>
      </c>
      <c r="R2702">
        <v>.9999999999999999999999999999999999999996</v>
      </c>
      <c r="S2702" t="s">
        <v>45</v>
      </c>
      <c r="T2702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702">
        <v>57807</v>
      </c>
      <c r="V2702" t="s">
        <v>38</v>
      </c>
      <c r="W2702" t="s">
        <v>50</v>
      </c>
      <c r="X2702">
        <v>.9999999999999999999999999999999999999996</v>
      </c>
      <c r="Y2702">
        <v>0</v>
      </c>
      <c r="Z2702" t="s">
        <v>46</v>
      </c>
      <c r="AA2702">
        <v>57810</v>
      </c>
      <c r="AB2702" t="s">
        <v>2129</v>
      </c>
      <c r="AC2702" t="s">
        <v>97</v>
      </c>
      <c r="AD2702" t="s">
        <v>38</v>
      </c>
      <c r="AE2702" t="s">
        <v>49</v>
      </c>
      <c r="AF2702" t="s">
        <v>50</v>
      </c>
      <c r="AG2702">
        <v>0</v>
      </c>
      <c r="AH2702">
        <v>0</v>
      </c>
      <c r="AI2702" t="s">
        <v>51</v>
      </c>
      <c r="AJ2702" t="s">
        <v>51</v>
      </c>
      <c r="AK2702" t="s">
        <v>51</v>
      </c>
    </row>
    <row r="2703" spans="1:37" x14ac:dyDescent="0.2">
      <c r="A2703">
        <v>57763</v>
      </c>
      <c r="B2703" t="s">
        <v>37</v>
      </c>
      <c r="C2703" t="s">
        <v>38</v>
      </c>
      <c r="D2703" t="s">
        <v>323</v>
      </c>
      <c r="E2703" t="s">
        <v>40</v>
      </c>
      <c r="G2703" s="4">
        <v>43945.661099537037</v>
      </c>
      <c r="H2703" s="4">
        <v>43945.661365740741</v>
      </c>
      <c r="I2703" t="s">
        <v>183</v>
      </c>
      <c r="J2703" s="5">
        <v>23.00000000000000000000000000000000000003</v>
      </c>
      <c r="K2703" t="s">
        <v>38</v>
      </c>
      <c r="M2703">
        <v>57806</v>
      </c>
      <c r="N2703" t="s">
        <v>353</v>
      </c>
      <c r="O2703" t="s">
        <v>354</v>
      </c>
      <c r="P2703" t="s">
        <v>38</v>
      </c>
      <c r="Q2703" t="s">
        <v>50</v>
      </c>
      <c r="R2703">
        <v>.9999999999999999999999999999999999999996</v>
      </c>
      <c r="S2703" t="s">
        <v>45</v>
      </c>
      <c r="T2703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703">
        <v>57807</v>
      </c>
      <c r="V2703" t="s">
        <v>38</v>
      </c>
      <c r="W2703" t="s">
        <v>50</v>
      </c>
      <c r="X2703">
        <v>.9999999999999999999999999999999999999996</v>
      </c>
      <c r="Y2703">
        <v>0</v>
      </c>
      <c r="Z2703" t="s">
        <v>46</v>
      </c>
      <c r="AA2703">
        <v>57809</v>
      </c>
      <c r="AB2703" t="s">
        <v>2130</v>
      </c>
      <c r="AC2703" t="s">
        <v>97</v>
      </c>
      <c r="AD2703" t="s">
        <v>38</v>
      </c>
      <c r="AE2703" t="s">
        <v>49</v>
      </c>
      <c r="AF2703" t="s">
        <v>50</v>
      </c>
      <c r="AG2703">
        <v>0</v>
      </c>
      <c r="AH2703">
        <v>0</v>
      </c>
      <c r="AI2703" t="s">
        <v>51</v>
      </c>
      <c r="AJ2703" t="s">
        <v>51</v>
      </c>
      <c r="AK2703" t="s">
        <v>51</v>
      </c>
    </row>
    <row r="2704" spans="1:37" x14ac:dyDescent="0.2">
      <c r="A2704">
        <v>57763</v>
      </c>
      <c r="B2704" t="s">
        <v>37</v>
      </c>
      <c r="C2704" t="s">
        <v>38</v>
      </c>
      <c r="D2704" t="s">
        <v>323</v>
      </c>
      <c r="E2704" t="s">
        <v>40</v>
      </c>
      <c r="G2704" s="4">
        <v>43945.661099537037</v>
      </c>
      <c r="H2704" s="4">
        <v>43945.661365740741</v>
      </c>
      <c r="I2704" t="s">
        <v>183</v>
      </c>
      <c r="J2704" s="5">
        <v>23.00000000000000000000000000000000000003</v>
      </c>
      <c r="K2704" t="s">
        <v>38</v>
      </c>
      <c r="M2704">
        <v>57806</v>
      </c>
      <c r="N2704" t="s">
        <v>353</v>
      </c>
      <c r="O2704" t="s">
        <v>354</v>
      </c>
      <c r="P2704" t="s">
        <v>38</v>
      </c>
      <c r="Q2704" t="s">
        <v>50</v>
      </c>
      <c r="R2704">
        <v>.9999999999999999999999999999999999999996</v>
      </c>
      <c r="S2704" t="s">
        <v>45</v>
      </c>
      <c r="T2704" t="str" s="2">
        <f>=HYPERLINK("http://demo.enginatics.com:80/ecc/user/applications/log/57763.log","http://demo.enginatics.com:80/ecc/user/applications/log/57763.log")</f>
        <v>"http://demo.enginatics.com:80/ecc/user/applications/log/57763.log")</v>
      </c>
      <c r="U2704">
        <v>57807</v>
      </c>
      <c r="V2704" t="s">
        <v>38</v>
      </c>
      <c r="W2704" t="s">
        <v>50</v>
      </c>
      <c r="X2704">
        <v>.9999999999999999999999999999999999999996</v>
      </c>
      <c r="Y2704">
        <v>0</v>
      </c>
      <c r="Z2704" t="s">
        <v>46</v>
      </c>
      <c r="AA2704">
        <v>57808</v>
      </c>
      <c r="AB2704" t="s">
        <v>2131</v>
      </c>
      <c r="AC2704" t="s">
        <v>97</v>
      </c>
      <c r="AD2704" t="s">
        <v>38</v>
      </c>
      <c r="AE2704" t="s">
        <v>49</v>
      </c>
      <c r="AF2704" t="s">
        <v>50</v>
      </c>
      <c r="AG2704">
        <v>0</v>
      </c>
      <c r="AH2704">
        <v>0</v>
      </c>
      <c r="AI2704" t="s">
        <v>51</v>
      </c>
      <c r="AJ2704" t="s">
        <v>51</v>
      </c>
      <c r="AK2704" t="s">
        <v>51</v>
      </c>
    </row>
    <row r="2705" spans="1:37" x14ac:dyDescent="0.2">
      <c r="A2705">
        <v>57735</v>
      </c>
      <c r="B2705" t="s">
        <v>37</v>
      </c>
      <c r="C2705" t="s">
        <v>196</v>
      </c>
      <c r="D2705" t="s">
        <v>361</v>
      </c>
      <c r="E2705" t="s">
        <v>40</v>
      </c>
      <c r="G2705" s="4">
        <v>43945.661030092593</v>
      </c>
      <c r="H2705" s="4">
        <v>43945.661157407407</v>
      </c>
      <c r="I2705" t="s">
        <v>337</v>
      </c>
      <c r="J2705" s="5">
        <v>11.00000000000000000000000000000000000002</v>
      </c>
      <c r="K2705" t="s">
        <v>196</v>
      </c>
      <c r="M2705">
        <v>57804</v>
      </c>
      <c r="N2705" t="s">
        <v>362</v>
      </c>
      <c r="O2705" t="s">
        <v>363</v>
      </c>
      <c r="P2705" t="s">
        <v>196</v>
      </c>
      <c r="Q2705" t="s">
        <v>50</v>
      </c>
      <c r="R2705">
        <v>0</v>
      </c>
      <c r="S2705" t="s">
        <v>364</v>
      </c>
      <c r="T2705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05">
        <v>57805</v>
      </c>
      <c r="V2705" t="s">
        <v>196</v>
      </c>
      <c r="W2705" t="s">
        <v>50</v>
      </c>
      <c r="X2705">
        <v>0</v>
      </c>
      <c r="Y2705">
        <v>0</v>
      </c>
      <c r="Z2705" t="s">
        <v>2132</v>
      </c>
    </row>
    <row r="2706" spans="1:37" x14ac:dyDescent="0.2">
      <c r="A2706">
        <v>57735</v>
      </c>
      <c r="B2706" t="s">
        <v>37</v>
      </c>
      <c r="C2706" t="s">
        <v>196</v>
      </c>
      <c r="D2706" t="s">
        <v>361</v>
      </c>
      <c r="E2706" t="s">
        <v>40</v>
      </c>
      <c r="G2706" s="4">
        <v>43945.661030092593</v>
      </c>
      <c r="H2706" s="4">
        <v>43945.661157407407</v>
      </c>
      <c r="I2706" t="s">
        <v>337</v>
      </c>
      <c r="J2706" s="5">
        <v>11.00000000000000000000000000000000000002</v>
      </c>
      <c r="K2706" t="s">
        <v>196</v>
      </c>
      <c r="M2706">
        <v>57801</v>
      </c>
      <c r="N2706" t="s">
        <v>366</v>
      </c>
      <c r="O2706" t="s">
        <v>367</v>
      </c>
      <c r="P2706" t="s">
        <v>38</v>
      </c>
      <c r="Q2706" t="s">
        <v>50</v>
      </c>
      <c r="R2706">
        <v>0</v>
      </c>
      <c r="S2706" t="s">
        <v>45</v>
      </c>
      <c r="T2706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06">
        <v>57802</v>
      </c>
      <c r="V2706" t="s">
        <v>38</v>
      </c>
      <c r="W2706" t="s">
        <v>50</v>
      </c>
      <c r="X2706">
        <v>0</v>
      </c>
      <c r="Y2706">
        <v>0</v>
      </c>
      <c r="Z2706" t="s">
        <v>46</v>
      </c>
      <c r="AA2706">
        <v>57803</v>
      </c>
      <c r="AB2706" t="s">
        <v>2133</v>
      </c>
      <c r="AC2706" t="s">
        <v>97</v>
      </c>
      <c r="AD2706" t="s">
        <v>38</v>
      </c>
      <c r="AE2706" t="s">
        <v>49</v>
      </c>
      <c r="AF2706" t="s">
        <v>50</v>
      </c>
      <c r="AG2706">
        <v>0</v>
      </c>
      <c r="AH2706">
        <v>0</v>
      </c>
      <c r="AI2706" t="s">
        <v>51</v>
      </c>
      <c r="AJ2706" t="s">
        <v>51</v>
      </c>
      <c r="AK2706" t="s">
        <v>51</v>
      </c>
    </row>
    <row r="2707" spans="1:37" x14ac:dyDescent="0.2">
      <c r="A2707">
        <v>57735</v>
      </c>
      <c r="B2707" t="s">
        <v>37</v>
      </c>
      <c r="C2707" t="s">
        <v>196</v>
      </c>
      <c r="D2707" t="s">
        <v>361</v>
      </c>
      <c r="E2707" t="s">
        <v>40</v>
      </c>
      <c r="G2707" s="4">
        <v>43945.661030092593</v>
      </c>
      <c r="H2707" s="4">
        <v>43945.661157407407</v>
      </c>
      <c r="I2707" t="s">
        <v>337</v>
      </c>
      <c r="J2707" s="5">
        <v>11.00000000000000000000000000000000000002</v>
      </c>
      <c r="K2707" t="s">
        <v>196</v>
      </c>
      <c r="M2707">
        <v>57799</v>
      </c>
      <c r="N2707" t="s">
        <v>369</v>
      </c>
      <c r="O2707" t="s">
        <v>345</v>
      </c>
      <c r="P2707" t="s">
        <v>196</v>
      </c>
      <c r="Q2707" t="s">
        <v>50</v>
      </c>
      <c r="R2707">
        <v>.9999999999999999999999999999999999999996</v>
      </c>
      <c r="S2707" t="s">
        <v>370</v>
      </c>
      <c r="T2707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07">
        <v>57800</v>
      </c>
      <c r="V2707" t="s">
        <v>196</v>
      </c>
      <c r="W2707" t="s">
        <v>50</v>
      </c>
      <c r="X2707">
        <v>.9999999999999999999999999999999999999996</v>
      </c>
      <c r="Y2707">
        <v>0</v>
      </c>
      <c r="Z2707" t="s">
        <v>2134</v>
      </c>
    </row>
    <row r="2708" spans="1:37" x14ac:dyDescent="0.2">
      <c r="A2708">
        <v>57735</v>
      </c>
      <c r="B2708" t="s">
        <v>37</v>
      </c>
      <c r="C2708" t="s">
        <v>196</v>
      </c>
      <c r="D2708" t="s">
        <v>361</v>
      </c>
      <c r="E2708" t="s">
        <v>40</v>
      </c>
      <c r="G2708" s="4">
        <v>43945.661030092593</v>
      </c>
      <c r="H2708" s="4">
        <v>43945.661157407407</v>
      </c>
      <c r="I2708" t="s">
        <v>337</v>
      </c>
      <c r="J2708" s="5">
        <v>11.00000000000000000000000000000000000002</v>
      </c>
      <c r="K2708" t="s">
        <v>196</v>
      </c>
      <c r="M2708">
        <v>57791</v>
      </c>
      <c r="N2708" t="s">
        <v>372</v>
      </c>
      <c r="O2708" t="s">
        <v>373</v>
      </c>
      <c r="P2708" t="s">
        <v>38</v>
      </c>
      <c r="Q2708" t="s">
        <v>50</v>
      </c>
      <c r="R2708">
        <v>.9999999999999999999999999999999999999996</v>
      </c>
      <c r="S2708" t="s">
        <v>45</v>
      </c>
      <c r="T2708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08">
        <v>57792</v>
      </c>
      <c r="V2708" t="s">
        <v>38</v>
      </c>
      <c r="W2708" t="s">
        <v>50</v>
      </c>
      <c r="X2708">
        <v>.9999999999999999999999999999999999999996</v>
      </c>
      <c r="Y2708">
        <v>0</v>
      </c>
      <c r="Z2708" t="s">
        <v>46</v>
      </c>
      <c r="AA2708">
        <v>57798</v>
      </c>
      <c r="AB2708" t="s">
        <v>2135</v>
      </c>
      <c r="AC2708" t="s">
        <v>103</v>
      </c>
      <c r="AD2708" t="s">
        <v>38</v>
      </c>
      <c r="AE2708" t="s">
        <v>49</v>
      </c>
      <c r="AF2708" t="s">
        <v>50</v>
      </c>
      <c r="AG2708">
        <v>.9999999999999999999999999999999999999996</v>
      </c>
      <c r="AH2708">
        <v>0</v>
      </c>
      <c r="AI2708" t="s">
        <v>51</v>
      </c>
      <c r="AJ2708" t="s">
        <v>51</v>
      </c>
      <c r="AK2708" t="s">
        <v>51</v>
      </c>
    </row>
    <row r="2709" spans="1:37" x14ac:dyDescent="0.2">
      <c r="A2709">
        <v>57735</v>
      </c>
      <c r="B2709" t="s">
        <v>37</v>
      </c>
      <c r="C2709" t="s">
        <v>196</v>
      </c>
      <c r="D2709" t="s">
        <v>361</v>
      </c>
      <c r="E2709" t="s">
        <v>40</v>
      </c>
      <c r="G2709" s="4">
        <v>43945.661030092593</v>
      </c>
      <c r="H2709" s="4">
        <v>43945.661157407407</v>
      </c>
      <c r="I2709" t="s">
        <v>337</v>
      </c>
      <c r="J2709" s="5">
        <v>11.00000000000000000000000000000000000002</v>
      </c>
      <c r="K2709" t="s">
        <v>196</v>
      </c>
      <c r="M2709">
        <v>57791</v>
      </c>
      <c r="N2709" t="s">
        <v>372</v>
      </c>
      <c r="O2709" t="s">
        <v>373</v>
      </c>
      <c r="P2709" t="s">
        <v>38</v>
      </c>
      <c r="Q2709" t="s">
        <v>50</v>
      </c>
      <c r="R2709">
        <v>.9999999999999999999999999999999999999996</v>
      </c>
      <c r="S2709" t="s">
        <v>45</v>
      </c>
      <c r="T2709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09">
        <v>57792</v>
      </c>
      <c r="V2709" t="s">
        <v>38</v>
      </c>
      <c r="W2709" t="s">
        <v>50</v>
      </c>
      <c r="X2709">
        <v>.9999999999999999999999999999999999999996</v>
      </c>
      <c r="Y2709">
        <v>0</v>
      </c>
      <c r="Z2709" t="s">
        <v>46</v>
      </c>
      <c r="AA2709">
        <v>57797</v>
      </c>
      <c r="AB2709" t="s">
        <v>2136</v>
      </c>
      <c r="AC2709" t="s">
        <v>103</v>
      </c>
      <c r="AD2709" t="s">
        <v>38</v>
      </c>
      <c r="AE2709" t="s">
        <v>49</v>
      </c>
      <c r="AF2709" t="s">
        <v>50</v>
      </c>
      <c r="AG2709">
        <v>0</v>
      </c>
      <c r="AH2709">
        <v>0</v>
      </c>
      <c r="AI2709" t="s">
        <v>51</v>
      </c>
      <c r="AJ2709" t="s">
        <v>51</v>
      </c>
      <c r="AK2709" t="s">
        <v>51</v>
      </c>
    </row>
    <row r="2710" spans="1:37" x14ac:dyDescent="0.2">
      <c r="A2710">
        <v>57735</v>
      </c>
      <c r="B2710" t="s">
        <v>37</v>
      </c>
      <c r="C2710" t="s">
        <v>196</v>
      </c>
      <c r="D2710" t="s">
        <v>361</v>
      </c>
      <c r="E2710" t="s">
        <v>40</v>
      </c>
      <c r="G2710" s="4">
        <v>43945.661030092593</v>
      </c>
      <c r="H2710" s="4">
        <v>43945.661157407407</v>
      </c>
      <c r="I2710" t="s">
        <v>337</v>
      </c>
      <c r="J2710" s="5">
        <v>11.00000000000000000000000000000000000002</v>
      </c>
      <c r="K2710" t="s">
        <v>196</v>
      </c>
      <c r="M2710">
        <v>57791</v>
      </c>
      <c r="N2710" t="s">
        <v>372</v>
      </c>
      <c r="O2710" t="s">
        <v>373</v>
      </c>
      <c r="P2710" t="s">
        <v>38</v>
      </c>
      <c r="Q2710" t="s">
        <v>50</v>
      </c>
      <c r="R2710">
        <v>.9999999999999999999999999999999999999996</v>
      </c>
      <c r="S2710" t="s">
        <v>45</v>
      </c>
      <c r="T2710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0">
        <v>57792</v>
      </c>
      <c r="V2710" t="s">
        <v>38</v>
      </c>
      <c r="W2710" t="s">
        <v>50</v>
      </c>
      <c r="X2710">
        <v>.9999999999999999999999999999999999999996</v>
      </c>
      <c r="Y2710">
        <v>0</v>
      </c>
      <c r="Z2710" t="s">
        <v>46</v>
      </c>
      <c r="AA2710">
        <v>57796</v>
      </c>
      <c r="AB2710" t="s">
        <v>2137</v>
      </c>
      <c r="AC2710" t="s">
        <v>103</v>
      </c>
      <c r="AD2710" t="s">
        <v>38</v>
      </c>
      <c r="AE2710" t="s">
        <v>49</v>
      </c>
      <c r="AF2710" t="s">
        <v>50</v>
      </c>
      <c r="AG2710">
        <v>0</v>
      </c>
      <c r="AH2710">
        <v>0</v>
      </c>
      <c r="AI2710" t="s">
        <v>51</v>
      </c>
      <c r="AJ2710" t="s">
        <v>51</v>
      </c>
      <c r="AK2710" t="s">
        <v>51</v>
      </c>
    </row>
    <row r="2711" spans="1:37" x14ac:dyDescent="0.2">
      <c r="A2711">
        <v>57735</v>
      </c>
      <c r="B2711" t="s">
        <v>37</v>
      </c>
      <c r="C2711" t="s">
        <v>196</v>
      </c>
      <c r="D2711" t="s">
        <v>361</v>
      </c>
      <c r="E2711" t="s">
        <v>40</v>
      </c>
      <c r="G2711" s="4">
        <v>43945.661030092593</v>
      </c>
      <c r="H2711" s="4">
        <v>43945.661157407407</v>
      </c>
      <c r="I2711" t="s">
        <v>337</v>
      </c>
      <c r="J2711" s="5">
        <v>11.00000000000000000000000000000000000002</v>
      </c>
      <c r="K2711" t="s">
        <v>196</v>
      </c>
      <c r="M2711">
        <v>57791</v>
      </c>
      <c r="N2711" t="s">
        <v>372</v>
      </c>
      <c r="O2711" t="s">
        <v>373</v>
      </c>
      <c r="P2711" t="s">
        <v>38</v>
      </c>
      <c r="Q2711" t="s">
        <v>50</v>
      </c>
      <c r="R2711">
        <v>.9999999999999999999999999999999999999996</v>
      </c>
      <c r="S2711" t="s">
        <v>45</v>
      </c>
      <c r="T2711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1">
        <v>57792</v>
      </c>
      <c r="V2711" t="s">
        <v>38</v>
      </c>
      <c r="W2711" t="s">
        <v>50</v>
      </c>
      <c r="X2711">
        <v>.9999999999999999999999999999999999999996</v>
      </c>
      <c r="Y2711">
        <v>0</v>
      </c>
      <c r="Z2711" t="s">
        <v>46</v>
      </c>
      <c r="AA2711">
        <v>57795</v>
      </c>
      <c r="AB2711" t="s">
        <v>2138</v>
      </c>
      <c r="AC2711" t="s">
        <v>103</v>
      </c>
      <c r="AD2711" t="s">
        <v>38</v>
      </c>
      <c r="AE2711" t="s">
        <v>49</v>
      </c>
      <c r="AF2711" t="s">
        <v>50</v>
      </c>
      <c r="AG2711">
        <v>0</v>
      </c>
      <c r="AH2711">
        <v>0</v>
      </c>
      <c r="AI2711" t="s">
        <v>51</v>
      </c>
      <c r="AJ2711" t="s">
        <v>51</v>
      </c>
      <c r="AK2711" t="s">
        <v>51</v>
      </c>
    </row>
    <row r="2712" spans="1:37" x14ac:dyDescent="0.2">
      <c r="A2712">
        <v>57735</v>
      </c>
      <c r="B2712" t="s">
        <v>37</v>
      </c>
      <c r="C2712" t="s">
        <v>196</v>
      </c>
      <c r="D2712" t="s">
        <v>361</v>
      </c>
      <c r="E2712" t="s">
        <v>40</v>
      </c>
      <c r="G2712" s="4">
        <v>43945.661030092593</v>
      </c>
      <c r="H2712" s="4">
        <v>43945.661157407407</v>
      </c>
      <c r="I2712" t="s">
        <v>337</v>
      </c>
      <c r="J2712" s="5">
        <v>11.00000000000000000000000000000000000002</v>
      </c>
      <c r="K2712" t="s">
        <v>196</v>
      </c>
      <c r="M2712">
        <v>57791</v>
      </c>
      <c r="N2712" t="s">
        <v>372</v>
      </c>
      <c r="O2712" t="s">
        <v>373</v>
      </c>
      <c r="P2712" t="s">
        <v>38</v>
      </c>
      <c r="Q2712" t="s">
        <v>50</v>
      </c>
      <c r="R2712">
        <v>.9999999999999999999999999999999999999996</v>
      </c>
      <c r="S2712" t="s">
        <v>45</v>
      </c>
      <c r="T2712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2">
        <v>57792</v>
      </c>
      <c r="V2712" t="s">
        <v>38</v>
      </c>
      <c r="W2712" t="s">
        <v>50</v>
      </c>
      <c r="X2712">
        <v>.9999999999999999999999999999999999999996</v>
      </c>
      <c r="Y2712">
        <v>0</v>
      </c>
      <c r="Z2712" t="s">
        <v>46</v>
      </c>
      <c r="AA2712">
        <v>57794</v>
      </c>
      <c r="AB2712" t="s">
        <v>2139</v>
      </c>
      <c r="AC2712" t="s">
        <v>103</v>
      </c>
      <c r="AD2712" t="s">
        <v>38</v>
      </c>
      <c r="AE2712" t="s">
        <v>49</v>
      </c>
      <c r="AF2712" t="s">
        <v>50</v>
      </c>
      <c r="AG2712">
        <v>0</v>
      </c>
      <c r="AH2712">
        <v>0</v>
      </c>
      <c r="AI2712" t="s">
        <v>51</v>
      </c>
      <c r="AJ2712" t="s">
        <v>51</v>
      </c>
      <c r="AK2712" t="s">
        <v>51</v>
      </c>
    </row>
    <row r="2713" spans="1:37" x14ac:dyDescent="0.2">
      <c r="A2713">
        <v>57735</v>
      </c>
      <c r="B2713" t="s">
        <v>37</v>
      </c>
      <c r="C2713" t="s">
        <v>196</v>
      </c>
      <c r="D2713" t="s">
        <v>361</v>
      </c>
      <c r="E2713" t="s">
        <v>40</v>
      </c>
      <c r="G2713" s="4">
        <v>43945.661030092593</v>
      </c>
      <c r="H2713" s="4">
        <v>43945.661157407407</v>
      </c>
      <c r="I2713" t="s">
        <v>337</v>
      </c>
      <c r="J2713" s="5">
        <v>11.00000000000000000000000000000000000002</v>
      </c>
      <c r="K2713" t="s">
        <v>196</v>
      </c>
      <c r="M2713">
        <v>57791</v>
      </c>
      <c r="N2713" t="s">
        <v>372</v>
      </c>
      <c r="O2713" t="s">
        <v>373</v>
      </c>
      <c r="P2713" t="s">
        <v>38</v>
      </c>
      <c r="Q2713" t="s">
        <v>50</v>
      </c>
      <c r="R2713">
        <v>.9999999999999999999999999999999999999996</v>
      </c>
      <c r="S2713" t="s">
        <v>45</v>
      </c>
      <c r="T2713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3">
        <v>57792</v>
      </c>
      <c r="V2713" t="s">
        <v>38</v>
      </c>
      <c r="W2713" t="s">
        <v>50</v>
      </c>
      <c r="X2713">
        <v>.9999999999999999999999999999999999999996</v>
      </c>
      <c r="Y2713">
        <v>0</v>
      </c>
      <c r="Z2713" t="s">
        <v>46</v>
      </c>
      <c r="AA2713">
        <v>57793</v>
      </c>
      <c r="AB2713" t="s">
        <v>2140</v>
      </c>
      <c r="AC2713" t="s">
        <v>103</v>
      </c>
      <c r="AD2713" t="s">
        <v>38</v>
      </c>
      <c r="AE2713" t="s">
        <v>49</v>
      </c>
      <c r="AF2713" t="s">
        <v>50</v>
      </c>
      <c r="AG2713">
        <v>0</v>
      </c>
      <c r="AH2713">
        <v>0</v>
      </c>
      <c r="AI2713" t="s">
        <v>51</v>
      </c>
      <c r="AJ2713" t="s">
        <v>51</v>
      </c>
      <c r="AK2713" t="s">
        <v>51</v>
      </c>
    </row>
    <row r="2714" spans="1:37" x14ac:dyDescent="0.2">
      <c r="A2714">
        <v>57735</v>
      </c>
      <c r="B2714" t="s">
        <v>37</v>
      </c>
      <c r="C2714" t="s">
        <v>196</v>
      </c>
      <c r="D2714" t="s">
        <v>361</v>
      </c>
      <c r="E2714" t="s">
        <v>40</v>
      </c>
      <c r="G2714" s="4">
        <v>43945.661030092593</v>
      </c>
      <c r="H2714" s="4">
        <v>43945.661157407407</v>
      </c>
      <c r="I2714" t="s">
        <v>337</v>
      </c>
      <c r="J2714" s="5">
        <v>11.00000000000000000000000000000000000002</v>
      </c>
      <c r="K2714" t="s">
        <v>196</v>
      </c>
      <c r="M2714">
        <v>57778</v>
      </c>
      <c r="N2714" t="s">
        <v>380</v>
      </c>
      <c r="O2714" t="s">
        <v>381</v>
      </c>
      <c r="P2714" t="s">
        <v>38</v>
      </c>
      <c r="Q2714" t="s">
        <v>50</v>
      </c>
      <c r="R2714">
        <v>.9999999999999999999999999999999999999996</v>
      </c>
      <c r="S2714" t="s">
        <v>45</v>
      </c>
      <c r="T2714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4">
        <v>57779</v>
      </c>
      <c r="V2714" t="s">
        <v>38</v>
      </c>
      <c r="W2714" t="s">
        <v>50</v>
      </c>
      <c r="X2714">
        <v>.9999999999999999999999999999999999999996</v>
      </c>
      <c r="Y2714">
        <v>0</v>
      </c>
      <c r="Z2714" t="s">
        <v>46</v>
      </c>
      <c r="AA2714">
        <v>57788</v>
      </c>
      <c r="AB2714" t="s">
        <v>2141</v>
      </c>
      <c r="AC2714" t="s">
        <v>103</v>
      </c>
      <c r="AD2714" t="s">
        <v>38</v>
      </c>
      <c r="AE2714" t="s">
        <v>49</v>
      </c>
      <c r="AF2714" t="s">
        <v>50</v>
      </c>
      <c r="AG2714">
        <v>0</v>
      </c>
      <c r="AH2714">
        <v>0</v>
      </c>
      <c r="AI2714" t="s">
        <v>51</v>
      </c>
      <c r="AJ2714" t="s">
        <v>51</v>
      </c>
      <c r="AK2714" t="s">
        <v>51</v>
      </c>
    </row>
    <row r="2715" spans="1:37" x14ac:dyDescent="0.2">
      <c r="A2715">
        <v>57735</v>
      </c>
      <c r="B2715" t="s">
        <v>37</v>
      </c>
      <c r="C2715" t="s">
        <v>196</v>
      </c>
      <c r="D2715" t="s">
        <v>361</v>
      </c>
      <c r="E2715" t="s">
        <v>40</v>
      </c>
      <c r="G2715" s="4">
        <v>43945.661030092593</v>
      </c>
      <c r="H2715" s="4">
        <v>43945.661157407407</v>
      </c>
      <c r="I2715" t="s">
        <v>337</v>
      </c>
      <c r="J2715" s="5">
        <v>11.00000000000000000000000000000000000002</v>
      </c>
      <c r="K2715" t="s">
        <v>196</v>
      </c>
      <c r="M2715">
        <v>57778</v>
      </c>
      <c r="N2715" t="s">
        <v>380</v>
      </c>
      <c r="O2715" t="s">
        <v>381</v>
      </c>
      <c r="P2715" t="s">
        <v>38</v>
      </c>
      <c r="Q2715" t="s">
        <v>50</v>
      </c>
      <c r="R2715">
        <v>.9999999999999999999999999999999999999996</v>
      </c>
      <c r="S2715" t="s">
        <v>45</v>
      </c>
      <c r="T2715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5">
        <v>57779</v>
      </c>
      <c r="V2715" t="s">
        <v>38</v>
      </c>
      <c r="W2715" t="s">
        <v>50</v>
      </c>
      <c r="X2715">
        <v>.9999999999999999999999999999999999999996</v>
      </c>
      <c r="Y2715">
        <v>0</v>
      </c>
      <c r="Z2715" t="s">
        <v>46</v>
      </c>
      <c r="AA2715">
        <v>57784</v>
      </c>
      <c r="AB2715" t="s">
        <v>2142</v>
      </c>
      <c r="AC2715" t="s">
        <v>103</v>
      </c>
      <c r="AD2715" t="s">
        <v>38</v>
      </c>
      <c r="AE2715" t="s">
        <v>49</v>
      </c>
      <c r="AF2715" t="s">
        <v>50</v>
      </c>
      <c r="AG2715">
        <v>0</v>
      </c>
      <c r="AH2715">
        <v>0</v>
      </c>
      <c r="AI2715" t="s">
        <v>51</v>
      </c>
      <c r="AJ2715" t="s">
        <v>51</v>
      </c>
      <c r="AK2715" t="s">
        <v>51</v>
      </c>
    </row>
    <row r="2716" spans="1:37" x14ac:dyDescent="0.2">
      <c r="A2716">
        <v>57735</v>
      </c>
      <c r="B2716" t="s">
        <v>37</v>
      </c>
      <c r="C2716" t="s">
        <v>196</v>
      </c>
      <c r="D2716" t="s">
        <v>361</v>
      </c>
      <c r="E2716" t="s">
        <v>40</v>
      </c>
      <c r="G2716" s="4">
        <v>43945.661030092593</v>
      </c>
      <c r="H2716" s="4">
        <v>43945.661157407407</v>
      </c>
      <c r="I2716" t="s">
        <v>337</v>
      </c>
      <c r="J2716" s="5">
        <v>11.00000000000000000000000000000000000002</v>
      </c>
      <c r="K2716" t="s">
        <v>196</v>
      </c>
      <c r="M2716">
        <v>57778</v>
      </c>
      <c r="N2716" t="s">
        <v>380</v>
      </c>
      <c r="O2716" t="s">
        <v>381</v>
      </c>
      <c r="P2716" t="s">
        <v>38</v>
      </c>
      <c r="Q2716" t="s">
        <v>50</v>
      </c>
      <c r="R2716">
        <v>.9999999999999999999999999999999999999996</v>
      </c>
      <c r="S2716" t="s">
        <v>45</v>
      </c>
      <c r="T2716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6">
        <v>57779</v>
      </c>
      <c r="V2716" t="s">
        <v>38</v>
      </c>
      <c r="W2716" t="s">
        <v>50</v>
      </c>
      <c r="X2716">
        <v>.9999999999999999999999999999999999999996</v>
      </c>
      <c r="Y2716">
        <v>0</v>
      </c>
      <c r="Z2716" t="s">
        <v>46</v>
      </c>
      <c r="AA2716">
        <v>57783</v>
      </c>
      <c r="AB2716" t="s">
        <v>2143</v>
      </c>
      <c r="AC2716" t="s">
        <v>103</v>
      </c>
      <c r="AD2716" t="s">
        <v>38</v>
      </c>
      <c r="AE2716" t="s">
        <v>49</v>
      </c>
      <c r="AF2716" t="s">
        <v>50</v>
      </c>
      <c r="AG2716">
        <v>0</v>
      </c>
      <c r="AH2716">
        <v>0</v>
      </c>
      <c r="AI2716" t="s">
        <v>51</v>
      </c>
      <c r="AJ2716" t="s">
        <v>51</v>
      </c>
      <c r="AK2716" t="s">
        <v>51</v>
      </c>
    </row>
    <row r="2717" spans="1:37" x14ac:dyDescent="0.2">
      <c r="A2717">
        <v>57735</v>
      </c>
      <c r="B2717" t="s">
        <v>37</v>
      </c>
      <c r="C2717" t="s">
        <v>196</v>
      </c>
      <c r="D2717" t="s">
        <v>361</v>
      </c>
      <c r="E2717" t="s">
        <v>40</v>
      </c>
      <c r="G2717" s="4">
        <v>43945.661030092593</v>
      </c>
      <c r="H2717" s="4">
        <v>43945.661157407407</v>
      </c>
      <c r="I2717" t="s">
        <v>337</v>
      </c>
      <c r="J2717" s="5">
        <v>11.00000000000000000000000000000000000002</v>
      </c>
      <c r="K2717" t="s">
        <v>196</v>
      </c>
      <c r="M2717">
        <v>57778</v>
      </c>
      <c r="N2717" t="s">
        <v>380</v>
      </c>
      <c r="O2717" t="s">
        <v>381</v>
      </c>
      <c r="P2717" t="s">
        <v>38</v>
      </c>
      <c r="Q2717" t="s">
        <v>50</v>
      </c>
      <c r="R2717">
        <v>.9999999999999999999999999999999999999996</v>
      </c>
      <c r="S2717" t="s">
        <v>45</v>
      </c>
      <c r="T2717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7">
        <v>57779</v>
      </c>
      <c r="V2717" t="s">
        <v>38</v>
      </c>
      <c r="W2717" t="s">
        <v>50</v>
      </c>
      <c r="X2717">
        <v>.9999999999999999999999999999999999999996</v>
      </c>
      <c r="Y2717">
        <v>0</v>
      </c>
      <c r="Z2717" t="s">
        <v>46</v>
      </c>
      <c r="AA2717">
        <v>57782</v>
      </c>
      <c r="AB2717" t="s">
        <v>2144</v>
      </c>
      <c r="AC2717" t="s">
        <v>103</v>
      </c>
      <c r="AD2717" t="s">
        <v>38</v>
      </c>
      <c r="AE2717" t="s">
        <v>49</v>
      </c>
      <c r="AF2717" t="s">
        <v>50</v>
      </c>
      <c r="AG2717">
        <v>.9999999999999999999999999999999999999996</v>
      </c>
      <c r="AH2717">
        <v>0</v>
      </c>
      <c r="AI2717" t="s">
        <v>51</v>
      </c>
      <c r="AJ2717" t="s">
        <v>51</v>
      </c>
      <c r="AK2717" t="s">
        <v>51</v>
      </c>
    </row>
    <row r="2718" spans="1:37" x14ac:dyDescent="0.2">
      <c r="A2718">
        <v>57735</v>
      </c>
      <c r="B2718" t="s">
        <v>37</v>
      </c>
      <c r="C2718" t="s">
        <v>196</v>
      </c>
      <c r="D2718" t="s">
        <v>361</v>
      </c>
      <c r="E2718" t="s">
        <v>40</v>
      </c>
      <c r="G2718" s="4">
        <v>43945.661030092593</v>
      </c>
      <c r="H2718" s="4">
        <v>43945.661157407407</v>
      </c>
      <c r="I2718" t="s">
        <v>337</v>
      </c>
      <c r="J2718" s="5">
        <v>11.00000000000000000000000000000000000002</v>
      </c>
      <c r="K2718" t="s">
        <v>196</v>
      </c>
      <c r="M2718">
        <v>57778</v>
      </c>
      <c r="N2718" t="s">
        <v>380</v>
      </c>
      <c r="O2718" t="s">
        <v>381</v>
      </c>
      <c r="P2718" t="s">
        <v>38</v>
      </c>
      <c r="Q2718" t="s">
        <v>50</v>
      </c>
      <c r="R2718">
        <v>.9999999999999999999999999999999999999996</v>
      </c>
      <c r="S2718" t="s">
        <v>45</v>
      </c>
      <c r="T2718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8">
        <v>57779</v>
      </c>
      <c r="V2718" t="s">
        <v>38</v>
      </c>
      <c r="W2718" t="s">
        <v>50</v>
      </c>
      <c r="X2718">
        <v>.9999999999999999999999999999999999999996</v>
      </c>
      <c r="Y2718">
        <v>0</v>
      </c>
      <c r="Z2718" t="s">
        <v>46</v>
      </c>
      <c r="AA2718">
        <v>57781</v>
      </c>
      <c r="AB2718" t="s">
        <v>2145</v>
      </c>
      <c r="AC2718" t="s">
        <v>103</v>
      </c>
      <c r="AD2718" t="s">
        <v>38</v>
      </c>
      <c r="AE2718" t="s">
        <v>49</v>
      </c>
      <c r="AF2718" t="s">
        <v>50</v>
      </c>
      <c r="AG2718">
        <v>0</v>
      </c>
      <c r="AH2718">
        <v>0</v>
      </c>
      <c r="AI2718" t="s">
        <v>51</v>
      </c>
      <c r="AJ2718" t="s">
        <v>51</v>
      </c>
      <c r="AK2718" t="s">
        <v>51</v>
      </c>
    </row>
    <row r="2719" spans="1:37" x14ac:dyDescent="0.2">
      <c r="A2719">
        <v>57735</v>
      </c>
      <c r="B2719" t="s">
        <v>37</v>
      </c>
      <c r="C2719" t="s">
        <v>196</v>
      </c>
      <c r="D2719" t="s">
        <v>361</v>
      </c>
      <c r="E2719" t="s">
        <v>40</v>
      </c>
      <c r="G2719" s="4">
        <v>43945.661030092593</v>
      </c>
      <c r="H2719" s="4">
        <v>43945.661157407407</v>
      </c>
      <c r="I2719" t="s">
        <v>337</v>
      </c>
      <c r="J2719" s="5">
        <v>11.00000000000000000000000000000000000002</v>
      </c>
      <c r="K2719" t="s">
        <v>196</v>
      </c>
      <c r="M2719">
        <v>57778</v>
      </c>
      <c r="N2719" t="s">
        <v>380</v>
      </c>
      <c r="O2719" t="s">
        <v>381</v>
      </c>
      <c r="P2719" t="s">
        <v>38</v>
      </c>
      <c r="Q2719" t="s">
        <v>50</v>
      </c>
      <c r="R2719">
        <v>.9999999999999999999999999999999999999996</v>
      </c>
      <c r="S2719" t="s">
        <v>45</v>
      </c>
      <c r="T2719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19">
        <v>57779</v>
      </c>
      <c r="V2719" t="s">
        <v>38</v>
      </c>
      <c r="W2719" t="s">
        <v>50</v>
      </c>
      <c r="X2719">
        <v>.9999999999999999999999999999999999999996</v>
      </c>
      <c r="Y2719">
        <v>0</v>
      </c>
      <c r="Z2719" t="s">
        <v>46</v>
      </c>
      <c r="AA2719">
        <v>57780</v>
      </c>
      <c r="AB2719" t="s">
        <v>2146</v>
      </c>
      <c r="AC2719" t="s">
        <v>103</v>
      </c>
      <c r="AD2719" t="s">
        <v>38</v>
      </c>
      <c r="AE2719" t="s">
        <v>49</v>
      </c>
      <c r="AF2719" t="s">
        <v>50</v>
      </c>
      <c r="AG2719">
        <v>0</v>
      </c>
      <c r="AH2719">
        <v>0</v>
      </c>
      <c r="AI2719" t="s">
        <v>51</v>
      </c>
      <c r="AJ2719" t="s">
        <v>51</v>
      </c>
      <c r="AK2719" t="s">
        <v>51</v>
      </c>
    </row>
    <row r="2720" spans="1:37" x14ac:dyDescent="0.2">
      <c r="A2720">
        <v>57735</v>
      </c>
      <c r="B2720" t="s">
        <v>37</v>
      </c>
      <c r="C2720" t="s">
        <v>196</v>
      </c>
      <c r="D2720" t="s">
        <v>361</v>
      </c>
      <c r="E2720" t="s">
        <v>40</v>
      </c>
      <c r="G2720" s="4">
        <v>43945.661030092593</v>
      </c>
      <c r="H2720" s="4">
        <v>43945.661157407407</v>
      </c>
      <c r="I2720" t="s">
        <v>337</v>
      </c>
      <c r="J2720" s="5">
        <v>11.00000000000000000000000000000000000002</v>
      </c>
      <c r="K2720" t="s">
        <v>196</v>
      </c>
      <c r="M2720">
        <v>57775</v>
      </c>
      <c r="N2720" t="s">
        <v>388</v>
      </c>
      <c r="O2720" t="s">
        <v>389</v>
      </c>
      <c r="P2720" t="s">
        <v>38</v>
      </c>
      <c r="Q2720" t="s">
        <v>50</v>
      </c>
      <c r="R2720">
        <v>0</v>
      </c>
      <c r="S2720" t="s">
        <v>45</v>
      </c>
      <c r="T2720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0">
        <v>57776</v>
      </c>
      <c r="V2720" t="s">
        <v>38</v>
      </c>
      <c r="W2720" t="s">
        <v>50</v>
      </c>
      <c r="X2720">
        <v>0</v>
      </c>
      <c r="Y2720">
        <v>0</v>
      </c>
      <c r="Z2720" t="s">
        <v>46</v>
      </c>
      <c r="AA2720">
        <v>57777</v>
      </c>
      <c r="AB2720" t="s">
        <v>2147</v>
      </c>
      <c r="AC2720" t="s">
        <v>97</v>
      </c>
      <c r="AD2720" t="s">
        <v>38</v>
      </c>
      <c r="AE2720" t="s">
        <v>49</v>
      </c>
      <c r="AF2720" t="s">
        <v>50</v>
      </c>
      <c r="AG2720">
        <v>0</v>
      </c>
      <c r="AH2720">
        <v>0</v>
      </c>
      <c r="AI2720" t="s">
        <v>51</v>
      </c>
      <c r="AJ2720" t="s">
        <v>51</v>
      </c>
      <c r="AK2720" t="s">
        <v>51</v>
      </c>
    </row>
    <row r="2721" spans="1:37" x14ac:dyDescent="0.2">
      <c r="A2721">
        <v>57735</v>
      </c>
      <c r="B2721" t="s">
        <v>37</v>
      </c>
      <c r="C2721" t="s">
        <v>196</v>
      </c>
      <c r="D2721" t="s">
        <v>361</v>
      </c>
      <c r="E2721" t="s">
        <v>40</v>
      </c>
      <c r="G2721" s="4">
        <v>43945.661030092593</v>
      </c>
      <c r="H2721" s="4">
        <v>43945.661157407407</v>
      </c>
      <c r="I2721" t="s">
        <v>337</v>
      </c>
      <c r="J2721" s="5">
        <v>11.00000000000000000000000000000000000002</v>
      </c>
      <c r="K2721" t="s">
        <v>196</v>
      </c>
      <c r="M2721">
        <v>57770</v>
      </c>
      <c r="N2721" t="s">
        <v>391</v>
      </c>
      <c r="O2721" t="s">
        <v>392</v>
      </c>
      <c r="P2721" t="s">
        <v>196</v>
      </c>
      <c r="Q2721" t="s">
        <v>88</v>
      </c>
      <c r="R2721">
        <v>2</v>
      </c>
      <c r="S2721" t="s">
        <v>393</v>
      </c>
      <c r="T2721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1">
        <v>57771</v>
      </c>
      <c r="V2721" t="s">
        <v>196</v>
      </c>
      <c r="W2721" t="s">
        <v>50</v>
      </c>
      <c r="X2721">
        <v>.9999999999999999999999999999999999999996</v>
      </c>
      <c r="Y2721">
        <v>0</v>
      </c>
      <c r="Z2721" t="s">
        <v>2148</v>
      </c>
    </row>
    <row r="2722" spans="1:37" x14ac:dyDescent="0.2">
      <c r="A2722">
        <v>57735</v>
      </c>
      <c r="B2722" t="s">
        <v>37</v>
      </c>
      <c r="C2722" t="s">
        <v>196</v>
      </c>
      <c r="D2722" t="s">
        <v>361</v>
      </c>
      <c r="E2722" t="s">
        <v>40</v>
      </c>
      <c r="G2722" s="4">
        <v>43945.661030092593</v>
      </c>
      <c r="H2722" s="4">
        <v>43945.661157407407</v>
      </c>
      <c r="I2722" t="s">
        <v>337</v>
      </c>
      <c r="J2722" s="5">
        <v>11.00000000000000000000000000000000000002</v>
      </c>
      <c r="K2722" t="s">
        <v>196</v>
      </c>
      <c r="M2722">
        <v>57767</v>
      </c>
      <c r="N2722" t="s">
        <v>395</v>
      </c>
      <c r="O2722" t="s">
        <v>396</v>
      </c>
      <c r="P2722" t="s">
        <v>38</v>
      </c>
      <c r="Q2722" t="s">
        <v>50</v>
      </c>
      <c r="R2722">
        <v>0</v>
      </c>
      <c r="S2722" t="s">
        <v>45</v>
      </c>
      <c r="T2722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2">
        <v>57768</v>
      </c>
      <c r="V2722" t="s">
        <v>38</v>
      </c>
      <c r="W2722" t="s">
        <v>50</v>
      </c>
      <c r="X2722">
        <v>0</v>
      </c>
      <c r="Y2722">
        <v>0</v>
      </c>
      <c r="Z2722" t="s">
        <v>46</v>
      </c>
      <c r="AA2722">
        <v>57769</v>
      </c>
      <c r="AB2722" t="s">
        <v>1922</v>
      </c>
      <c r="AC2722" t="s">
        <v>97</v>
      </c>
      <c r="AD2722" t="s">
        <v>38</v>
      </c>
      <c r="AE2722" t="s">
        <v>49</v>
      </c>
      <c r="AF2722" t="s">
        <v>50</v>
      </c>
      <c r="AG2722">
        <v>0</v>
      </c>
      <c r="AH2722">
        <v>0</v>
      </c>
      <c r="AI2722" t="s">
        <v>51</v>
      </c>
      <c r="AJ2722" t="s">
        <v>51</v>
      </c>
      <c r="AK2722" t="s">
        <v>51</v>
      </c>
    </row>
    <row r="2723" spans="1:37" x14ac:dyDescent="0.2">
      <c r="A2723">
        <v>57735</v>
      </c>
      <c r="B2723" t="s">
        <v>37</v>
      </c>
      <c r="C2723" t="s">
        <v>196</v>
      </c>
      <c r="D2723" t="s">
        <v>361</v>
      </c>
      <c r="E2723" t="s">
        <v>40</v>
      </c>
      <c r="G2723" s="4">
        <v>43945.661030092593</v>
      </c>
      <c r="H2723" s="4">
        <v>43945.661157407407</v>
      </c>
      <c r="I2723" t="s">
        <v>337</v>
      </c>
      <c r="J2723" s="5">
        <v>11.00000000000000000000000000000000000002</v>
      </c>
      <c r="K2723" t="s">
        <v>196</v>
      </c>
      <c r="M2723">
        <v>57764</v>
      </c>
      <c r="N2723" t="s">
        <v>398</v>
      </c>
      <c r="O2723" t="s">
        <v>399</v>
      </c>
      <c r="P2723" t="s">
        <v>38</v>
      </c>
      <c r="Q2723" t="s">
        <v>50</v>
      </c>
      <c r="R2723">
        <v>0</v>
      </c>
      <c r="S2723" t="s">
        <v>45</v>
      </c>
      <c r="T2723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3">
        <v>57765</v>
      </c>
      <c r="V2723" t="s">
        <v>38</v>
      </c>
      <c r="W2723" t="s">
        <v>50</v>
      </c>
      <c r="X2723">
        <v>0</v>
      </c>
      <c r="Y2723">
        <v>0</v>
      </c>
      <c r="Z2723" t="s">
        <v>46</v>
      </c>
      <c r="AA2723">
        <v>57766</v>
      </c>
      <c r="AB2723" t="s">
        <v>1923</v>
      </c>
      <c r="AC2723" t="s">
        <v>97</v>
      </c>
      <c r="AD2723" t="s">
        <v>38</v>
      </c>
      <c r="AE2723" t="s">
        <v>49</v>
      </c>
      <c r="AF2723" t="s">
        <v>50</v>
      </c>
      <c r="AG2723">
        <v>0</v>
      </c>
      <c r="AH2723">
        <v>0</v>
      </c>
      <c r="AI2723" t="s">
        <v>51</v>
      </c>
      <c r="AJ2723" t="s">
        <v>51</v>
      </c>
      <c r="AK2723" t="s">
        <v>51</v>
      </c>
    </row>
    <row r="2724" spans="1:37" x14ac:dyDescent="0.2">
      <c r="A2724">
        <v>57735</v>
      </c>
      <c r="B2724" t="s">
        <v>37</v>
      </c>
      <c r="C2724" t="s">
        <v>196</v>
      </c>
      <c r="D2724" t="s">
        <v>361</v>
      </c>
      <c r="E2724" t="s">
        <v>40</v>
      </c>
      <c r="G2724" s="4">
        <v>43945.661030092593</v>
      </c>
      <c r="H2724" s="4">
        <v>43945.661157407407</v>
      </c>
      <c r="I2724" t="s">
        <v>337</v>
      </c>
      <c r="J2724" s="5">
        <v>11.00000000000000000000000000000000000002</v>
      </c>
      <c r="K2724" t="s">
        <v>196</v>
      </c>
      <c r="M2724">
        <v>57752</v>
      </c>
      <c r="N2724" t="s">
        <v>401</v>
      </c>
      <c r="O2724" t="s">
        <v>402</v>
      </c>
      <c r="P2724" t="s">
        <v>38</v>
      </c>
      <c r="Q2724" t="s">
        <v>50</v>
      </c>
      <c r="R2724">
        <v>.9999999999999999999999999999999999999996</v>
      </c>
      <c r="S2724" t="s">
        <v>45</v>
      </c>
      <c r="T2724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4">
        <v>57753</v>
      </c>
      <c r="V2724" t="s">
        <v>38</v>
      </c>
      <c r="W2724" t="s">
        <v>50</v>
      </c>
      <c r="X2724">
        <v>.9999999999999999999999999999999999999996</v>
      </c>
      <c r="Y2724">
        <v>0</v>
      </c>
      <c r="Z2724" t="s">
        <v>46</v>
      </c>
      <c r="AA2724">
        <v>57762</v>
      </c>
      <c r="AB2724" t="s">
        <v>2149</v>
      </c>
      <c r="AC2724" t="s">
        <v>103</v>
      </c>
      <c r="AD2724" t="s">
        <v>38</v>
      </c>
      <c r="AE2724" t="s">
        <v>49</v>
      </c>
      <c r="AF2724" t="s">
        <v>50</v>
      </c>
      <c r="AG2724">
        <v>0</v>
      </c>
      <c r="AH2724">
        <v>0</v>
      </c>
      <c r="AI2724" t="s">
        <v>51</v>
      </c>
      <c r="AJ2724" t="s">
        <v>51</v>
      </c>
      <c r="AK2724" t="s">
        <v>51</v>
      </c>
    </row>
    <row r="2725" spans="1:37" x14ac:dyDescent="0.2">
      <c r="A2725">
        <v>57735</v>
      </c>
      <c r="B2725" t="s">
        <v>37</v>
      </c>
      <c r="C2725" t="s">
        <v>196</v>
      </c>
      <c r="D2725" t="s">
        <v>361</v>
      </c>
      <c r="E2725" t="s">
        <v>40</v>
      </c>
      <c r="G2725" s="4">
        <v>43945.661030092593</v>
      </c>
      <c r="H2725" s="4">
        <v>43945.661157407407</v>
      </c>
      <c r="I2725" t="s">
        <v>337</v>
      </c>
      <c r="J2725" s="5">
        <v>11.00000000000000000000000000000000000002</v>
      </c>
      <c r="K2725" t="s">
        <v>196</v>
      </c>
      <c r="M2725">
        <v>57752</v>
      </c>
      <c r="N2725" t="s">
        <v>401</v>
      </c>
      <c r="O2725" t="s">
        <v>402</v>
      </c>
      <c r="P2725" t="s">
        <v>38</v>
      </c>
      <c r="Q2725" t="s">
        <v>50</v>
      </c>
      <c r="R2725">
        <v>.9999999999999999999999999999999999999996</v>
      </c>
      <c r="S2725" t="s">
        <v>45</v>
      </c>
      <c r="T2725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5">
        <v>57753</v>
      </c>
      <c r="V2725" t="s">
        <v>38</v>
      </c>
      <c r="W2725" t="s">
        <v>50</v>
      </c>
      <c r="X2725">
        <v>.9999999999999999999999999999999999999996</v>
      </c>
      <c r="Y2725">
        <v>0</v>
      </c>
      <c r="Z2725" t="s">
        <v>46</v>
      </c>
      <c r="AA2725">
        <v>57761</v>
      </c>
      <c r="AB2725" t="s">
        <v>2150</v>
      </c>
      <c r="AC2725" t="s">
        <v>103</v>
      </c>
      <c r="AD2725" t="s">
        <v>38</v>
      </c>
      <c r="AE2725" t="s">
        <v>49</v>
      </c>
      <c r="AF2725" t="s">
        <v>50</v>
      </c>
      <c r="AG2725">
        <v>0</v>
      </c>
      <c r="AH2725">
        <v>0</v>
      </c>
      <c r="AI2725" t="s">
        <v>51</v>
      </c>
      <c r="AJ2725" t="s">
        <v>51</v>
      </c>
      <c r="AK2725" t="s">
        <v>51</v>
      </c>
    </row>
    <row r="2726" spans="1:37" x14ac:dyDescent="0.2">
      <c r="A2726">
        <v>57735</v>
      </c>
      <c r="B2726" t="s">
        <v>37</v>
      </c>
      <c r="C2726" t="s">
        <v>196</v>
      </c>
      <c r="D2726" t="s">
        <v>361</v>
      </c>
      <c r="E2726" t="s">
        <v>40</v>
      </c>
      <c r="G2726" s="4">
        <v>43945.661030092593</v>
      </c>
      <c r="H2726" s="4">
        <v>43945.661157407407</v>
      </c>
      <c r="I2726" t="s">
        <v>337</v>
      </c>
      <c r="J2726" s="5">
        <v>11.00000000000000000000000000000000000002</v>
      </c>
      <c r="K2726" t="s">
        <v>196</v>
      </c>
      <c r="M2726">
        <v>57752</v>
      </c>
      <c r="N2726" t="s">
        <v>401</v>
      </c>
      <c r="O2726" t="s">
        <v>402</v>
      </c>
      <c r="P2726" t="s">
        <v>38</v>
      </c>
      <c r="Q2726" t="s">
        <v>50</v>
      </c>
      <c r="R2726">
        <v>.9999999999999999999999999999999999999996</v>
      </c>
      <c r="S2726" t="s">
        <v>45</v>
      </c>
      <c r="T2726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6">
        <v>57753</v>
      </c>
      <c r="V2726" t="s">
        <v>38</v>
      </c>
      <c r="W2726" t="s">
        <v>50</v>
      </c>
      <c r="X2726">
        <v>.9999999999999999999999999999999999999996</v>
      </c>
      <c r="Y2726">
        <v>0</v>
      </c>
      <c r="Z2726" t="s">
        <v>46</v>
      </c>
      <c r="AA2726">
        <v>57760</v>
      </c>
      <c r="AB2726" t="s">
        <v>2151</v>
      </c>
      <c r="AC2726" t="s">
        <v>103</v>
      </c>
      <c r="AD2726" t="s">
        <v>38</v>
      </c>
      <c r="AE2726" t="s">
        <v>49</v>
      </c>
      <c r="AF2726" t="s">
        <v>50</v>
      </c>
      <c r="AG2726">
        <v>0</v>
      </c>
      <c r="AH2726">
        <v>0</v>
      </c>
      <c r="AI2726" t="s">
        <v>51</v>
      </c>
      <c r="AJ2726" t="s">
        <v>51</v>
      </c>
      <c r="AK2726" t="s">
        <v>51</v>
      </c>
    </row>
    <row r="2727" spans="1:37" x14ac:dyDescent="0.2">
      <c r="A2727">
        <v>57735</v>
      </c>
      <c r="B2727" t="s">
        <v>37</v>
      </c>
      <c r="C2727" t="s">
        <v>196</v>
      </c>
      <c r="D2727" t="s">
        <v>361</v>
      </c>
      <c r="E2727" t="s">
        <v>40</v>
      </c>
      <c r="G2727" s="4">
        <v>43945.661030092593</v>
      </c>
      <c r="H2727" s="4">
        <v>43945.661157407407</v>
      </c>
      <c r="I2727" t="s">
        <v>337</v>
      </c>
      <c r="J2727" s="5">
        <v>11.00000000000000000000000000000000000002</v>
      </c>
      <c r="K2727" t="s">
        <v>196</v>
      </c>
      <c r="M2727">
        <v>57752</v>
      </c>
      <c r="N2727" t="s">
        <v>401</v>
      </c>
      <c r="O2727" t="s">
        <v>402</v>
      </c>
      <c r="P2727" t="s">
        <v>38</v>
      </c>
      <c r="Q2727" t="s">
        <v>50</v>
      </c>
      <c r="R2727">
        <v>.9999999999999999999999999999999999999996</v>
      </c>
      <c r="S2727" t="s">
        <v>45</v>
      </c>
      <c r="T2727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7">
        <v>57753</v>
      </c>
      <c r="V2727" t="s">
        <v>38</v>
      </c>
      <c r="W2727" t="s">
        <v>50</v>
      </c>
      <c r="X2727">
        <v>.9999999999999999999999999999999999999996</v>
      </c>
      <c r="Y2727">
        <v>0</v>
      </c>
      <c r="Z2727" t="s">
        <v>46</v>
      </c>
      <c r="AA2727">
        <v>57756</v>
      </c>
      <c r="AB2727" t="s">
        <v>2152</v>
      </c>
      <c r="AC2727" t="s">
        <v>103</v>
      </c>
      <c r="AD2727" t="s">
        <v>38</v>
      </c>
      <c r="AE2727" t="s">
        <v>49</v>
      </c>
      <c r="AF2727" t="s">
        <v>50</v>
      </c>
      <c r="AG2727">
        <v>.9999999999999999999999999999999999999996</v>
      </c>
      <c r="AH2727">
        <v>0</v>
      </c>
      <c r="AI2727" t="s">
        <v>51</v>
      </c>
      <c r="AJ2727" t="s">
        <v>51</v>
      </c>
      <c r="AK2727" t="s">
        <v>51</v>
      </c>
    </row>
    <row r="2728" spans="1:37" x14ac:dyDescent="0.2">
      <c r="A2728">
        <v>57735</v>
      </c>
      <c r="B2728" t="s">
        <v>37</v>
      </c>
      <c r="C2728" t="s">
        <v>196</v>
      </c>
      <c r="D2728" t="s">
        <v>361</v>
      </c>
      <c r="E2728" t="s">
        <v>40</v>
      </c>
      <c r="G2728" s="4">
        <v>43945.661030092593</v>
      </c>
      <c r="H2728" s="4">
        <v>43945.661157407407</v>
      </c>
      <c r="I2728" t="s">
        <v>337</v>
      </c>
      <c r="J2728" s="5">
        <v>11.00000000000000000000000000000000000002</v>
      </c>
      <c r="K2728" t="s">
        <v>196</v>
      </c>
      <c r="M2728">
        <v>57752</v>
      </c>
      <c r="N2728" t="s">
        <v>401</v>
      </c>
      <c r="O2728" t="s">
        <v>402</v>
      </c>
      <c r="P2728" t="s">
        <v>38</v>
      </c>
      <c r="Q2728" t="s">
        <v>50</v>
      </c>
      <c r="R2728">
        <v>.9999999999999999999999999999999999999996</v>
      </c>
      <c r="S2728" t="s">
        <v>45</v>
      </c>
      <c r="T2728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8">
        <v>57753</v>
      </c>
      <c r="V2728" t="s">
        <v>38</v>
      </c>
      <c r="W2728" t="s">
        <v>50</v>
      </c>
      <c r="X2728">
        <v>.9999999999999999999999999999999999999996</v>
      </c>
      <c r="Y2728">
        <v>0</v>
      </c>
      <c r="Z2728" t="s">
        <v>46</v>
      </c>
      <c r="AA2728">
        <v>57754</v>
      </c>
      <c r="AB2728" t="s">
        <v>2153</v>
      </c>
      <c r="AC2728" t="s">
        <v>103</v>
      </c>
      <c r="AD2728" t="s">
        <v>38</v>
      </c>
      <c r="AE2728" t="s">
        <v>49</v>
      </c>
      <c r="AF2728" t="s">
        <v>50</v>
      </c>
      <c r="AG2728">
        <v>0</v>
      </c>
      <c r="AH2728">
        <v>0</v>
      </c>
      <c r="AI2728" t="s">
        <v>51</v>
      </c>
      <c r="AJ2728" t="s">
        <v>51</v>
      </c>
      <c r="AK2728" t="s">
        <v>51</v>
      </c>
    </row>
    <row r="2729" spans="1:37" x14ac:dyDescent="0.2">
      <c r="A2729">
        <v>57735</v>
      </c>
      <c r="B2729" t="s">
        <v>37</v>
      </c>
      <c r="C2729" t="s">
        <v>196</v>
      </c>
      <c r="D2729" t="s">
        <v>361</v>
      </c>
      <c r="E2729" t="s">
        <v>40</v>
      </c>
      <c r="G2729" s="4">
        <v>43945.661030092593</v>
      </c>
      <c r="H2729" s="4">
        <v>43945.661157407407</v>
      </c>
      <c r="I2729" t="s">
        <v>337</v>
      </c>
      <c r="J2729" s="5">
        <v>11.00000000000000000000000000000000000002</v>
      </c>
      <c r="K2729" t="s">
        <v>196</v>
      </c>
      <c r="M2729">
        <v>57750</v>
      </c>
      <c r="N2729" t="s">
        <v>408</v>
      </c>
      <c r="O2729" t="s">
        <v>409</v>
      </c>
      <c r="P2729" t="s">
        <v>196</v>
      </c>
      <c r="Q2729" t="s">
        <v>50</v>
      </c>
      <c r="R2729">
        <v>0</v>
      </c>
      <c r="S2729" t="s">
        <v>410</v>
      </c>
      <c r="T2729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29">
        <v>57751</v>
      </c>
      <c r="V2729" t="s">
        <v>196</v>
      </c>
      <c r="W2729" t="s">
        <v>50</v>
      </c>
      <c r="X2729">
        <v>0</v>
      </c>
      <c r="Y2729">
        <v>0</v>
      </c>
      <c r="Z2729" t="s">
        <v>2154</v>
      </c>
    </row>
    <row r="2730" spans="1:37" x14ac:dyDescent="0.2">
      <c r="A2730">
        <v>57735</v>
      </c>
      <c r="B2730" t="s">
        <v>37</v>
      </c>
      <c r="C2730" t="s">
        <v>196</v>
      </c>
      <c r="D2730" t="s">
        <v>361</v>
      </c>
      <c r="E2730" t="s">
        <v>40</v>
      </c>
      <c r="G2730" s="4">
        <v>43945.661030092593</v>
      </c>
      <c r="H2730" s="4">
        <v>43945.661157407407</v>
      </c>
      <c r="I2730" t="s">
        <v>337</v>
      </c>
      <c r="J2730" s="5">
        <v>11.00000000000000000000000000000000000002</v>
      </c>
      <c r="K2730" t="s">
        <v>196</v>
      </c>
      <c r="M2730">
        <v>57747</v>
      </c>
      <c r="N2730" t="s">
        <v>412</v>
      </c>
      <c r="O2730" t="s">
        <v>413</v>
      </c>
      <c r="P2730" t="s">
        <v>38</v>
      </c>
      <c r="Q2730" t="s">
        <v>50</v>
      </c>
      <c r="R2730">
        <v>0</v>
      </c>
      <c r="S2730" t="s">
        <v>45</v>
      </c>
      <c r="T2730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30">
        <v>57748</v>
      </c>
      <c r="V2730" t="s">
        <v>38</v>
      </c>
      <c r="W2730" t="s">
        <v>50</v>
      </c>
      <c r="X2730">
        <v>0</v>
      </c>
      <c r="Y2730">
        <v>0</v>
      </c>
      <c r="Z2730" t="s">
        <v>46</v>
      </c>
      <c r="AA2730">
        <v>57749</v>
      </c>
      <c r="AB2730" t="s">
        <v>1930</v>
      </c>
      <c r="AC2730" t="s">
        <v>97</v>
      </c>
      <c r="AD2730" t="s">
        <v>38</v>
      </c>
      <c r="AE2730" t="s">
        <v>49</v>
      </c>
      <c r="AF2730" t="s">
        <v>50</v>
      </c>
      <c r="AG2730">
        <v>0</v>
      </c>
      <c r="AH2730">
        <v>0</v>
      </c>
      <c r="AI2730" t="s">
        <v>51</v>
      </c>
      <c r="AJ2730" t="s">
        <v>51</v>
      </c>
      <c r="AK2730" t="s">
        <v>51</v>
      </c>
    </row>
    <row r="2731" spans="1:37" x14ac:dyDescent="0.2">
      <c r="A2731">
        <v>57735</v>
      </c>
      <c r="B2731" t="s">
        <v>37</v>
      </c>
      <c r="C2731" t="s">
        <v>196</v>
      </c>
      <c r="D2731" t="s">
        <v>361</v>
      </c>
      <c r="E2731" t="s">
        <v>40</v>
      </c>
      <c r="G2731" s="4">
        <v>43945.661030092593</v>
      </c>
      <c r="H2731" s="4">
        <v>43945.661157407407</v>
      </c>
      <c r="I2731" t="s">
        <v>337</v>
      </c>
      <c r="J2731" s="5">
        <v>11.00000000000000000000000000000000000002</v>
      </c>
      <c r="K2731" t="s">
        <v>196</v>
      </c>
      <c r="M2731">
        <v>57743</v>
      </c>
      <c r="N2731" t="s">
        <v>415</v>
      </c>
      <c r="O2731" t="s">
        <v>416</v>
      </c>
      <c r="P2731" t="s">
        <v>38</v>
      </c>
      <c r="Q2731" t="s">
        <v>50</v>
      </c>
      <c r="R2731">
        <v>0</v>
      </c>
      <c r="S2731" t="s">
        <v>45</v>
      </c>
      <c r="T2731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31">
        <v>57744</v>
      </c>
      <c r="V2731" t="s">
        <v>38</v>
      </c>
      <c r="W2731" t="s">
        <v>50</v>
      </c>
      <c r="X2731">
        <v>0</v>
      </c>
      <c r="Y2731">
        <v>0</v>
      </c>
      <c r="Z2731" t="s">
        <v>46</v>
      </c>
      <c r="AA2731">
        <v>57746</v>
      </c>
      <c r="AB2731" t="s">
        <v>2155</v>
      </c>
      <c r="AC2731" t="s">
        <v>56</v>
      </c>
      <c r="AD2731" t="s">
        <v>38</v>
      </c>
      <c r="AE2731" t="s">
        <v>49</v>
      </c>
      <c r="AF2731" t="s">
        <v>50</v>
      </c>
      <c r="AG2731">
        <v>0</v>
      </c>
      <c r="AH2731">
        <v>0</v>
      </c>
      <c r="AI2731" t="s">
        <v>51</v>
      </c>
      <c r="AJ2731" t="s">
        <v>51</v>
      </c>
      <c r="AK2731" t="s">
        <v>51</v>
      </c>
    </row>
    <row r="2732" spans="1:37" x14ac:dyDescent="0.2">
      <c r="A2732">
        <v>57735</v>
      </c>
      <c r="B2732" t="s">
        <v>37</v>
      </c>
      <c r="C2732" t="s">
        <v>196</v>
      </c>
      <c r="D2732" t="s">
        <v>361</v>
      </c>
      <c r="E2732" t="s">
        <v>40</v>
      </c>
      <c r="G2732" s="4">
        <v>43945.661030092593</v>
      </c>
      <c r="H2732" s="4">
        <v>43945.661157407407</v>
      </c>
      <c r="I2732" t="s">
        <v>337</v>
      </c>
      <c r="J2732" s="5">
        <v>11.00000000000000000000000000000000000002</v>
      </c>
      <c r="K2732" t="s">
        <v>196</v>
      </c>
      <c r="M2732">
        <v>57743</v>
      </c>
      <c r="N2732" t="s">
        <v>415</v>
      </c>
      <c r="O2732" t="s">
        <v>416</v>
      </c>
      <c r="P2732" t="s">
        <v>38</v>
      </c>
      <c r="Q2732" t="s">
        <v>50</v>
      </c>
      <c r="R2732">
        <v>0</v>
      </c>
      <c r="S2732" t="s">
        <v>45</v>
      </c>
      <c r="T2732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32">
        <v>57744</v>
      </c>
      <c r="V2732" t="s">
        <v>38</v>
      </c>
      <c r="W2732" t="s">
        <v>50</v>
      </c>
      <c r="X2732">
        <v>0</v>
      </c>
      <c r="Y2732">
        <v>0</v>
      </c>
      <c r="Z2732" t="s">
        <v>46</v>
      </c>
      <c r="AA2732">
        <v>57745</v>
      </c>
      <c r="AB2732" t="s">
        <v>2156</v>
      </c>
      <c r="AC2732" t="s">
        <v>97</v>
      </c>
      <c r="AD2732" t="s">
        <v>38</v>
      </c>
      <c r="AE2732" t="s">
        <v>49</v>
      </c>
      <c r="AF2732" t="s">
        <v>50</v>
      </c>
      <c r="AG2732">
        <v>0</v>
      </c>
      <c r="AH2732">
        <v>0</v>
      </c>
      <c r="AI2732" t="s">
        <v>51</v>
      </c>
      <c r="AJ2732" t="s">
        <v>51</v>
      </c>
      <c r="AK2732" t="s">
        <v>51</v>
      </c>
    </row>
    <row r="2733" spans="1:37" x14ac:dyDescent="0.2">
      <c r="A2733">
        <v>57735</v>
      </c>
      <c r="B2733" t="s">
        <v>37</v>
      </c>
      <c r="C2733" t="s">
        <v>196</v>
      </c>
      <c r="D2733" t="s">
        <v>361</v>
      </c>
      <c r="E2733" t="s">
        <v>40</v>
      </c>
      <c r="G2733" s="4">
        <v>43945.661030092593</v>
      </c>
      <c r="H2733" s="4">
        <v>43945.661157407407</v>
      </c>
      <c r="I2733" t="s">
        <v>337</v>
      </c>
      <c r="J2733" s="5">
        <v>11.00000000000000000000000000000000000002</v>
      </c>
      <c r="K2733" t="s">
        <v>196</v>
      </c>
      <c r="M2733">
        <v>57739</v>
      </c>
      <c r="N2733" t="s">
        <v>419</v>
      </c>
      <c r="O2733" t="s">
        <v>420</v>
      </c>
      <c r="P2733" t="s">
        <v>196</v>
      </c>
      <c r="Q2733" t="s">
        <v>85</v>
      </c>
      <c r="R2733">
        <v>3</v>
      </c>
      <c r="S2733" t="s">
        <v>421</v>
      </c>
      <c r="T2733" t="str" s="2">
        <f>=HYPERLINK("http://demo.enginatics.com:80/ecc/user/applications/log/57735.log","http://demo.enginatics.com:80/ecc/user/applications/log/57735.log")</f>
        <v>"http://demo.enginatics.com:80/ecc/user/applications/log/57735.log")</v>
      </c>
      <c r="U2733">
        <v>57742</v>
      </c>
      <c r="V2733" t="s">
        <v>196</v>
      </c>
      <c r="W2733" t="s">
        <v>50</v>
      </c>
      <c r="X2733">
        <v>0</v>
      </c>
      <c r="Y2733">
        <v>0</v>
      </c>
      <c r="Z2733" t="s">
        <v>2157</v>
      </c>
    </row>
    <row r="2734" spans="1:37" x14ac:dyDescent="0.2">
      <c r="A2734">
        <v>57733</v>
      </c>
      <c r="B2734" t="s">
        <v>37</v>
      </c>
      <c r="C2734" t="s">
        <v>38</v>
      </c>
      <c r="D2734" t="s">
        <v>295</v>
      </c>
      <c r="E2734" t="s">
        <v>423</v>
      </c>
      <c r="G2734" s="4">
        <v>43945.661030092593</v>
      </c>
      <c r="H2734" s="4">
        <v>43945.661261574074</v>
      </c>
      <c r="I2734" t="s">
        <v>693</v>
      </c>
      <c r="J2734" s="5">
        <v>19.99999999999999999999999999999999999996</v>
      </c>
      <c r="K2734" t="s">
        <v>38</v>
      </c>
      <c r="M2734">
        <v>57824</v>
      </c>
      <c r="N2734" t="s">
        <v>423</v>
      </c>
      <c r="O2734" t="s">
        <v>424</v>
      </c>
      <c r="P2734" t="s">
        <v>38</v>
      </c>
      <c r="Q2734" t="s">
        <v>50</v>
      </c>
      <c r="R2734">
        <v>0</v>
      </c>
      <c r="S2734" t="s">
        <v>45</v>
      </c>
      <c r="T2734" t="str" s="2">
        <f>=HYPERLINK("http://demo.enginatics.com:80/ecc/user/applications/log/57733.log","http://demo.enginatics.com:80/ecc/user/applications/log/57733.log")</f>
        <v>"http://demo.enginatics.com:80/ecc/user/applications/log/57733.log")</v>
      </c>
      <c r="U2734">
        <v>57825</v>
      </c>
      <c r="V2734" t="s">
        <v>38</v>
      </c>
      <c r="W2734" t="s">
        <v>50</v>
      </c>
      <c r="X2734">
        <v>0</v>
      </c>
      <c r="Y2734">
        <v>0</v>
      </c>
      <c r="Z2734" t="s">
        <v>46</v>
      </c>
      <c r="AA2734">
        <v>57826</v>
      </c>
      <c r="AB2734" t="s">
        <v>1904</v>
      </c>
      <c r="AC2734" t="s">
        <v>68</v>
      </c>
      <c r="AD2734" t="s">
        <v>38</v>
      </c>
      <c r="AE2734" t="s">
        <v>49</v>
      </c>
      <c r="AF2734" t="s">
        <v>50</v>
      </c>
      <c r="AG2734">
        <v>0</v>
      </c>
      <c r="AH2734">
        <v>0</v>
      </c>
      <c r="AI2734" t="s">
        <v>51</v>
      </c>
      <c r="AJ2734" t="s">
        <v>51</v>
      </c>
      <c r="AK2734" t="s">
        <v>51</v>
      </c>
    </row>
    <row r="2735" spans="1:37" x14ac:dyDescent="0.2">
      <c r="A2735">
        <v>57729</v>
      </c>
      <c r="B2735" t="s">
        <v>37</v>
      </c>
      <c r="C2735" t="s">
        <v>38</v>
      </c>
      <c r="D2735" t="s">
        <v>295</v>
      </c>
      <c r="E2735" t="s">
        <v>40</v>
      </c>
      <c r="G2735" s="4">
        <v>43945.6609375</v>
      </c>
      <c r="H2735" s="4">
        <v>43945.661261574074</v>
      </c>
      <c r="I2735" t="s">
        <v>308</v>
      </c>
      <c r="J2735" s="5">
        <v>27.99999999999999999999999999999999999999</v>
      </c>
      <c r="K2735" t="s">
        <v>38</v>
      </c>
      <c r="M2735">
        <v>57789</v>
      </c>
      <c r="N2735" t="s">
        <v>299</v>
      </c>
      <c r="O2735" t="s">
        <v>301</v>
      </c>
      <c r="P2735" t="s">
        <v>38</v>
      </c>
      <c r="Q2735" t="s">
        <v>337</v>
      </c>
      <c r="R2735">
        <v>11.00000000000000000000000000000000000002</v>
      </c>
      <c r="S2735" t="s">
        <v>45</v>
      </c>
      <c r="T2735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35">
        <v>57790</v>
      </c>
      <c r="V2735" t="s">
        <v>38</v>
      </c>
      <c r="W2735" t="s">
        <v>337</v>
      </c>
      <c r="X2735">
        <v>11.00000000000000000000000000000000000002</v>
      </c>
      <c r="Y2735">
        <v>10</v>
      </c>
      <c r="Z2735" t="s">
        <v>46</v>
      </c>
      <c r="AA2735">
        <v>57823</v>
      </c>
      <c r="AB2735" t="s">
        <v>302</v>
      </c>
      <c r="AC2735" t="s">
        <v>68</v>
      </c>
      <c r="AD2735" t="s">
        <v>38</v>
      </c>
      <c r="AE2735" t="s">
        <v>49</v>
      </c>
      <c r="AF2735" t="s">
        <v>50</v>
      </c>
      <c r="AG2735">
        <v>0</v>
      </c>
      <c r="AH2735">
        <v>0</v>
      </c>
      <c r="AI2735" t="s">
        <v>51</v>
      </c>
      <c r="AJ2735" t="s">
        <v>51</v>
      </c>
      <c r="AK2735" t="s">
        <v>51</v>
      </c>
    </row>
    <row r="2736" spans="1:37" x14ac:dyDescent="0.2">
      <c r="A2736">
        <v>57729</v>
      </c>
      <c r="B2736" t="s">
        <v>37</v>
      </c>
      <c r="C2736" t="s">
        <v>38</v>
      </c>
      <c r="D2736" t="s">
        <v>295</v>
      </c>
      <c r="E2736" t="s">
        <v>40</v>
      </c>
      <c r="G2736" s="4">
        <v>43945.6609375</v>
      </c>
      <c r="H2736" s="4">
        <v>43945.661261574074</v>
      </c>
      <c r="I2736" t="s">
        <v>308</v>
      </c>
      <c r="J2736" s="5">
        <v>27.99999999999999999999999999999999999999</v>
      </c>
      <c r="K2736" t="s">
        <v>38</v>
      </c>
      <c r="M2736">
        <v>57789</v>
      </c>
      <c r="N2736" t="s">
        <v>299</v>
      </c>
      <c r="O2736" t="s">
        <v>301</v>
      </c>
      <c r="P2736" t="s">
        <v>38</v>
      </c>
      <c r="Q2736" t="s">
        <v>337</v>
      </c>
      <c r="R2736">
        <v>11.00000000000000000000000000000000000002</v>
      </c>
      <c r="S2736" t="s">
        <v>45</v>
      </c>
      <c r="T2736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36">
        <v>57790</v>
      </c>
      <c r="V2736" t="s">
        <v>38</v>
      </c>
      <c r="W2736" t="s">
        <v>337</v>
      </c>
      <c r="X2736">
        <v>11.00000000000000000000000000000000000002</v>
      </c>
      <c r="Y2736">
        <v>10</v>
      </c>
      <c r="Z2736" t="s">
        <v>46</v>
      </c>
      <c r="AA2736">
        <v>57822</v>
      </c>
      <c r="AB2736" t="s">
        <v>303</v>
      </c>
      <c r="AC2736" t="s">
        <v>56</v>
      </c>
      <c r="AD2736" t="s">
        <v>38</v>
      </c>
      <c r="AE2736" t="s">
        <v>49</v>
      </c>
      <c r="AF2736" t="s">
        <v>50</v>
      </c>
      <c r="AG2736">
        <v>0</v>
      </c>
      <c r="AH2736">
        <v>0</v>
      </c>
      <c r="AI2736" t="s">
        <v>51</v>
      </c>
      <c r="AJ2736" t="s">
        <v>51</v>
      </c>
      <c r="AK2736" t="s">
        <v>51</v>
      </c>
    </row>
    <row r="2737" spans="1:37" x14ac:dyDescent="0.2">
      <c r="A2737">
        <v>57729</v>
      </c>
      <c r="B2737" t="s">
        <v>37</v>
      </c>
      <c r="C2737" t="s">
        <v>38</v>
      </c>
      <c r="D2737" t="s">
        <v>295</v>
      </c>
      <c r="E2737" t="s">
        <v>40</v>
      </c>
      <c r="G2737" s="4">
        <v>43945.6609375</v>
      </c>
      <c r="H2737" s="4">
        <v>43945.661261574074</v>
      </c>
      <c r="I2737" t="s">
        <v>308</v>
      </c>
      <c r="J2737" s="5">
        <v>27.99999999999999999999999999999999999999</v>
      </c>
      <c r="K2737" t="s">
        <v>38</v>
      </c>
      <c r="M2737">
        <v>57785</v>
      </c>
      <c r="N2737" t="s">
        <v>423</v>
      </c>
      <c r="O2737" t="s">
        <v>424</v>
      </c>
      <c r="P2737" t="s">
        <v>38</v>
      </c>
      <c r="Q2737" t="s">
        <v>50</v>
      </c>
      <c r="R2737">
        <v>0</v>
      </c>
      <c r="S2737" t="s">
        <v>45</v>
      </c>
      <c r="T2737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37">
        <v>57786</v>
      </c>
      <c r="V2737" t="s">
        <v>38</v>
      </c>
      <c r="W2737" t="s">
        <v>50</v>
      </c>
      <c r="X2737">
        <v>0</v>
      </c>
      <c r="Y2737">
        <v>0</v>
      </c>
      <c r="Z2737" t="s">
        <v>46</v>
      </c>
      <c r="AA2737">
        <v>57787</v>
      </c>
      <c r="AB2737" t="s">
        <v>1904</v>
      </c>
      <c r="AC2737" t="s">
        <v>68</v>
      </c>
      <c r="AD2737" t="s">
        <v>38</v>
      </c>
      <c r="AE2737" t="s">
        <v>49</v>
      </c>
      <c r="AF2737" t="s">
        <v>50</v>
      </c>
      <c r="AG2737">
        <v>0</v>
      </c>
      <c r="AH2737">
        <v>0</v>
      </c>
      <c r="AI2737" t="s">
        <v>51</v>
      </c>
      <c r="AJ2737" t="s">
        <v>51</v>
      </c>
      <c r="AK2737" t="s">
        <v>51</v>
      </c>
    </row>
    <row r="2738" spans="1:37" x14ac:dyDescent="0.2">
      <c r="A2738">
        <v>57729</v>
      </c>
      <c r="B2738" t="s">
        <v>37</v>
      </c>
      <c r="C2738" t="s">
        <v>38</v>
      </c>
      <c r="D2738" t="s">
        <v>295</v>
      </c>
      <c r="E2738" t="s">
        <v>40</v>
      </c>
      <c r="G2738" s="4">
        <v>43945.6609375</v>
      </c>
      <c r="H2738" s="4">
        <v>43945.661261574074</v>
      </c>
      <c r="I2738" t="s">
        <v>308</v>
      </c>
      <c r="J2738" s="5">
        <v>27.99999999999999999999999999999999999999</v>
      </c>
      <c r="K2738" t="s">
        <v>38</v>
      </c>
      <c r="M2738">
        <v>57772</v>
      </c>
      <c r="N2738" t="s">
        <v>426</v>
      </c>
      <c r="O2738" t="s">
        <v>427</v>
      </c>
      <c r="P2738" t="s">
        <v>38</v>
      </c>
      <c r="Q2738" t="s">
        <v>50</v>
      </c>
      <c r="R2738">
        <v>.9999999999999999999999999999999999999996</v>
      </c>
      <c r="S2738" t="s">
        <v>45</v>
      </c>
      <c r="T2738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38">
        <v>57773</v>
      </c>
      <c r="V2738" t="s">
        <v>38</v>
      </c>
      <c r="W2738" t="s">
        <v>50</v>
      </c>
      <c r="X2738">
        <v>.9999999999999999999999999999999999999996</v>
      </c>
      <c r="Y2738">
        <v>0</v>
      </c>
      <c r="Z2738" t="s">
        <v>46</v>
      </c>
      <c r="AA2738">
        <v>57774</v>
      </c>
      <c r="AB2738" t="s">
        <v>428</v>
      </c>
      <c r="AC2738" t="s">
        <v>68</v>
      </c>
      <c r="AD2738" t="s">
        <v>38</v>
      </c>
      <c r="AE2738" t="s">
        <v>49</v>
      </c>
      <c r="AF2738" t="s">
        <v>50</v>
      </c>
      <c r="AG2738">
        <v>.9999999999999999999999999999999999999996</v>
      </c>
      <c r="AH2738">
        <v>0</v>
      </c>
      <c r="AI2738" t="s">
        <v>51</v>
      </c>
      <c r="AJ2738" t="s">
        <v>51</v>
      </c>
      <c r="AK2738" t="s">
        <v>51</v>
      </c>
    </row>
    <row r="2739" spans="1:37" x14ac:dyDescent="0.2">
      <c r="A2739">
        <v>57729</v>
      </c>
      <c r="B2739" t="s">
        <v>37</v>
      </c>
      <c r="C2739" t="s">
        <v>38</v>
      </c>
      <c r="D2739" t="s">
        <v>295</v>
      </c>
      <c r="E2739" t="s">
        <v>40</v>
      </c>
      <c r="G2739" s="4">
        <v>43945.6609375</v>
      </c>
      <c r="H2739" s="4">
        <v>43945.661261574074</v>
      </c>
      <c r="I2739" t="s">
        <v>308</v>
      </c>
      <c r="J2739" s="5">
        <v>27.99999999999999999999999999999999999999</v>
      </c>
      <c r="K2739" t="s">
        <v>38</v>
      </c>
      <c r="M2739">
        <v>57757</v>
      </c>
      <c r="N2739" t="s">
        <v>429</v>
      </c>
      <c r="O2739" t="s">
        <v>430</v>
      </c>
      <c r="P2739" t="s">
        <v>38</v>
      </c>
      <c r="Q2739" t="s">
        <v>85</v>
      </c>
      <c r="R2739">
        <v>3</v>
      </c>
      <c r="S2739" t="s">
        <v>45</v>
      </c>
      <c r="T2739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39">
        <v>57758</v>
      </c>
      <c r="V2739" t="s">
        <v>38</v>
      </c>
      <c r="W2739" t="s">
        <v>88</v>
      </c>
      <c r="X2739">
        <v>2</v>
      </c>
      <c r="Y2739">
        <v>0</v>
      </c>
      <c r="Z2739" t="s">
        <v>46</v>
      </c>
      <c r="AA2739">
        <v>57759</v>
      </c>
      <c r="AB2739" t="s">
        <v>431</v>
      </c>
      <c r="AC2739" t="s">
        <v>68</v>
      </c>
      <c r="AD2739" t="s">
        <v>38</v>
      </c>
      <c r="AE2739" t="s">
        <v>49</v>
      </c>
      <c r="AF2739" t="s">
        <v>50</v>
      </c>
      <c r="AG2739">
        <v>.9999999999999999999999999999999999999996</v>
      </c>
      <c r="AH2739">
        <v>1</v>
      </c>
      <c r="AI2739" t="s">
        <v>51</v>
      </c>
      <c r="AJ2739" t="s">
        <v>51</v>
      </c>
      <c r="AK2739" t="s">
        <v>51</v>
      </c>
    </row>
    <row r="2740" spans="1:37" x14ac:dyDescent="0.2">
      <c r="A2740">
        <v>57729</v>
      </c>
      <c r="B2740" t="s">
        <v>37</v>
      </c>
      <c r="C2740" t="s">
        <v>38</v>
      </c>
      <c r="D2740" t="s">
        <v>295</v>
      </c>
      <c r="E2740" t="s">
        <v>40</v>
      </c>
      <c r="G2740" s="4">
        <v>43945.6609375</v>
      </c>
      <c r="H2740" s="4">
        <v>43945.661261574074</v>
      </c>
      <c r="I2740" t="s">
        <v>308</v>
      </c>
      <c r="J2740" s="5">
        <v>27.99999999999999999999999999999999999999</v>
      </c>
      <c r="K2740" t="s">
        <v>38</v>
      </c>
      <c r="M2740">
        <v>57740</v>
      </c>
      <c r="N2740" t="s">
        <v>304</v>
      </c>
      <c r="O2740" t="s">
        <v>305</v>
      </c>
      <c r="P2740" t="s">
        <v>38</v>
      </c>
      <c r="Q2740" t="s">
        <v>50</v>
      </c>
      <c r="R2740">
        <v>.9999999999999999999999999999999999999996</v>
      </c>
      <c r="S2740" t="s">
        <v>45</v>
      </c>
      <c r="T2740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40">
        <v>57741</v>
      </c>
      <c r="V2740" t="s">
        <v>38</v>
      </c>
      <c r="W2740" t="s">
        <v>50</v>
      </c>
      <c r="X2740">
        <v>.9999999999999999999999999999999999999996</v>
      </c>
      <c r="Y2740">
        <v>1</v>
      </c>
      <c r="Z2740" t="s">
        <v>46</v>
      </c>
      <c r="AA2740">
        <v>57755</v>
      </c>
      <c r="AB2740" t="s">
        <v>306</v>
      </c>
      <c r="AC2740" t="s">
        <v>68</v>
      </c>
      <c r="AD2740" t="s">
        <v>38</v>
      </c>
      <c r="AE2740" t="s">
        <v>49</v>
      </c>
      <c r="AF2740" t="s">
        <v>50</v>
      </c>
      <c r="AG2740">
        <v>0</v>
      </c>
      <c r="AH2740">
        <v>0</v>
      </c>
      <c r="AI2740" t="s">
        <v>51</v>
      </c>
      <c r="AJ2740" t="s">
        <v>51</v>
      </c>
      <c r="AK2740" t="s">
        <v>51</v>
      </c>
    </row>
    <row r="2741" spans="1:37" x14ac:dyDescent="0.2">
      <c r="A2741">
        <v>57729</v>
      </c>
      <c r="B2741" t="s">
        <v>37</v>
      </c>
      <c r="C2741" t="s">
        <v>38</v>
      </c>
      <c r="D2741" t="s">
        <v>295</v>
      </c>
      <c r="E2741" t="s">
        <v>40</v>
      </c>
      <c r="G2741" s="4">
        <v>43945.6609375</v>
      </c>
      <c r="H2741" s="4">
        <v>43945.661261574074</v>
      </c>
      <c r="I2741" t="s">
        <v>308</v>
      </c>
      <c r="J2741" s="5">
        <v>27.99999999999999999999999999999999999999</v>
      </c>
      <c r="K2741" t="s">
        <v>38</v>
      </c>
      <c r="M2741">
        <v>57736</v>
      </c>
      <c r="N2741" t="s">
        <v>296</v>
      </c>
      <c r="O2741" t="s">
        <v>297</v>
      </c>
      <c r="P2741" t="s">
        <v>38</v>
      </c>
      <c r="Q2741" t="s">
        <v>44</v>
      </c>
      <c r="R2741">
        <v>4</v>
      </c>
      <c r="S2741" t="s">
        <v>45</v>
      </c>
      <c r="T2741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41">
        <v>57737</v>
      </c>
      <c r="V2741" t="s">
        <v>38</v>
      </c>
      <c r="W2741" t="s">
        <v>50</v>
      </c>
      <c r="X2741">
        <v>.9999999999999999999999999999999999999996</v>
      </c>
      <c r="Y2741">
        <v>0</v>
      </c>
      <c r="Z2741" t="s">
        <v>46</v>
      </c>
      <c r="AA2741">
        <v>57738</v>
      </c>
      <c r="AB2741" t="s">
        <v>1880</v>
      </c>
      <c r="AC2741" t="s">
        <v>68</v>
      </c>
      <c r="AD2741" t="s">
        <v>38</v>
      </c>
      <c r="AE2741" t="s">
        <v>49</v>
      </c>
      <c r="AF2741" t="s">
        <v>50</v>
      </c>
      <c r="AG2741">
        <v>0</v>
      </c>
      <c r="AH2741">
        <v>0</v>
      </c>
      <c r="AI2741" t="s">
        <v>51</v>
      </c>
      <c r="AJ2741" t="s">
        <v>51</v>
      </c>
      <c r="AK2741" t="s">
        <v>51</v>
      </c>
    </row>
    <row r="2742" spans="1:37" x14ac:dyDescent="0.2">
      <c r="A2742">
        <v>57729</v>
      </c>
      <c r="B2742" t="s">
        <v>37</v>
      </c>
      <c r="C2742" t="s">
        <v>38</v>
      </c>
      <c r="D2742" t="s">
        <v>295</v>
      </c>
      <c r="E2742" t="s">
        <v>40</v>
      </c>
      <c r="G2742" s="4">
        <v>43945.6609375</v>
      </c>
      <c r="H2742" s="4">
        <v>43945.661261574074</v>
      </c>
      <c r="I2742" t="s">
        <v>308</v>
      </c>
      <c r="J2742" s="5">
        <v>27.99999999999999999999999999999999999999</v>
      </c>
      <c r="K2742" t="s">
        <v>38</v>
      </c>
      <c r="M2742">
        <v>57731</v>
      </c>
      <c r="N2742" t="s">
        <v>432</v>
      </c>
      <c r="O2742" t="s">
        <v>433</v>
      </c>
      <c r="P2742" t="s">
        <v>38</v>
      </c>
      <c r="Q2742" t="s">
        <v>50</v>
      </c>
      <c r="R2742">
        <v>0</v>
      </c>
      <c r="S2742" t="s">
        <v>45</v>
      </c>
      <c r="T2742" t="str" s="2">
        <f>=HYPERLINK("http://demo.enginatics.com:80/ecc/user/applications/log/57729.log","http://demo.enginatics.com:80/ecc/user/applications/log/57729.log")</f>
        <v>"http://demo.enginatics.com:80/ecc/user/applications/log/57729.log")</v>
      </c>
      <c r="U2742">
        <v>57732</v>
      </c>
      <c r="V2742" t="s">
        <v>38</v>
      </c>
      <c r="W2742" t="s">
        <v>50</v>
      </c>
      <c r="X2742">
        <v>0</v>
      </c>
      <c r="Y2742">
        <v>0</v>
      </c>
      <c r="Z2742" t="s">
        <v>46</v>
      </c>
      <c r="AA2742">
        <v>57734</v>
      </c>
      <c r="AB2742" t="s">
        <v>434</v>
      </c>
      <c r="AC2742" t="s">
        <v>68</v>
      </c>
      <c r="AD2742" t="s">
        <v>38</v>
      </c>
      <c r="AE2742" t="s">
        <v>49</v>
      </c>
      <c r="AF2742" t="s">
        <v>50</v>
      </c>
      <c r="AG2742">
        <v>0</v>
      </c>
      <c r="AH2742">
        <v>0</v>
      </c>
      <c r="AI2742" t="s">
        <v>51</v>
      </c>
      <c r="AJ2742" t="s">
        <v>51</v>
      </c>
      <c r="AK2742" t="s">
        <v>51</v>
      </c>
    </row>
    <row r="2743" spans="1:37" x14ac:dyDescent="0.2">
      <c r="A2743">
        <v>57723</v>
      </c>
      <c r="B2743" t="s">
        <v>37</v>
      </c>
      <c r="C2743" t="s">
        <v>38</v>
      </c>
      <c r="D2743" t="s">
        <v>295</v>
      </c>
      <c r="E2743" t="s">
        <v>429</v>
      </c>
      <c r="G2743" s="4">
        <v>43945.6609375</v>
      </c>
      <c r="H2743" s="4">
        <v>43945.661006944444</v>
      </c>
      <c r="I2743" t="s">
        <v>75</v>
      </c>
      <c r="J2743" s="5">
        <v>6</v>
      </c>
      <c r="K2743" t="s">
        <v>38</v>
      </c>
      <c r="M2743">
        <v>57724</v>
      </c>
      <c r="N2743" t="s">
        <v>429</v>
      </c>
      <c r="O2743" t="s">
        <v>430</v>
      </c>
      <c r="P2743" t="s">
        <v>38</v>
      </c>
      <c r="Q2743" t="s">
        <v>44</v>
      </c>
      <c r="R2743">
        <v>4</v>
      </c>
      <c r="S2743" t="s">
        <v>45</v>
      </c>
      <c r="T2743" t="str" s="2">
        <f>=HYPERLINK("http://demo.enginatics.com:80/ecc/user/applications/log/57723.log","http://demo.enginatics.com:80/ecc/user/applications/log/57723.log")</f>
        <v>"http://demo.enginatics.com:80/ecc/user/applications/log/57723.log")</v>
      </c>
      <c r="U2743">
        <v>57725</v>
      </c>
      <c r="V2743" t="s">
        <v>38</v>
      </c>
      <c r="W2743" t="s">
        <v>88</v>
      </c>
      <c r="X2743">
        <v>2</v>
      </c>
      <c r="Y2743">
        <v>0</v>
      </c>
      <c r="Z2743" t="s">
        <v>46</v>
      </c>
      <c r="AA2743">
        <v>57727</v>
      </c>
      <c r="AB2743" t="s">
        <v>431</v>
      </c>
      <c r="AC2743" t="s">
        <v>68</v>
      </c>
      <c r="AD2743" t="s">
        <v>38</v>
      </c>
      <c r="AE2743" t="s">
        <v>49</v>
      </c>
      <c r="AF2743" t="s">
        <v>50</v>
      </c>
      <c r="AG2743">
        <v>.9999999999999999999999999999999999999996</v>
      </c>
      <c r="AH2743">
        <v>0</v>
      </c>
      <c r="AI2743" t="s">
        <v>51</v>
      </c>
      <c r="AJ2743" t="s">
        <v>51</v>
      </c>
      <c r="AK2743" t="s">
        <v>51</v>
      </c>
    </row>
    <row r="2744" spans="1:37" x14ac:dyDescent="0.2">
      <c r="A2744">
        <v>57722</v>
      </c>
      <c r="B2744" t="s">
        <v>37</v>
      </c>
      <c r="C2744" t="s">
        <v>38</v>
      </c>
      <c r="D2744" t="s">
        <v>295</v>
      </c>
      <c r="E2744" t="s">
        <v>432</v>
      </c>
      <c r="G2744" s="4">
        <v>43945.6609375</v>
      </c>
      <c r="H2744" s="4">
        <v>43945.661006944444</v>
      </c>
      <c r="I2744" t="s">
        <v>75</v>
      </c>
      <c r="J2744" s="5">
        <v>6</v>
      </c>
      <c r="K2744" t="s">
        <v>38</v>
      </c>
      <c r="M2744">
        <v>57726</v>
      </c>
      <c r="N2744" t="s">
        <v>432</v>
      </c>
      <c r="O2744" t="s">
        <v>433</v>
      </c>
      <c r="P2744" t="s">
        <v>38</v>
      </c>
      <c r="Q2744" t="s">
        <v>75</v>
      </c>
      <c r="R2744">
        <v>6</v>
      </c>
      <c r="S2744" t="s">
        <v>45</v>
      </c>
      <c r="T2744" t="str" s="2">
        <f>=HYPERLINK("http://demo.enginatics.com:80/ecc/user/applications/log/57722.log","http://demo.enginatics.com:80/ecc/user/applications/log/57722.log")</f>
        <v>"http://demo.enginatics.com:80/ecc/user/applications/log/57722.log")</v>
      </c>
      <c r="U2744">
        <v>57728</v>
      </c>
      <c r="V2744" t="s">
        <v>38</v>
      </c>
      <c r="W2744" t="s">
        <v>78</v>
      </c>
      <c r="X2744">
        <v>5</v>
      </c>
      <c r="Y2744">
        <v>0</v>
      </c>
      <c r="Z2744" t="s">
        <v>46</v>
      </c>
      <c r="AA2744">
        <v>57730</v>
      </c>
      <c r="AB2744" t="s">
        <v>434</v>
      </c>
      <c r="AC2744" t="s">
        <v>68</v>
      </c>
      <c r="AD2744" t="s">
        <v>38</v>
      </c>
      <c r="AE2744" t="s">
        <v>49</v>
      </c>
      <c r="AF2744" t="s">
        <v>44</v>
      </c>
      <c r="AG2744">
        <v>4</v>
      </c>
      <c r="AH2744">
        <v>1</v>
      </c>
      <c r="AI2744" t="s">
        <v>51</v>
      </c>
      <c r="AJ2744" t="s">
        <v>51</v>
      </c>
      <c r="AK2744" t="s">
        <v>51</v>
      </c>
    </row>
    <row r="2745" spans="1:37" x14ac:dyDescent="0.2">
      <c r="A2745">
        <v>57718</v>
      </c>
      <c r="B2745" t="s">
        <v>37</v>
      </c>
      <c r="C2745" t="s">
        <v>38</v>
      </c>
      <c r="D2745" t="s">
        <v>295</v>
      </c>
      <c r="E2745" t="s">
        <v>426</v>
      </c>
      <c r="G2745" s="4">
        <v>43945.660914351852</v>
      </c>
      <c r="H2745" s="4">
        <v>43945.660925925926</v>
      </c>
      <c r="I2745" t="s">
        <v>50</v>
      </c>
      <c r="J2745" s="5">
        <v>.9999999999999999999999999999999999999996</v>
      </c>
      <c r="K2745" t="s">
        <v>38</v>
      </c>
      <c r="M2745">
        <v>57719</v>
      </c>
      <c r="N2745" t="s">
        <v>426</v>
      </c>
      <c r="O2745" t="s">
        <v>427</v>
      </c>
      <c r="P2745" t="s">
        <v>38</v>
      </c>
      <c r="Q2745" t="s">
        <v>50</v>
      </c>
      <c r="R2745">
        <v>.9999999999999999999999999999999999999996</v>
      </c>
      <c r="S2745" t="s">
        <v>45</v>
      </c>
      <c r="T2745" t="str" s="2">
        <f>=HYPERLINK("http://demo.enginatics.com:80/ecc/user/applications/log/57718.log","http://demo.enginatics.com:80/ecc/user/applications/log/57718.log")</f>
        <v>"http://demo.enginatics.com:80/ecc/user/applications/log/57718.log")</v>
      </c>
      <c r="U2745">
        <v>57720</v>
      </c>
      <c r="V2745" t="s">
        <v>38</v>
      </c>
      <c r="W2745" t="s">
        <v>50</v>
      </c>
      <c r="X2745">
        <v>.9999999999999999999999999999999999999996</v>
      </c>
      <c r="Y2745">
        <v>0</v>
      </c>
      <c r="Z2745" t="s">
        <v>46</v>
      </c>
      <c r="AA2745">
        <v>57721</v>
      </c>
      <c r="AB2745" t="s">
        <v>428</v>
      </c>
      <c r="AC2745" t="s">
        <v>68</v>
      </c>
      <c r="AD2745" t="s">
        <v>38</v>
      </c>
      <c r="AE2745" t="s">
        <v>49</v>
      </c>
      <c r="AF2745" t="s">
        <v>50</v>
      </c>
      <c r="AG2745">
        <v>0</v>
      </c>
      <c r="AH2745">
        <v>0</v>
      </c>
      <c r="AI2745" t="s">
        <v>51</v>
      </c>
      <c r="AJ2745" t="s">
        <v>51</v>
      </c>
      <c r="AK2745" t="s">
        <v>51</v>
      </c>
    </row>
    <row r="2746" spans="1:37" x14ac:dyDescent="0.2">
      <c r="A2746">
        <v>57716</v>
      </c>
      <c r="B2746" t="s">
        <v>37</v>
      </c>
      <c r="C2746" t="s">
        <v>38</v>
      </c>
      <c r="D2746" t="s">
        <v>83</v>
      </c>
      <c r="E2746" t="s">
        <v>435</v>
      </c>
      <c r="G2746" s="4">
        <v>43945.660416666667</v>
      </c>
      <c r="H2746" s="4">
        <v>43945.660416666667</v>
      </c>
      <c r="I2746" t="s">
        <v>50</v>
      </c>
      <c r="J2746" s="5">
        <v>0</v>
      </c>
      <c r="K2746" t="s">
        <v>38</v>
      </c>
      <c r="M2746">
        <v>57717</v>
      </c>
      <c r="N2746" t="s">
        <v>435</v>
      </c>
      <c r="O2746" t="s">
        <v>436</v>
      </c>
      <c r="P2746" t="s">
        <v>38</v>
      </c>
      <c r="Q2746" t="s">
        <v>50</v>
      </c>
      <c r="R2746">
        <v>0</v>
      </c>
      <c r="S2746" t="s">
        <v>437</v>
      </c>
      <c r="T2746" t="str" s="2">
        <f>=HYPERLINK("http://demo.enginatics.com:80/ecc/user/applications/log/57716.log","http://demo.enginatics.com:80/ecc/user/applications/log/57716.log")</f>
        <v>"http://demo.enginatics.com:80/ecc/user/applications/log/57716.log")</v>
      </c>
    </row>
    <row r="2747" spans="1:37" x14ac:dyDescent="0.2">
      <c r="A2747">
        <v>57706</v>
      </c>
      <c r="B2747" t="s">
        <v>37</v>
      </c>
      <c r="C2747" t="s">
        <v>38</v>
      </c>
      <c r="D2747" t="s">
        <v>438</v>
      </c>
      <c r="E2747" t="s">
        <v>40</v>
      </c>
      <c r="G2747" s="4">
        <v>43945.6584375</v>
      </c>
      <c r="H2747" s="4">
        <v>43945.658449074074</v>
      </c>
      <c r="I2747" t="s">
        <v>50</v>
      </c>
      <c r="J2747" s="5">
        <v>.9999999999999999999999999999999999999996</v>
      </c>
      <c r="K2747" t="s">
        <v>38</v>
      </c>
      <c r="M2747">
        <v>57715</v>
      </c>
      <c r="N2747" t="s">
        <v>439</v>
      </c>
      <c r="O2747" t="s">
        <v>440</v>
      </c>
      <c r="P2747" t="s">
        <v>38</v>
      </c>
      <c r="Q2747" t="s">
        <v>50</v>
      </c>
      <c r="R2747">
        <v>.9999999999999999999999999999999999999996</v>
      </c>
      <c r="S2747" t="s">
        <v>441</v>
      </c>
      <c r="T2747" t="str" s="2">
        <f>=HYPERLINK("http://demo.enginatics.com:80/ecc/user/applications/log/57706.log","http://demo.enginatics.com:80/ecc/user/applications/log/57706.log")</f>
        <v>"http://demo.enginatics.com:80/ecc/user/applications/log/57706.log")</v>
      </c>
    </row>
    <row r="2748" spans="1:37" x14ac:dyDescent="0.2">
      <c r="A2748">
        <v>57706</v>
      </c>
      <c r="B2748" t="s">
        <v>37</v>
      </c>
      <c r="C2748" t="s">
        <v>38</v>
      </c>
      <c r="D2748" t="s">
        <v>438</v>
      </c>
      <c r="E2748" t="s">
        <v>40</v>
      </c>
      <c r="G2748" s="4">
        <v>43945.6584375</v>
      </c>
      <c r="H2748" s="4">
        <v>43945.658449074074</v>
      </c>
      <c r="I2748" t="s">
        <v>50</v>
      </c>
      <c r="J2748" s="5">
        <v>.9999999999999999999999999999999999999996</v>
      </c>
      <c r="K2748" t="s">
        <v>38</v>
      </c>
      <c r="M2748">
        <v>57714</v>
      </c>
      <c r="N2748" t="s">
        <v>442</v>
      </c>
      <c r="O2748" t="s">
        <v>443</v>
      </c>
      <c r="P2748" t="s">
        <v>38</v>
      </c>
      <c r="Q2748" t="s">
        <v>50</v>
      </c>
      <c r="R2748">
        <v>0</v>
      </c>
      <c r="S2748" t="s">
        <v>444</v>
      </c>
      <c r="T2748" t="str" s="2">
        <f>=HYPERLINK("http://demo.enginatics.com:80/ecc/user/applications/log/57706.log","http://demo.enginatics.com:80/ecc/user/applications/log/57706.log")</f>
        <v>"http://demo.enginatics.com:80/ecc/user/applications/log/57706.log")</v>
      </c>
    </row>
    <row r="2749" spans="1:37" x14ac:dyDescent="0.2">
      <c r="A2749">
        <v>57706</v>
      </c>
      <c r="B2749" t="s">
        <v>37</v>
      </c>
      <c r="C2749" t="s">
        <v>38</v>
      </c>
      <c r="D2749" t="s">
        <v>438</v>
      </c>
      <c r="E2749" t="s">
        <v>40</v>
      </c>
      <c r="G2749" s="4">
        <v>43945.6584375</v>
      </c>
      <c r="H2749" s="4">
        <v>43945.658449074074</v>
      </c>
      <c r="I2749" t="s">
        <v>50</v>
      </c>
      <c r="J2749" s="5">
        <v>.9999999999999999999999999999999999999996</v>
      </c>
      <c r="K2749" t="s">
        <v>38</v>
      </c>
      <c r="M2749">
        <v>57713</v>
      </c>
      <c r="N2749" t="s">
        <v>445</v>
      </c>
      <c r="O2749" t="s">
        <v>446</v>
      </c>
      <c r="P2749" t="s">
        <v>38</v>
      </c>
      <c r="Q2749" t="s">
        <v>50</v>
      </c>
      <c r="R2749">
        <v>0</v>
      </c>
      <c r="S2749" t="s">
        <v>447</v>
      </c>
      <c r="T2749" t="str" s="2">
        <f>=HYPERLINK("http://demo.enginatics.com:80/ecc/user/applications/log/57706.log","http://demo.enginatics.com:80/ecc/user/applications/log/57706.log")</f>
        <v>"http://demo.enginatics.com:80/ecc/user/applications/log/57706.log")</v>
      </c>
    </row>
    <row r="2750" spans="1:37" x14ac:dyDescent="0.2">
      <c r="A2750">
        <v>57706</v>
      </c>
      <c r="B2750" t="s">
        <v>37</v>
      </c>
      <c r="C2750" t="s">
        <v>38</v>
      </c>
      <c r="D2750" t="s">
        <v>438</v>
      </c>
      <c r="E2750" t="s">
        <v>40</v>
      </c>
      <c r="G2750" s="4">
        <v>43945.6584375</v>
      </c>
      <c r="H2750" s="4">
        <v>43945.658449074074</v>
      </c>
      <c r="I2750" t="s">
        <v>50</v>
      </c>
      <c r="J2750" s="5">
        <v>.9999999999999999999999999999999999999996</v>
      </c>
      <c r="K2750" t="s">
        <v>38</v>
      </c>
      <c r="M2750">
        <v>57712</v>
      </c>
      <c r="N2750" t="s">
        <v>448</v>
      </c>
      <c r="O2750" t="s">
        <v>449</v>
      </c>
      <c r="P2750" t="s">
        <v>38</v>
      </c>
      <c r="Q2750" t="s">
        <v>50</v>
      </c>
      <c r="R2750">
        <v>0</v>
      </c>
      <c r="S2750" t="s">
        <v>450</v>
      </c>
      <c r="T2750" t="str" s="2">
        <f>=HYPERLINK("http://demo.enginatics.com:80/ecc/user/applications/log/57706.log","http://demo.enginatics.com:80/ecc/user/applications/log/57706.log")</f>
        <v>"http://demo.enginatics.com:80/ecc/user/applications/log/57706.log")</v>
      </c>
    </row>
    <row r="2751" spans="1:37" x14ac:dyDescent="0.2">
      <c r="A2751">
        <v>57706</v>
      </c>
      <c r="B2751" t="s">
        <v>37</v>
      </c>
      <c r="C2751" t="s">
        <v>38</v>
      </c>
      <c r="D2751" t="s">
        <v>438</v>
      </c>
      <c r="E2751" t="s">
        <v>40</v>
      </c>
      <c r="G2751" s="4">
        <v>43945.6584375</v>
      </c>
      <c r="H2751" s="4">
        <v>43945.658449074074</v>
      </c>
      <c r="I2751" t="s">
        <v>50</v>
      </c>
      <c r="J2751" s="5">
        <v>.9999999999999999999999999999999999999996</v>
      </c>
      <c r="K2751" t="s">
        <v>38</v>
      </c>
      <c r="M2751">
        <v>57711</v>
      </c>
      <c r="N2751" t="s">
        <v>451</v>
      </c>
      <c r="O2751" t="s">
        <v>452</v>
      </c>
      <c r="P2751" t="s">
        <v>38</v>
      </c>
      <c r="Q2751" t="s">
        <v>50</v>
      </c>
      <c r="R2751">
        <v>0</v>
      </c>
      <c r="S2751" t="s">
        <v>453</v>
      </c>
      <c r="T2751" t="str" s="2">
        <f>=HYPERLINK("http://demo.enginatics.com:80/ecc/user/applications/log/57706.log","http://demo.enginatics.com:80/ecc/user/applications/log/57706.log")</f>
        <v>"http://demo.enginatics.com:80/ecc/user/applications/log/57706.log")</v>
      </c>
    </row>
    <row r="2752" spans="1:37" x14ac:dyDescent="0.2">
      <c r="A2752">
        <v>57706</v>
      </c>
      <c r="B2752" t="s">
        <v>37</v>
      </c>
      <c r="C2752" t="s">
        <v>38</v>
      </c>
      <c r="D2752" t="s">
        <v>438</v>
      </c>
      <c r="E2752" t="s">
        <v>40</v>
      </c>
      <c r="G2752" s="4">
        <v>43945.6584375</v>
      </c>
      <c r="H2752" s="4">
        <v>43945.658449074074</v>
      </c>
      <c r="I2752" t="s">
        <v>50</v>
      </c>
      <c r="J2752" s="5">
        <v>.9999999999999999999999999999999999999996</v>
      </c>
      <c r="K2752" t="s">
        <v>38</v>
      </c>
      <c r="M2752">
        <v>57709</v>
      </c>
      <c r="N2752" t="s">
        <v>454</v>
      </c>
      <c r="O2752" t="s">
        <v>455</v>
      </c>
      <c r="P2752" t="s">
        <v>38</v>
      </c>
      <c r="Q2752" t="s">
        <v>50</v>
      </c>
      <c r="R2752">
        <v>0</v>
      </c>
      <c r="S2752" t="s">
        <v>456</v>
      </c>
      <c r="T2752" t="str" s="2">
        <f>=HYPERLINK("http://demo.enginatics.com:80/ecc/user/applications/log/57706.log","http://demo.enginatics.com:80/ecc/user/applications/log/57706.log")</f>
        <v>"http://demo.enginatics.com:80/ecc/user/applications/log/57706.log")</v>
      </c>
    </row>
    <row r="2753" spans="1:37" x14ac:dyDescent="0.2">
      <c r="A2753">
        <v>57705</v>
      </c>
      <c r="B2753" t="s">
        <v>37</v>
      </c>
      <c r="C2753" t="s">
        <v>38</v>
      </c>
      <c r="D2753" t="s">
        <v>83</v>
      </c>
      <c r="E2753" t="s">
        <v>457</v>
      </c>
      <c r="G2753" s="4">
        <v>43945.6584375</v>
      </c>
      <c r="H2753" s="4">
        <v>43945.6584375</v>
      </c>
      <c r="I2753" t="s">
        <v>50</v>
      </c>
      <c r="J2753" s="5">
        <v>0</v>
      </c>
      <c r="K2753" t="s">
        <v>38</v>
      </c>
      <c r="M2753">
        <v>57707</v>
      </c>
      <c r="N2753" t="s">
        <v>457</v>
      </c>
      <c r="O2753" t="s">
        <v>458</v>
      </c>
      <c r="P2753" t="s">
        <v>38</v>
      </c>
      <c r="Q2753" t="s">
        <v>50</v>
      </c>
      <c r="R2753">
        <v>0</v>
      </c>
      <c r="S2753" t="s">
        <v>45</v>
      </c>
      <c r="T2753" t="str" s="2">
        <f>=HYPERLINK("http://demo.enginatics.com:80/ecc/user/applications/log/57705.log","http://demo.enginatics.com:80/ecc/user/applications/log/57705.log")</f>
        <v>"http://demo.enginatics.com:80/ecc/user/applications/log/57705.log")</v>
      </c>
      <c r="U2753">
        <v>57708</v>
      </c>
      <c r="V2753" t="s">
        <v>38</v>
      </c>
      <c r="W2753" t="s">
        <v>50</v>
      </c>
      <c r="X2753">
        <v>0</v>
      </c>
      <c r="Y2753">
        <v>0</v>
      </c>
      <c r="Z2753" t="s">
        <v>46</v>
      </c>
      <c r="AA2753">
        <v>57710</v>
      </c>
      <c r="AB2753" t="s">
        <v>2158</v>
      </c>
      <c r="AC2753" t="s">
        <v>68</v>
      </c>
      <c r="AD2753" t="s">
        <v>38</v>
      </c>
      <c r="AE2753" t="s">
        <v>49</v>
      </c>
      <c r="AF2753" t="s">
        <v>50</v>
      </c>
      <c r="AG2753">
        <v>0</v>
      </c>
      <c r="AH2753">
        <v>0</v>
      </c>
      <c r="AI2753" t="s">
        <v>51</v>
      </c>
      <c r="AJ2753" t="s">
        <v>51</v>
      </c>
      <c r="AK2753" t="s">
        <v>51</v>
      </c>
    </row>
    <row r="2754" spans="1:37" x14ac:dyDescent="0.2">
      <c r="A2754">
        <v>57701</v>
      </c>
      <c r="B2754" t="s">
        <v>37</v>
      </c>
      <c r="C2754" t="s">
        <v>38</v>
      </c>
      <c r="D2754" t="s">
        <v>460</v>
      </c>
      <c r="E2754" t="s">
        <v>40</v>
      </c>
      <c r="G2754" s="4">
        <v>43945.609027777778</v>
      </c>
      <c r="H2754" s="4">
        <v>43945.6090625</v>
      </c>
      <c r="I2754" t="s">
        <v>85</v>
      </c>
      <c r="J2754" s="5">
        <v>3</v>
      </c>
      <c r="K2754" t="s">
        <v>38</v>
      </c>
      <c r="M2754">
        <v>57702</v>
      </c>
      <c r="N2754" t="s">
        <v>461</v>
      </c>
      <c r="O2754" t="s">
        <v>462</v>
      </c>
      <c r="P2754" t="s">
        <v>38</v>
      </c>
      <c r="Q2754" t="s">
        <v>85</v>
      </c>
      <c r="R2754">
        <v>3</v>
      </c>
      <c r="S2754" t="s">
        <v>45</v>
      </c>
      <c r="T2754" t="str" s="2">
        <f>=HYPERLINK("http://demo.enginatics.com:80/ecc/user/applications/log/57701.log","http://demo.enginatics.com:80/ecc/user/applications/log/57701.log")</f>
        <v>"http://demo.enginatics.com:80/ecc/user/applications/log/57701.log")</v>
      </c>
      <c r="U2754">
        <v>57703</v>
      </c>
      <c r="V2754" t="s">
        <v>38</v>
      </c>
      <c r="W2754" t="s">
        <v>88</v>
      </c>
      <c r="X2754">
        <v>2</v>
      </c>
      <c r="Y2754">
        <v>0</v>
      </c>
      <c r="Z2754" t="s">
        <v>46</v>
      </c>
      <c r="AA2754">
        <v>57704</v>
      </c>
      <c r="AB2754" t="s">
        <v>1935</v>
      </c>
      <c r="AC2754" t="s">
        <v>68</v>
      </c>
      <c r="AD2754" t="s">
        <v>38</v>
      </c>
      <c r="AE2754" t="s">
        <v>49</v>
      </c>
      <c r="AF2754" t="s">
        <v>50</v>
      </c>
      <c r="AG2754">
        <v>.9999999999999999999999999999999999999996</v>
      </c>
      <c r="AH2754">
        <v>1</v>
      </c>
      <c r="AI2754" t="s">
        <v>51</v>
      </c>
      <c r="AJ2754" t="s">
        <v>51</v>
      </c>
      <c r="AK2754" t="s">
        <v>51</v>
      </c>
    </row>
    <row r="2755" spans="1:37" x14ac:dyDescent="0.2">
      <c r="A2755">
        <v>57676</v>
      </c>
      <c r="B2755" t="s">
        <v>37</v>
      </c>
      <c r="C2755" t="s">
        <v>38</v>
      </c>
      <c r="D2755" t="s">
        <v>464</v>
      </c>
      <c r="E2755" t="s">
        <v>40</v>
      </c>
      <c r="G2755" s="4">
        <v>43945.583715277778</v>
      </c>
      <c r="H2755" s="4">
        <v>43945.583842592593</v>
      </c>
      <c r="I2755" t="s">
        <v>337</v>
      </c>
      <c r="J2755" s="5">
        <v>11.00000000000000000000000000000000000002</v>
      </c>
      <c r="K2755" t="s">
        <v>38</v>
      </c>
      <c r="M2755">
        <v>57698</v>
      </c>
      <c r="N2755" t="s">
        <v>465</v>
      </c>
      <c r="O2755" t="s">
        <v>466</v>
      </c>
      <c r="P2755" t="s">
        <v>38</v>
      </c>
      <c r="Q2755" t="s">
        <v>78</v>
      </c>
      <c r="R2755">
        <v>5</v>
      </c>
      <c r="S2755" t="s">
        <v>45</v>
      </c>
      <c r="T2755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55">
        <v>57699</v>
      </c>
      <c r="V2755" t="s">
        <v>38</v>
      </c>
      <c r="W2755" t="s">
        <v>78</v>
      </c>
      <c r="X2755">
        <v>5</v>
      </c>
      <c r="Y2755">
        <v>0</v>
      </c>
      <c r="Z2755" t="s">
        <v>46</v>
      </c>
      <c r="AA2755">
        <v>57700</v>
      </c>
      <c r="AB2755" t="s">
        <v>467</v>
      </c>
      <c r="AC2755" t="s">
        <v>68</v>
      </c>
      <c r="AD2755" t="s">
        <v>38</v>
      </c>
      <c r="AE2755" t="s">
        <v>468</v>
      </c>
      <c r="AF2755" t="s">
        <v>78</v>
      </c>
      <c r="AG2755">
        <v>5</v>
      </c>
      <c r="AH2755">
        <v>0</v>
      </c>
      <c r="AI2755" t="s">
        <v>469</v>
      </c>
      <c r="AJ2755" t="s">
        <v>51</v>
      </c>
      <c r="AK2755" t="s">
        <v>469</v>
      </c>
    </row>
    <row r="2756" spans="1:37" x14ac:dyDescent="0.2">
      <c r="A2756">
        <v>57676</v>
      </c>
      <c r="B2756" t="s">
        <v>37</v>
      </c>
      <c r="C2756" t="s">
        <v>38</v>
      </c>
      <c r="D2756" t="s">
        <v>464</v>
      </c>
      <c r="E2756" t="s">
        <v>40</v>
      </c>
      <c r="G2756" s="4">
        <v>43945.583715277778</v>
      </c>
      <c r="H2756" s="4">
        <v>43945.583842592593</v>
      </c>
      <c r="I2756" t="s">
        <v>337</v>
      </c>
      <c r="J2756" s="5">
        <v>11.00000000000000000000000000000000000002</v>
      </c>
      <c r="K2756" t="s">
        <v>38</v>
      </c>
      <c r="M2756">
        <v>57695</v>
      </c>
      <c r="N2756" t="s">
        <v>470</v>
      </c>
      <c r="O2756" t="s">
        <v>471</v>
      </c>
      <c r="P2756" t="s">
        <v>38</v>
      </c>
      <c r="Q2756" t="s">
        <v>50</v>
      </c>
      <c r="R2756">
        <v>0</v>
      </c>
      <c r="S2756" t="s">
        <v>45</v>
      </c>
      <c r="T2756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56">
        <v>57696</v>
      </c>
      <c r="V2756" t="s">
        <v>38</v>
      </c>
      <c r="W2756" t="s">
        <v>50</v>
      </c>
      <c r="X2756">
        <v>0</v>
      </c>
      <c r="Y2756">
        <v>0</v>
      </c>
      <c r="Z2756" t="s">
        <v>46</v>
      </c>
      <c r="AA2756">
        <v>57697</v>
      </c>
      <c r="AB2756" t="s">
        <v>472</v>
      </c>
      <c r="AC2756" t="s">
        <v>68</v>
      </c>
      <c r="AD2756" t="s">
        <v>38</v>
      </c>
      <c r="AE2756" t="s">
        <v>49</v>
      </c>
      <c r="AF2756" t="s">
        <v>50</v>
      </c>
      <c r="AG2756">
        <v>0</v>
      </c>
      <c r="AH2756">
        <v>0</v>
      </c>
      <c r="AI2756" t="s">
        <v>51</v>
      </c>
      <c r="AJ2756" t="s">
        <v>51</v>
      </c>
      <c r="AK2756" t="s">
        <v>51</v>
      </c>
    </row>
    <row r="2757" spans="1:37" x14ac:dyDescent="0.2">
      <c r="A2757">
        <v>57676</v>
      </c>
      <c r="B2757" t="s">
        <v>37</v>
      </c>
      <c r="C2757" t="s">
        <v>38</v>
      </c>
      <c r="D2757" t="s">
        <v>464</v>
      </c>
      <c r="E2757" t="s">
        <v>40</v>
      </c>
      <c r="G2757" s="4">
        <v>43945.583715277778</v>
      </c>
      <c r="H2757" s="4">
        <v>43945.583842592593</v>
      </c>
      <c r="I2757" t="s">
        <v>337</v>
      </c>
      <c r="J2757" s="5">
        <v>11.00000000000000000000000000000000000002</v>
      </c>
      <c r="K2757" t="s">
        <v>38</v>
      </c>
      <c r="M2757">
        <v>57692</v>
      </c>
      <c r="N2757" t="s">
        <v>473</v>
      </c>
      <c r="O2757" t="s">
        <v>474</v>
      </c>
      <c r="P2757" t="s">
        <v>38</v>
      </c>
      <c r="Q2757" t="s">
        <v>88</v>
      </c>
      <c r="R2757">
        <v>2</v>
      </c>
      <c r="S2757" t="s">
        <v>45</v>
      </c>
      <c r="T2757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57">
        <v>57693</v>
      </c>
      <c r="V2757" t="s">
        <v>38</v>
      </c>
      <c r="W2757" t="s">
        <v>88</v>
      </c>
      <c r="X2757">
        <v>2</v>
      </c>
      <c r="Y2757">
        <v>0</v>
      </c>
      <c r="Z2757" t="s">
        <v>46</v>
      </c>
      <c r="AA2757">
        <v>57694</v>
      </c>
      <c r="AB2757" t="s">
        <v>475</v>
      </c>
      <c r="AC2757" t="s">
        <v>68</v>
      </c>
      <c r="AD2757" t="s">
        <v>38</v>
      </c>
      <c r="AE2757" t="s">
        <v>476</v>
      </c>
      <c r="AF2757" t="s">
        <v>88</v>
      </c>
      <c r="AG2757">
        <v>2</v>
      </c>
      <c r="AH2757">
        <v>0</v>
      </c>
      <c r="AI2757" t="s">
        <v>477</v>
      </c>
      <c r="AJ2757" t="s">
        <v>51</v>
      </c>
      <c r="AK2757" t="s">
        <v>477</v>
      </c>
    </row>
    <row r="2758" spans="1:37" x14ac:dyDescent="0.2">
      <c r="A2758">
        <v>57676</v>
      </c>
      <c r="B2758" t="s">
        <v>37</v>
      </c>
      <c r="C2758" t="s">
        <v>38</v>
      </c>
      <c r="D2758" t="s">
        <v>464</v>
      </c>
      <c r="E2758" t="s">
        <v>40</v>
      </c>
      <c r="G2758" s="4">
        <v>43945.583715277778</v>
      </c>
      <c r="H2758" s="4">
        <v>43945.583842592593</v>
      </c>
      <c r="I2758" t="s">
        <v>337</v>
      </c>
      <c r="J2758" s="5">
        <v>11.00000000000000000000000000000000000002</v>
      </c>
      <c r="K2758" t="s">
        <v>38</v>
      </c>
      <c r="M2758">
        <v>57689</v>
      </c>
      <c r="N2758" t="s">
        <v>478</v>
      </c>
      <c r="O2758" t="s">
        <v>479</v>
      </c>
      <c r="P2758" t="s">
        <v>38</v>
      </c>
      <c r="Q2758" t="s">
        <v>50</v>
      </c>
      <c r="R2758">
        <v>.9999999999999999999999999999999999999996</v>
      </c>
      <c r="S2758" t="s">
        <v>45</v>
      </c>
      <c r="T2758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58">
        <v>57690</v>
      </c>
      <c r="V2758" t="s">
        <v>38</v>
      </c>
      <c r="W2758" t="s">
        <v>50</v>
      </c>
      <c r="X2758">
        <v>.9999999999999999999999999999999999999996</v>
      </c>
      <c r="Y2758">
        <v>0</v>
      </c>
      <c r="Z2758" t="s">
        <v>46</v>
      </c>
      <c r="AA2758">
        <v>57691</v>
      </c>
      <c r="AB2758" t="s">
        <v>480</v>
      </c>
      <c r="AC2758" t="s">
        <v>68</v>
      </c>
      <c r="AD2758" t="s">
        <v>38</v>
      </c>
      <c r="AE2758" t="s">
        <v>49</v>
      </c>
      <c r="AF2758" t="s">
        <v>50</v>
      </c>
      <c r="AG2758">
        <v>.9999999999999999999999999999999999999996</v>
      </c>
      <c r="AH2758">
        <v>0</v>
      </c>
      <c r="AI2758" t="s">
        <v>51</v>
      </c>
      <c r="AJ2758" t="s">
        <v>51</v>
      </c>
      <c r="AK2758" t="s">
        <v>51</v>
      </c>
    </row>
    <row r="2759" spans="1:37" x14ac:dyDescent="0.2">
      <c r="A2759">
        <v>57676</v>
      </c>
      <c r="B2759" t="s">
        <v>37</v>
      </c>
      <c r="C2759" t="s">
        <v>38</v>
      </c>
      <c r="D2759" t="s">
        <v>464</v>
      </c>
      <c r="E2759" t="s">
        <v>40</v>
      </c>
      <c r="G2759" s="4">
        <v>43945.583715277778</v>
      </c>
      <c r="H2759" s="4">
        <v>43945.583842592593</v>
      </c>
      <c r="I2759" t="s">
        <v>337</v>
      </c>
      <c r="J2759" s="5">
        <v>11.00000000000000000000000000000000000002</v>
      </c>
      <c r="K2759" t="s">
        <v>38</v>
      </c>
      <c r="M2759">
        <v>57686</v>
      </c>
      <c r="N2759" t="s">
        <v>481</v>
      </c>
      <c r="O2759" t="s">
        <v>482</v>
      </c>
      <c r="P2759" t="s">
        <v>38</v>
      </c>
      <c r="Q2759" t="s">
        <v>88</v>
      </c>
      <c r="R2759">
        <v>2</v>
      </c>
      <c r="S2759" t="s">
        <v>45</v>
      </c>
      <c r="T2759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59">
        <v>57687</v>
      </c>
      <c r="V2759" t="s">
        <v>38</v>
      </c>
      <c r="W2759" t="s">
        <v>50</v>
      </c>
      <c r="X2759">
        <v>.9999999999999999999999999999999999999996</v>
      </c>
      <c r="Y2759">
        <v>0</v>
      </c>
      <c r="Z2759" t="s">
        <v>46</v>
      </c>
      <c r="AA2759">
        <v>57688</v>
      </c>
      <c r="AB2759" t="s">
        <v>483</v>
      </c>
      <c r="AC2759" t="s">
        <v>68</v>
      </c>
      <c r="AD2759" t="s">
        <v>38</v>
      </c>
      <c r="AE2759" t="s">
        <v>49</v>
      </c>
      <c r="AF2759" t="s">
        <v>50</v>
      </c>
      <c r="AG2759">
        <v>.9999999999999999999999999999999999999996</v>
      </c>
      <c r="AH2759">
        <v>1</v>
      </c>
      <c r="AI2759" t="s">
        <v>51</v>
      </c>
      <c r="AJ2759" t="s">
        <v>51</v>
      </c>
      <c r="AK2759" t="s">
        <v>51</v>
      </c>
    </row>
    <row r="2760" spans="1:37" x14ac:dyDescent="0.2">
      <c r="A2760">
        <v>57676</v>
      </c>
      <c r="B2760" t="s">
        <v>37</v>
      </c>
      <c r="C2760" t="s">
        <v>38</v>
      </c>
      <c r="D2760" t="s">
        <v>464</v>
      </c>
      <c r="E2760" t="s">
        <v>40</v>
      </c>
      <c r="G2760" s="4">
        <v>43945.583715277778</v>
      </c>
      <c r="H2760" s="4">
        <v>43945.583842592593</v>
      </c>
      <c r="I2760" t="s">
        <v>337</v>
      </c>
      <c r="J2760" s="5">
        <v>11.00000000000000000000000000000000000002</v>
      </c>
      <c r="K2760" t="s">
        <v>38</v>
      </c>
      <c r="M2760">
        <v>57683</v>
      </c>
      <c r="N2760" t="s">
        <v>484</v>
      </c>
      <c r="O2760" t="s">
        <v>485</v>
      </c>
      <c r="P2760" t="s">
        <v>38</v>
      </c>
      <c r="Q2760" t="s">
        <v>50</v>
      </c>
      <c r="R2760">
        <v>0</v>
      </c>
      <c r="S2760" t="s">
        <v>45</v>
      </c>
      <c r="T2760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60">
        <v>57684</v>
      </c>
      <c r="V2760" t="s">
        <v>38</v>
      </c>
      <c r="W2760" t="s">
        <v>50</v>
      </c>
      <c r="X2760">
        <v>0</v>
      </c>
      <c r="Y2760">
        <v>0</v>
      </c>
      <c r="Z2760" t="s">
        <v>46</v>
      </c>
      <c r="AA2760">
        <v>57685</v>
      </c>
      <c r="AB2760" t="s">
        <v>2159</v>
      </c>
      <c r="AC2760" t="s">
        <v>68</v>
      </c>
      <c r="AD2760" t="s">
        <v>38</v>
      </c>
      <c r="AE2760" t="s">
        <v>49</v>
      </c>
      <c r="AF2760" t="s">
        <v>50</v>
      </c>
      <c r="AG2760">
        <v>0</v>
      </c>
      <c r="AH2760">
        <v>0</v>
      </c>
      <c r="AI2760" t="s">
        <v>51</v>
      </c>
      <c r="AJ2760" t="s">
        <v>51</v>
      </c>
      <c r="AK2760" t="s">
        <v>51</v>
      </c>
    </row>
    <row r="2761" spans="1:37" x14ac:dyDescent="0.2">
      <c r="A2761">
        <v>57676</v>
      </c>
      <c r="B2761" t="s">
        <v>37</v>
      </c>
      <c r="C2761" t="s">
        <v>38</v>
      </c>
      <c r="D2761" t="s">
        <v>464</v>
      </c>
      <c r="E2761" t="s">
        <v>40</v>
      </c>
      <c r="G2761" s="4">
        <v>43945.583715277778</v>
      </c>
      <c r="H2761" s="4">
        <v>43945.583842592593</v>
      </c>
      <c r="I2761" t="s">
        <v>337</v>
      </c>
      <c r="J2761" s="5">
        <v>11.00000000000000000000000000000000000002</v>
      </c>
      <c r="K2761" t="s">
        <v>38</v>
      </c>
      <c r="M2761">
        <v>57680</v>
      </c>
      <c r="N2761" t="s">
        <v>487</v>
      </c>
      <c r="O2761" t="s">
        <v>488</v>
      </c>
      <c r="P2761" t="s">
        <v>38</v>
      </c>
      <c r="Q2761" t="s">
        <v>50</v>
      </c>
      <c r="R2761">
        <v>0</v>
      </c>
      <c r="S2761" t="s">
        <v>45</v>
      </c>
      <c r="T2761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61">
        <v>57681</v>
      </c>
      <c r="V2761" t="s">
        <v>38</v>
      </c>
      <c r="W2761" t="s">
        <v>50</v>
      </c>
      <c r="X2761">
        <v>0</v>
      </c>
      <c r="Y2761">
        <v>0</v>
      </c>
      <c r="Z2761" t="s">
        <v>46</v>
      </c>
      <c r="AA2761">
        <v>57682</v>
      </c>
      <c r="AB2761" t="s">
        <v>489</v>
      </c>
      <c r="AC2761" t="s">
        <v>68</v>
      </c>
      <c r="AD2761" t="s">
        <v>38</v>
      </c>
      <c r="AE2761" t="s">
        <v>49</v>
      </c>
      <c r="AF2761" t="s">
        <v>50</v>
      </c>
      <c r="AG2761">
        <v>0</v>
      </c>
      <c r="AH2761">
        <v>0</v>
      </c>
      <c r="AI2761" t="s">
        <v>51</v>
      </c>
      <c r="AJ2761" t="s">
        <v>51</v>
      </c>
      <c r="AK2761" t="s">
        <v>51</v>
      </c>
    </row>
    <row r="2762" spans="1:37" x14ac:dyDescent="0.2">
      <c r="A2762">
        <v>57676</v>
      </c>
      <c r="B2762" t="s">
        <v>37</v>
      </c>
      <c r="C2762" t="s">
        <v>38</v>
      </c>
      <c r="D2762" t="s">
        <v>464</v>
      </c>
      <c r="E2762" t="s">
        <v>40</v>
      </c>
      <c r="G2762" s="4">
        <v>43945.583715277778</v>
      </c>
      <c r="H2762" s="4">
        <v>43945.583842592593</v>
      </c>
      <c r="I2762" t="s">
        <v>337</v>
      </c>
      <c r="J2762" s="5">
        <v>11.00000000000000000000000000000000000002</v>
      </c>
      <c r="K2762" t="s">
        <v>38</v>
      </c>
      <c r="M2762">
        <v>57677</v>
      </c>
      <c r="N2762" t="s">
        <v>490</v>
      </c>
      <c r="O2762" t="s">
        <v>491</v>
      </c>
      <c r="P2762" t="s">
        <v>38</v>
      </c>
      <c r="Q2762" t="s">
        <v>50</v>
      </c>
      <c r="R2762">
        <v>0</v>
      </c>
      <c r="S2762" t="s">
        <v>45</v>
      </c>
      <c r="T2762" t="str" s="2">
        <f>=HYPERLINK("http://demo.enginatics.com:80/ecc/user/applications/log/57676.log","http://demo.enginatics.com:80/ecc/user/applications/log/57676.log")</f>
        <v>"http://demo.enginatics.com:80/ecc/user/applications/log/57676.log")</v>
      </c>
      <c r="U2762">
        <v>57678</v>
      </c>
      <c r="V2762" t="s">
        <v>38</v>
      </c>
      <c r="W2762" t="s">
        <v>50</v>
      </c>
      <c r="X2762">
        <v>0</v>
      </c>
      <c r="Y2762">
        <v>0</v>
      </c>
      <c r="Z2762" t="s">
        <v>46</v>
      </c>
      <c r="AA2762">
        <v>57679</v>
      </c>
      <c r="AB2762" t="s">
        <v>2160</v>
      </c>
      <c r="AC2762" t="s">
        <v>68</v>
      </c>
      <c r="AD2762" t="s">
        <v>38</v>
      </c>
      <c r="AE2762" t="s">
        <v>49</v>
      </c>
      <c r="AF2762" t="s">
        <v>50</v>
      </c>
      <c r="AG2762">
        <v>0</v>
      </c>
      <c r="AH2762">
        <v>0</v>
      </c>
      <c r="AI2762" t="s">
        <v>51</v>
      </c>
      <c r="AJ2762" t="s">
        <v>51</v>
      </c>
      <c r="AK2762" t="s">
        <v>51</v>
      </c>
    </row>
    <row r="2763" spans="1:37" x14ac:dyDescent="0.2">
      <c r="A2763">
        <v>57651</v>
      </c>
      <c r="B2763" t="s">
        <v>37</v>
      </c>
      <c r="C2763" t="s">
        <v>38</v>
      </c>
      <c r="D2763" t="s">
        <v>464</v>
      </c>
      <c r="E2763" t="s">
        <v>40</v>
      </c>
      <c r="G2763" s="4">
        <v>43945.580891203704</v>
      </c>
      <c r="H2763" s="4">
        <v>43945.581030092593</v>
      </c>
      <c r="I2763" t="s">
        <v>236</v>
      </c>
      <c r="J2763" s="5">
        <v>12.00000000000000000000000000000000000001</v>
      </c>
      <c r="K2763" t="s">
        <v>38</v>
      </c>
      <c r="M2763">
        <v>57673</v>
      </c>
      <c r="N2763" t="s">
        <v>465</v>
      </c>
      <c r="O2763" t="s">
        <v>466</v>
      </c>
      <c r="P2763" t="s">
        <v>38</v>
      </c>
      <c r="Q2763" t="s">
        <v>78</v>
      </c>
      <c r="R2763">
        <v>5</v>
      </c>
      <c r="S2763" t="s">
        <v>45</v>
      </c>
      <c r="T2763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3">
        <v>57674</v>
      </c>
      <c r="V2763" t="s">
        <v>38</v>
      </c>
      <c r="W2763" t="s">
        <v>78</v>
      </c>
      <c r="X2763">
        <v>5</v>
      </c>
      <c r="Y2763">
        <v>0</v>
      </c>
      <c r="Z2763" t="s">
        <v>46</v>
      </c>
      <c r="AA2763">
        <v>57675</v>
      </c>
      <c r="AB2763" t="s">
        <v>467</v>
      </c>
      <c r="AC2763" t="s">
        <v>68</v>
      </c>
      <c r="AD2763" t="s">
        <v>38</v>
      </c>
      <c r="AE2763" t="s">
        <v>468</v>
      </c>
      <c r="AF2763" t="s">
        <v>78</v>
      </c>
      <c r="AG2763">
        <v>5</v>
      </c>
      <c r="AH2763">
        <v>0</v>
      </c>
      <c r="AI2763" t="s">
        <v>469</v>
      </c>
      <c r="AJ2763" t="s">
        <v>51</v>
      </c>
      <c r="AK2763" t="s">
        <v>469</v>
      </c>
    </row>
    <row r="2764" spans="1:37" x14ac:dyDescent="0.2">
      <c r="A2764">
        <v>57651</v>
      </c>
      <c r="B2764" t="s">
        <v>37</v>
      </c>
      <c r="C2764" t="s">
        <v>38</v>
      </c>
      <c r="D2764" t="s">
        <v>464</v>
      </c>
      <c r="E2764" t="s">
        <v>40</v>
      </c>
      <c r="G2764" s="4">
        <v>43945.580891203704</v>
      </c>
      <c r="H2764" s="4">
        <v>43945.581030092593</v>
      </c>
      <c r="I2764" t="s">
        <v>236</v>
      </c>
      <c r="J2764" s="5">
        <v>12.00000000000000000000000000000000000001</v>
      </c>
      <c r="K2764" t="s">
        <v>38</v>
      </c>
      <c r="M2764">
        <v>57670</v>
      </c>
      <c r="N2764" t="s">
        <v>470</v>
      </c>
      <c r="O2764" t="s">
        <v>471</v>
      </c>
      <c r="P2764" t="s">
        <v>38</v>
      </c>
      <c r="Q2764" t="s">
        <v>50</v>
      </c>
      <c r="R2764">
        <v>0</v>
      </c>
      <c r="S2764" t="s">
        <v>45</v>
      </c>
      <c r="T2764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4">
        <v>57671</v>
      </c>
      <c r="V2764" t="s">
        <v>38</v>
      </c>
      <c r="W2764" t="s">
        <v>50</v>
      </c>
      <c r="X2764">
        <v>0</v>
      </c>
      <c r="Y2764">
        <v>0</v>
      </c>
      <c r="Z2764" t="s">
        <v>46</v>
      </c>
      <c r="AA2764">
        <v>57672</v>
      </c>
      <c r="AB2764" t="s">
        <v>472</v>
      </c>
      <c r="AC2764" t="s">
        <v>68</v>
      </c>
      <c r="AD2764" t="s">
        <v>38</v>
      </c>
      <c r="AE2764" t="s">
        <v>49</v>
      </c>
      <c r="AF2764" t="s">
        <v>50</v>
      </c>
      <c r="AG2764">
        <v>0</v>
      </c>
      <c r="AH2764">
        <v>0</v>
      </c>
      <c r="AI2764" t="s">
        <v>51</v>
      </c>
      <c r="AJ2764" t="s">
        <v>51</v>
      </c>
      <c r="AK2764" t="s">
        <v>51</v>
      </c>
    </row>
    <row r="2765" spans="1:37" x14ac:dyDescent="0.2">
      <c r="A2765">
        <v>57651</v>
      </c>
      <c r="B2765" t="s">
        <v>37</v>
      </c>
      <c r="C2765" t="s">
        <v>38</v>
      </c>
      <c r="D2765" t="s">
        <v>464</v>
      </c>
      <c r="E2765" t="s">
        <v>40</v>
      </c>
      <c r="G2765" s="4">
        <v>43945.580891203704</v>
      </c>
      <c r="H2765" s="4">
        <v>43945.581030092593</v>
      </c>
      <c r="I2765" t="s">
        <v>236</v>
      </c>
      <c r="J2765" s="5">
        <v>12.00000000000000000000000000000000000001</v>
      </c>
      <c r="K2765" t="s">
        <v>38</v>
      </c>
      <c r="M2765">
        <v>57667</v>
      </c>
      <c r="N2765" t="s">
        <v>473</v>
      </c>
      <c r="O2765" t="s">
        <v>474</v>
      </c>
      <c r="P2765" t="s">
        <v>38</v>
      </c>
      <c r="Q2765" t="s">
        <v>88</v>
      </c>
      <c r="R2765">
        <v>2</v>
      </c>
      <c r="S2765" t="s">
        <v>45</v>
      </c>
      <c r="T2765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5">
        <v>57668</v>
      </c>
      <c r="V2765" t="s">
        <v>38</v>
      </c>
      <c r="W2765" t="s">
        <v>88</v>
      </c>
      <c r="X2765">
        <v>2</v>
      </c>
      <c r="Y2765">
        <v>0</v>
      </c>
      <c r="Z2765" t="s">
        <v>46</v>
      </c>
      <c r="AA2765">
        <v>57669</v>
      </c>
      <c r="AB2765" t="s">
        <v>475</v>
      </c>
      <c r="AC2765" t="s">
        <v>68</v>
      </c>
      <c r="AD2765" t="s">
        <v>38</v>
      </c>
      <c r="AE2765" t="s">
        <v>476</v>
      </c>
      <c r="AF2765" t="s">
        <v>88</v>
      </c>
      <c r="AG2765">
        <v>2</v>
      </c>
      <c r="AH2765">
        <v>0</v>
      </c>
      <c r="AI2765" t="s">
        <v>477</v>
      </c>
      <c r="AJ2765" t="s">
        <v>51</v>
      </c>
      <c r="AK2765" t="s">
        <v>477</v>
      </c>
    </row>
    <row r="2766" spans="1:37" x14ac:dyDescent="0.2">
      <c r="A2766">
        <v>57651</v>
      </c>
      <c r="B2766" t="s">
        <v>37</v>
      </c>
      <c r="C2766" t="s">
        <v>38</v>
      </c>
      <c r="D2766" t="s">
        <v>464</v>
      </c>
      <c r="E2766" t="s">
        <v>40</v>
      </c>
      <c r="G2766" s="4">
        <v>43945.580891203704</v>
      </c>
      <c r="H2766" s="4">
        <v>43945.581030092593</v>
      </c>
      <c r="I2766" t="s">
        <v>236</v>
      </c>
      <c r="J2766" s="5">
        <v>12.00000000000000000000000000000000000001</v>
      </c>
      <c r="K2766" t="s">
        <v>38</v>
      </c>
      <c r="M2766">
        <v>57664</v>
      </c>
      <c r="N2766" t="s">
        <v>478</v>
      </c>
      <c r="O2766" t="s">
        <v>479</v>
      </c>
      <c r="P2766" t="s">
        <v>38</v>
      </c>
      <c r="Q2766" t="s">
        <v>88</v>
      </c>
      <c r="R2766">
        <v>2</v>
      </c>
      <c r="S2766" t="s">
        <v>45</v>
      </c>
      <c r="T2766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6">
        <v>57665</v>
      </c>
      <c r="V2766" t="s">
        <v>38</v>
      </c>
      <c r="W2766" t="s">
        <v>88</v>
      </c>
      <c r="X2766">
        <v>2</v>
      </c>
      <c r="Y2766">
        <v>0</v>
      </c>
      <c r="Z2766" t="s">
        <v>46</v>
      </c>
      <c r="AA2766">
        <v>57666</v>
      </c>
      <c r="AB2766" t="s">
        <v>480</v>
      </c>
      <c r="AC2766" t="s">
        <v>68</v>
      </c>
      <c r="AD2766" t="s">
        <v>38</v>
      </c>
      <c r="AE2766" t="s">
        <v>49</v>
      </c>
      <c r="AF2766" t="s">
        <v>50</v>
      </c>
      <c r="AG2766">
        <v>.9999999999999999999999999999999999999996</v>
      </c>
      <c r="AH2766">
        <v>0</v>
      </c>
      <c r="AI2766" t="s">
        <v>51</v>
      </c>
      <c r="AJ2766" t="s">
        <v>51</v>
      </c>
      <c r="AK2766" t="s">
        <v>51</v>
      </c>
    </row>
    <row r="2767" spans="1:37" x14ac:dyDescent="0.2">
      <c r="A2767">
        <v>57651</v>
      </c>
      <c r="B2767" t="s">
        <v>37</v>
      </c>
      <c r="C2767" t="s">
        <v>38</v>
      </c>
      <c r="D2767" t="s">
        <v>464</v>
      </c>
      <c r="E2767" t="s">
        <v>40</v>
      </c>
      <c r="G2767" s="4">
        <v>43945.580891203704</v>
      </c>
      <c r="H2767" s="4">
        <v>43945.581030092593</v>
      </c>
      <c r="I2767" t="s">
        <v>236</v>
      </c>
      <c r="J2767" s="5">
        <v>12.00000000000000000000000000000000000001</v>
      </c>
      <c r="K2767" t="s">
        <v>38</v>
      </c>
      <c r="M2767">
        <v>57661</v>
      </c>
      <c r="N2767" t="s">
        <v>481</v>
      </c>
      <c r="O2767" t="s">
        <v>482</v>
      </c>
      <c r="P2767" t="s">
        <v>38</v>
      </c>
      <c r="Q2767" t="s">
        <v>50</v>
      </c>
      <c r="R2767">
        <v>0</v>
      </c>
      <c r="S2767" t="s">
        <v>45</v>
      </c>
      <c r="T2767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7">
        <v>57662</v>
      </c>
      <c r="V2767" t="s">
        <v>38</v>
      </c>
      <c r="W2767" t="s">
        <v>50</v>
      </c>
      <c r="X2767">
        <v>0</v>
      </c>
      <c r="Y2767">
        <v>0</v>
      </c>
      <c r="Z2767" t="s">
        <v>46</v>
      </c>
      <c r="AA2767">
        <v>57663</v>
      </c>
      <c r="AB2767" t="s">
        <v>483</v>
      </c>
      <c r="AC2767" t="s">
        <v>68</v>
      </c>
      <c r="AD2767" t="s">
        <v>38</v>
      </c>
      <c r="AE2767" t="s">
        <v>49</v>
      </c>
      <c r="AF2767" t="s">
        <v>50</v>
      </c>
      <c r="AG2767">
        <v>0</v>
      </c>
      <c r="AH2767">
        <v>0</v>
      </c>
      <c r="AI2767" t="s">
        <v>51</v>
      </c>
      <c r="AJ2767" t="s">
        <v>51</v>
      </c>
      <c r="AK2767" t="s">
        <v>51</v>
      </c>
    </row>
    <row r="2768" spans="1:37" x14ac:dyDescent="0.2">
      <c r="A2768">
        <v>57651</v>
      </c>
      <c r="B2768" t="s">
        <v>37</v>
      </c>
      <c r="C2768" t="s">
        <v>38</v>
      </c>
      <c r="D2768" t="s">
        <v>464</v>
      </c>
      <c r="E2768" t="s">
        <v>40</v>
      </c>
      <c r="G2768" s="4">
        <v>43945.580891203704</v>
      </c>
      <c r="H2768" s="4">
        <v>43945.581030092593</v>
      </c>
      <c r="I2768" t="s">
        <v>236</v>
      </c>
      <c r="J2768" s="5">
        <v>12.00000000000000000000000000000000000001</v>
      </c>
      <c r="K2768" t="s">
        <v>38</v>
      </c>
      <c r="M2768">
        <v>57658</v>
      </c>
      <c r="N2768" t="s">
        <v>484</v>
      </c>
      <c r="O2768" t="s">
        <v>485</v>
      </c>
      <c r="P2768" t="s">
        <v>38</v>
      </c>
      <c r="Q2768" t="s">
        <v>50</v>
      </c>
      <c r="R2768">
        <v>0</v>
      </c>
      <c r="S2768" t="s">
        <v>45</v>
      </c>
      <c r="T2768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8">
        <v>57659</v>
      </c>
      <c r="V2768" t="s">
        <v>38</v>
      </c>
      <c r="W2768" t="s">
        <v>50</v>
      </c>
      <c r="X2768">
        <v>0</v>
      </c>
      <c r="Y2768">
        <v>0</v>
      </c>
      <c r="Z2768" t="s">
        <v>46</v>
      </c>
      <c r="AA2768">
        <v>57660</v>
      </c>
      <c r="AB2768" t="s">
        <v>2161</v>
      </c>
      <c r="AC2768" t="s">
        <v>68</v>
      </c>
      <c r="AD2768" t="s">
        <v>38</v>
      </c>
      <c r="AE2768" t="s">
        <v>49</v>
      </c>
      <c r="AF2768" t="s">
        <v>50</v>
      </c>
      <c r="AG2768">
        <v>0</v>
      </c>
      <c r="AH2768">
        <v>0</v>
      </c>
      <c r="AI2768" t="s">
        <v>51</v>
      </c>
      <c r="AJ2768" t="s">
        <v>51</v>
      </c>
      <c r="AK2768" t="s">
        <v>51</v>
      </c>
    </row>
    <row r="2769" spans="1:37" x14ac:dyDescent="0.2">
      <c r="A2769">
        <v>57651</v>
      </c>
      <c r="B2769" t="s">
        <v>37</v>
      </c>
      <c r="C2769" t="s">
        <v>38</v>
      </c>
      <c r="D2769" t="s">
        <v>464</v>
      </c>
      <c r="E2769" t="s">
        <v>40</v>
      </c>
      <c r="G2769" s="4">
        <v>43945.580891203704</v>
      </c>
      <c r="H2769" s="4">
        <v>43945.581030092593</v>
      </c>
      <c r="I2769" t="s">
        <v>236</v>
      </c>
      <c r="J2769" s="5">
        <v>12.00000000000000000000000000000000000001</v>
      </c>
      <c r="K2769" t="s">
        <v>38</v>
      </c>
      <c r="M2769">
        <v>57655</v>
      </c>
      <c r="N2769" t="s">
        <v>487</v>
      </c>
      <c r="O2769" t="s">
        <v>488</v>
      </c>
      <c r="P2769" t="s">
        <v>38</v>
      </c>
      <c r="Q2769" t="s">
        <v>50</v>
      </c>
      <c r="R2769">
        <v>.9999999999999999999999999999999999999996</v>
      </c>
      <c r="S2769" t="s">
        <v>45</v>
      </c>
      <c r="T2769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69">
        <v>57656</v>
      </c>
      <c r="V2769" t="s">
        <v>38</v>
      </c>
      <c r="W2769" t="s">
        <v>50</v>
      </c>
      <c r="X2769">
        <v>.9999999999999999999999999999999999999996</v>
      </c>
      <c r="Y2769">
        <v>0</v>
      </c>
      <c r="Z2769" t="s">
        <v>46</v>
      </c>
      <c r="AA2769">
        <v>57657</v>
      </c>
      <c r="AB2769" t="s">
        <v>489</v>
      </c>
      <c r="AC2769" t="s">
        <v>68</v>
      </c>
      <c r="AD2769" t="s">
        <v>38</v>
      </c>
      <c r="AE2769" t="s">
        <v>49</v>
      </c>
      <c r="AF2769" t="s">
        <v>50</v>
      </c>
      <c r="AG2769">
        <v>.9999999999999999999999999999999999999996</v>
      </c>
      <c r="AH2769">
        <v>0</v>
      </c>
      <c r="AI2769" t="s">
        <v>51</v>
      </c>
      <c r="AJ2769" t="s">
        <v>51</v>
      </c>
      <c r="AK2769" t="s">
        <v>51</v>
      </c>
    </row>
    <row r="2770" spans="1:37" x14ac:dyDescent="0.2">
      <c r="A2770">
        <v>57651</v>
      </c>
      <c r="B2770" t="s">
        <v>37</v>
      </c>
      <c r="C2770" t="s">
        <v>38</v>
      </c>
      <c r="D2770" t="s">
        <v>464</v>
      </c>
      <c r="E2770" t="s">
        <v>40</v>
      </c>
      <c r="G2770" s="4">
        <v>43945.580891203704</v>
      </c>
      <c r="H2770" s="4">
        <v>43945.581030092593</v>
      </c>
      <c r="I2770" t="s">
        <v>236</v>
      </c>
      <c r="J2770" s="5">
        <v>12.00000000000000000000000000000000000001</v>
      </c>
      <c r="K2770" t="s">
        <v>38</v>
      </c>
      <c r="M2770">
        <v>57652</v>
      </c>
      <c r="N2770" t="s">
        <v>490</v>
      </c>
      <c r="O2770" t="s">
        <v>491</v>
      </c>
      <c r="P2770" t="s">
        <v>38</v>
      </c>
      <c r="Q2770" t="s">
        <v>88</v>
      </c>
      <c r="R2770">
        <v>2</v>
      </c>
      <c r="S2770" t="s">
        <v>45</v>
      </c>
      <c r="T2770" t="str" s="2">
        <f>=HYPERLINK("http://demo.enginatics.com:80/ecc/user/applications/log/57651.log","http://demo.enginatics.com:80/ecc/user/applications/log/57651.log")</f>
        <v>"http://demo.enginatics.com:80/ecc/user/applications/log/57651.log")</v>
      </c>
      <c r="U2770">
        <v>57653</v>
      </c>
      <c r="V2770" t="s">
        <v>38</v>
      </c>
      <c r="W2770" t="s">
        <v>88</v>
      </c>
      <c r="X2770">
        <v>2</v>
      </c>
      <c r="Y2770">
        <v>0</v>
      </c>
      <c r="Z2770" t="s">
        <v>46</v>
      </c>
      <c r="AA2770">
        <v>57654</v>
      </c>
      <c r="AB2770" t="s">
        <v>2162</v>
      </c>
      <c r="AC2770" t="s">
        <v>68</v>
      </c>
      <c r="AD2770" t="s">
        <v>38</v>
      </c>
      <c r="AE2770" t="s">
        <v>49</v>
      </c>
      <c r="AF2770" t="s">
        <v>50</v>
      </c>
      <c r="AG2770">
        <v>0</v>
      </c>
      <c r="AH2770">
        <v>0</v>
      </c>
      <c r="AI2770" t="s">
        <v>51</v>
      </c>
      <c r="AJ2770" t="s">
        <v>51</v>
      </c>
      <c r="AK2770" t="s">
        <v>51</v>
      </c>
    </row>
    <row r="2771" spans="1:37" x14ac:dyDescent="0.2">
      <c r="A2771">
        <v>57647</v>
      </c>
      <c r="B2771" t="s">
        <v>37</v>
      </c>
      <c r="C2771" t="s">
        <v>38</v>
      </c>
      <c r="D2771" t="s">
        <v>495</v>
      </c>
      <c r="E2771" t="s">
        <v>40</v>
      </c>
      <c r="G2771" s="4">
        <v>43945.578530092593</v>
      </c>
      <c r="H2771" s="4">
        <v>43945.578703703704</v>
      </c>
      <c r="I2771" t="s">
        <v>315</v>
      </c>
      <c r="J2771" s="5">
        <v>14.99999999999999999999999999999999999999</v>
      </c>
      <c r="K2771" t="s">
        <v>38</v>
      </c>
      <c r="M2771">
        <v>57648</v>
      </c>
      <c r="N2771" t="s">
        <v>496</v>
      </c>
      <c r="O2771" t="s">
        <v>497</v>
      </c>
      <c r="P2771" t="s">
        <v>38</v>
      </c>
      <c r="Q2771" t="s">
        <v>315</v>
      </c>
      <c r="R2771">
        <v>14.99999999999999999999999999999999999999</v>
      </c>
      <c r="S2771" t="s">
        <v>45</v>
      </c>
      <c r="T2771" t="str" s="2">
        <f>=HYPERLINK("http://demo.enginatics.com:80/ecc/user/applications/log/57647.log","http://demo.enginatics.com:80/ecc/user/applications/log/57647.log")</f>
        <v>"http://demo.enginatics.com:80/ecc/user/applications/log/57647.log")</v>
      </c>
      <c r="U2771">
        <v>57649</v>
      </c>
      <c r="V2771" t="s">
        <v>38</v>
      </c>
      <c r="W2771" t="s">
        <v>315</v>
      </c>
      <c r="X2771">
        <v>14.99999999999999999999999999999999999999</v>
      </c>
      <c r="Y2771">
        <v>0</v>
      </c>
      <c r="Z2771" t="s">
        <v>46</v>
      </c>
      <c r="AA2771">
        <v>57650</v>
      </c>
      <c r="AB2771" t="s">
        <v>2163</v>
      </c>
      <c r="AC2771" t="s">
        <v>97</v>
      </c>
      <c r="AD2771" t="s">
        <v>38</v>
      </c>
      <c r="AE2771" t="s">
        <v>49</v>
      </c>
      <c r="AF2771" t="s">
        <v>315</v>
      </c>
      <c r="AG2771">
        <v>14.99999999999999999999999999999999999999</v>
      </c>
      <c r="AH2771">
        <v>14</v>
      </c>
      <c r="AI2771" t="s">
        <v>51</v>
      </c>
      <c r="AJ2771" t="s">
        <v>51</v>
      </c>
      <c r="AK2771" t="s">
        <v>51</v>
      </c>
    </row>
    <row r="2772" spans="1:37" x14ac:dyDescent="0.2">
      <c r="A2772">
        <v>57637</v>
      </c>
      <c r="B2772" t="s">
        <v>37</v>
      </c>
      <c r="C2772" t="s">
        <v>38</v>
      </c>
      <c r="D2772" t="s">
        <v>499</v>
      </c>
      <c r="E2772" t="s">
        <v>40</v>
      </c>
      <c r="G2772" s="4">
        <v>43945.56849537037</v>
      </c>
      <c r="H2772" s="4">
        <v>43945.568530092593</v>
      </c>
      <c r="I2772" t="s">
        <v>85</v>
      </c>
      <c r="J2772" s="5">
        <v>3</v>
      </c>
      <c r="K2772" t="s">
        <v>38</v>
      </c>
      <c r="M2772">
        <v>57644</v>
      </c>
      <c r="N2772" t="s">
        <v>500</v>
      </c>
      <c r="O2772" t="s">
        <v>501</v>
      </c>
      <c r="P2772" t="s">
        <v>38</v>
      </c>
      <c r="Q2772" t="s">
        <v>50</v>
      </c>
      <c r="R2772">
        <v>0</v>
      </c>
      <c r="S2772" t="s">
        <v>45</v>
      </c>
      <c r="T2772" t="str" s="2">
        <f>=HYPERLINK("http://demo.enginatics.com:80/ecc/user/applications/log/57637.log","http://demo.enginatics.com:80/ecc/user/applications/log/57637.log")</f>
        <v>"http://demo.enginatics.com:80/ecc/user/applications/log/57637.log")</v>
      </c>
      <c r="U2772">
        <v>57645</v>
      </c>
      <c r="V2772" t="s">
        <v>38</v>
      </c>
      <c r="W2772" t="s">
        <v>50</v>
      </c>
      <c r="X2772">
        <v>0</v>
      </c>
      <c r="Y2772">
        <v>0</v>
      </c>
      <c r="Z2772" t="s">
        <v>46</v>
      </c>
      <c r="AA2772">
        <v>57646</v>
      </c>
      <c r="AB2772" t="s">
        <v>2164</v>
      </c>
      <c r="AC2772" t="s">
        <v>68</v>
      </c>
      <c r="AD2772" t="s">
        <v>38</v>
      </c>
      <c r="AE2772" t="s">
        <v>49</v>
      </c>
      <c r="AF2772" t="s">
        <v>50</v>
      </c>
      <c r="AG2772">
        <v>0</v>
      </c>
      <c r="AH2772">
        <v>0</v>
      </c>
      <c r="AI2772" t="s">
        <v>51</v>
      </c>
      <c r="AJ2772" t="s">
        <v>51</v>
      </c>
      <c r="AK2772" t="s">
        <v>51</v>
      </c>
    </row>
    <row r="2773" spans="1:37" x14ac:dyDescent="0.2">
      <c r="A2773">
        <v>57637</v>
      </c>
      <c r="B2773" t="s">
        <v>37</v>
      </c>
      <c r="C2773" t="s">
        <v>38</v>
      </c>
      <c r="D2773" t="s">
        <v>499</v>
      </c>
      <c r="E2773" t="s">
        <v>40</v>
      </c>
      <c r="G2773" s="4">
        <v>43945.56849537037</v>
      </c>
      <c r="H2773" s="4">
        <v>43945.568530092593</v>
      </c>
      <c r="I2773" t="s">
        <v>85</v>
      </c>
      <c r="J2773" s="5">
        <v>3</v>
      </c>
      <c r="K2773" t="s">
        <v>38</v>
      </c>
      <c r="M2773">
        <v>57641</v>
      </c>
      <c r="N2773" t="s">
        <v>503</v>
      </c>
      <c r="O2773" t="s">
        <v>504</v>
      </c>
      <c r="P2773" t="s">
        <v>38</v>
      </c>
      <c r="Q2773" t="s">
        <v>88</v>
      </c>
      <c r="R2773">
        <v>2</v>
      </c>
      <c r="S2773" t="s">
        <v>45</v>
      </c>
      <c r="T2773" t="str" s="2">
        <f>=HYPERLINK("http://demo.enginatics.com:80/ecc/user/applications/log/57637.log","http://demo.enginatics.com:80/ecc/user/applications/log/57637.log")</f>
        <v>"http://demo.enginatics.com:80/ecc/user/applications/log/57637.log")</v>
      </c>
      <c r="U2773">
        <v>57642</v>
      </c>
      <c r="V2773" t="s">
        <v>38</v>
      </c>
      <c r="W2773" t="s">
        <v>88</v>
      </c>
      <c r="X2773">
        <v>2</v>
      </c>
      <c r="Y2773">
        <v>0</v>
      </c>
      <c r="Z2773" t="s">
        <v>46</v>
      </c>
      <c r="AA2773">
        <v>57643</v>
      </c>
      <c r="AB2773" t="s">
        <v>505</v>
      </c>
      <c r="AC2773" t="s">
        <v>68</v>
      </c>
      <c r="AD2773" t="s">
        <v>38</v>
      </c>
      <c r="AE2773" t="s">
        <v>49</v>
      </c>
      <c r="AF2773" t="s">
        <v>88</v>
      </c>
      <c r="AG2773">
        <v>2</v>
      </c>
      <c r="AH2773">
        <v>1</v>
      </c>
      <c r="AI2773" t="s">
        <v>51</v>
      </c>
      <c r="AJ2773" t="s">
        <v>51</v>
      </c>
      <c r="AK2773" t="s">
        <v>51</v>
      </c>
    </row>
    <row r="2774" spans="1:37" x14ac:dyDescent="0.2">
      <c r="A2774">
        <v>57637</v>
      </c>
      <c r="B2774" t="s">
        <v>37</v>
      </c>
      <c r="C2774" t="s">
        <v>38</v>
      </c>
      <c r="D2774" t="s">
        <v>499</v>
      </c>
      <c r="E2774" t="s">
        <v>40</v>
      </c>
      <c r="G2774" s="4">
        <v>43945.56849537037</v>
      </c>
      <c r="H2774" s="4">
        <v>43945.568530092593</v>
      </c>
      <c r="I2774" t="s">
        <v>85</v>
      </c>
      <c r="J2774" s="5">
        <v>3</v>
      </c>
      <c r="K2774" t="s">
        <v>38</v>
      </c>
      <c r="M2774">
        <v>57638</v>
      </c>
      <c r="N2774" t="s">
        <v>506</v>
      </c>
      <c r="O2774" t="s">
        <v>507</v>
      </c>
      <c r="P2774" t="s">
        <v>38</v>
      </c>
      <c r="Q2774" t="s">
        <v>50</v>
      </c>
      <c r="R2774">
        <v>.9999999999999999999999999999999999999996</v>
      </c>
      <c r="S2774" t="s">
        <v>45</v>
      </c>
      <c r="T2774" t="str" s="2">
        <f>=HYPERLINK("http://demo.enginatics.com:80/ecc/user/applications/log/57637.log","http://demo.enginatics.com:80/ecc/user/applications/log/57637.log")</f>
        <v>"http://demo.enginatics.com:80/ecc/user/applications/log/57637.log")</v>
      </c>
      <c r="U2774">
        <v>57639</v>
      </c>
      <c r="V2774" t="s">
        <v>38</v>
      </c>
      <c r="W2774" t="s">
        <v>50</v>
      </c>
      <c r="X2774">
        <v>.9999999999999999999999999999999999999996</v>
      </c>
      <c r="Y2774">
        <v>0</v>
      </c>
      <c r="Z2774" t="s">
        <v>46</v>
      </c>
      <c r="AA2774">
        <v>57640</v>
      </c>
      <c r="AB2774" t="s">
        <v>2165</v>
      </c>
      <c r="AC2774" t="s">
        <v>68</v>
      </c>
      <c r="AD2774" t="s">
        <v>38</v>
      </c>
      <c r="AE2774" t="s">
        <v>49</v>
      </c>
      <c r="AF2774" t="s">
        <v>50</v>
      </c>
      <c r="AG2774">
        <v>.9999999999999999999999999999999999999996</v>
      </c>
      <c r="AH2774">
        <v>0</v>
      </c>
      <c r="AI2774" t="s">
        <v>51</v>
      </c>
      <c r="AJ2774" t="s">
        <v>51</v>
      </c>
      <c r="AK2774" t="s">
        <v>51</v>
      </c>
    </row>
    <row r="2775" spans="1:37" x14ac:dyDescent="0.2">
      <c r="A2775">
        <v>57609</v>
      </c>
      <c r="B2775" t="s">
        <v>37</v>
      </c>
      <c r="C2775" t="s">
        <v>38</v>
      </c>
      <c r="D2775" t="s">
        <v>509</v>
      </c>
      <c r="E2775" t="s">
        <v>40</v>
      </c>
      <c r="G2775" s="4">
        <v>43945.558506944444</v>
      </c>
      <c r="H2775" s="4">
        <v>43945.558865740741</v>
      </c>
      <c r="I2775" t="s">
        <v>2166</v>
      </c>
      <c r="J2775" s="5">
        <v>30.99999999999999999999999999999999999997</v>
      </c>
      <c r="K2775" t="s">
        <v>38</v>
      </c>
      <c r="M2775">
        <v>57632</v>
      </c>
      <c r="N2775" t="s">
        <v>511</v>
      </c>
      <c r="O2775" t="s">
        <v>512</v>
      </c>
      <c r="P2775" t="s">
        <v>38</v>
      </c>
      <c r="Q2775" t="s">
        <v>85</v>
      </c>
      <c r="R2775">
        <v>3</v>
      </c>
      <c r="S2775" t="s">
        <v>45</v>
      </c>
      <c r="T2775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75">
        <v>57633</v>
      </c>
      <c r="V2775" t="s">
        <v>38</v>
      </c>
      <c r="W2775" t="s">
        <v>85</v>
      </c>
      <c r="X2775">
        <v>3</v>
      </c>
      <c r="Y2775">
        <v>2</v>
      </c>
      <c r="Z2775" t="s">
        <v>46</v>
      </c>
      <c r="AA2775">
        <v>57636</v>
      </c>
      <c r="AB2775" t="s">
        <v>2167</v>
      </c>
      <c r="AC2775" t="s">
        <v>97</v>
      </c>
      <c r="AD2775" t="s">
        <v>38</v>
      </c>
      <c r="AE2775" t="s">
        <v>49</v>
      </c>
      <c r="AF2775" t="s">
        <v>50</v>
      </c>
      <c r="AG2775">
        <v>0</v>
      </c>
      <c r="AH2775">
        <v>0</v>
      </c>
      <c r="AI2775" t="s">
        <v>51</v>
      </c>
      <c r="AJ2775" t="s">
        <v>51</v>
      </c>
      <c r="AK2775" t="s">
        <v>51</v>
      </c>
    </row>
    <row r="2776" spans="1:37" x14ac:dyDescent="0.2">
      <c r="A2776">
        <v>57609</v>
      </c>
      <c r="B2776" t="s">
        <v>37</v>
      </c>
      <c r="C2776" t="s">
        <v>38</v>
      </c>
      <c r="D2776" t="s">
        <v>509</v>
      </c>
      <c r="E2776" t="s">
        <v>40</v>
      </c>
      <c r="G2776" s="4">
        <v>43945.558506944444</v>
      </c>
      <c r="H2776" s="4">
        <v>43945.558865740741</v>
      </c>
      <c r="I2776" t="s">
        <v>2166</v>
      </c>
      <c r="J2776" s="5">
        <v>30.99999999999999999999999999999999999997</v>
      </c>
      <c r="K2776" t="s">
        <v>38</v>
      </c>
      <c r="M2776">
        <v>57632</v>
      </c>
      <c r="N2776" t="s">
        <v>511</v>
      </c>
      <c r="O2776" t="s">
        <v>512</v>
      </c>
      <c r="P2776" t="s">
        <v>38</v>
      </c>
      <c r="Q2776" t="s">
        <v>85</v>
      </c>
      <c r="R2776">
        <v>3</v>
      </c>
      <c r="S2776" t="s">
        <v>45</v>
      </c>
      <c r="T2776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76">
        <v>57633</v>
      </c>
      <c r="V2776" t="s">
        <v>38</v>
      </c>
      <c r="W2776" t="s">
        <v>85</v>
      </c>
      <c r="X2776">
        <v>3</v>
      </c>
      <c r="Y2776">
        <v>2</v>
      </c>
      <c r="Z2776" t="s">
        <v>46</v>
      </c>
      <c r="AA2776">
        <v>57635</v>
      </c>
      <c r="AB2776" t="s">
        <v>514</v>
      </c>
      <c r="AC2776" t="s">
        <v>97</v>
      </c>
      <c r="AD2776" t="s">
        <v>38</v>
      </c>
      <c r="AE2776" t="s">
        <v>49</v>
      </c>
      <c r="AF2776" t="s">
        <v>50</v>
      </c>
      <c r="AG2776">
        <v>0</v>
      </c>
      <c r="AH2776">
        <v>0</v>
      </c>
      <c r="AI2776" t="s">
        <v>51</v>
      </c>
      <c r="AJ2776" t="s">
        <v>51</v>
      </c>
      <c r="AK2776" t="s">
        <v>51</v>
      </c>
    </row>
    <row r="2777" spans="1:37" x14ac:dyDescent="0.2">
      <c r="A2777">
        <v>57609</v>
      </c>
      <c r="B2777" t="s">
        <v>37</v>
      </c>
      <c r="C2777" t="s">
        <v>38</v>
      </c>
      <c r="D2777" t="s">
        <v>509</v>
      </c>
      <c r="E2777" t="s">
        <v>40</v>
      </c>
      <c r="G2777" s="4">
        <v>43945.558506944444</v>
      </c>
      <c r="H2777" s="4">
        <v>43945.558865740741</v>
      </c>
      <c r="I2777" t="s">
        <v>2166</v>
      </c>
      <c r="J2777" s="5">
        <v>30.99999999999999999999999999999999999997</v>
      </c>
      <c r="K2777" t="s">
        <v>38</v>
      </c>
      <c r="M2777">
        <v>57632</v>
      </c>
      <c r="N2777" t="s">
        <v>511</v>
      </c>
      <c r="O2777" t="s">
        <v>512</v>
      </c>
      <c r="P2777" t="s">
        <v>38</v>
      </c>
      <c r="Q2777" t="s">
        <v>85</v>
      </c>
      <c r="R2777">
        <v>3</v>
      </c>
      <c r="S2777" t="s">
        <v>45</v>
      </c>
      <c r="T2777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77">
        <v>57633</v>
      </c>
      <c r="V2777" t="s">
        <v>38</v>
      </c>
      <c r="W2777" t="s">
        <v>85</v>
      </c>
      <c r="X2777">
        <v>3</v>
      </c>
      <c r="Y2777">
        <v>2</v>
      </c>
      <c r="Z2777" t="s">
        <v>46</v>
      </c>
      <c r="AA2777">
        <v>57634</v>
      </c>
      <c r="AB2777" t="s">
        <v>2168</v>
      </c>
      <c r="AC2777" t="s">
        <v>56</v>
      </c>
      <c r="AD2777" t="s">
        <v>38</v>
      </c>
      <c r="AE2777" t="s">
        <v>49</v>
      </c>
      <c r="AF2777" t="s">
        <v>50</v>
      </c>
      <c r="AG2777">
        <v>0</v>
      </c>
      <c r="AH2777">
        <v>0</v>
      </c>
      <c r="AI2777" t="s">
        <v>51</v>
      </c>
      <c r="AJ2777" t="s">
        <v>51</v>
      </c>
      <c r="AK2777" t="s">
        <v>51</v>
      </c>
    </row>
    <row r="2778" spans="1:37" x14ac:dyDescent="0.2">
      <c r="A2778">
        <v>57609</v>
      </c>
      <c r="B2778" t="s">
        <v>37</v>
      </c>
      <c r="C2778" t="s">
        <v>38</v>
      </c>
      <c r="D2778" t="s">
        <v>509</v>
      </c>
      <c r="E2778" t="s">
        <v>40</v>
      </c>
      <c r="G2778" s="4">
        <v>43945.558506944444</v>
      </c>
      <c r="H2778" s="4">
        <v>43945.558865740741</v>
      </c>
      <c r="I2778" t="s">
        <v>2166</v>
      </c>
      <c r="J2778" s="5">
        <v>30.99999999999999999999999999999999999997</v>
      </c>
      <c r="K2778" t="s">
        <v>38</v>
      </c>
      <c r="M2778">
        <v>57628</v>
      </c>
      <c r="N2778" t="s">
        <v>516</v>
      </c>
      <c r="O2778" t="s">
        <v>517</v>
      </c>
      <c r="P2778" t="s">
        <v>38</v>
      </c>
      <c r="Q2778" t="s">
        <v>85</v>
      </c>
      <c r="R2778">
        <v>3</v>
      </c>
      <c r="S2778" t="s">
        <v>45</v>
      </c>
      <c r="T2778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78">
        <v>57629</v>
      </c>
      <c r="V2778" t="s">
        <v>38</v>
      </c>
      <c r="W2778" t="s">
        <v>85</v>
      </c>
      <c r="X2778">
        <v>3</v>
      </c>
      <c r="Y2778">
        <v>2</v>
      </c>
      <c r="Z2778" t="s">
        <v>46</v>
      </c>
      <c r="AA2778">
        <v>57631</v>
      </c>
      <c r="AB2778" t="s">
        <v>518</v>
      </c>
      <c r="AC2778" t="s">
        <v>97</v>
      </c>
      <c r="AD2778" t="s">
        <v>38</v>
      </c>
      <c r="AE2778" t="s">
        <v>49</v>
      </c>
      <c r="AF2778" t="s">
        <v>50</v>
      </c>
      <c r="AG2778">
        <v>0</v>
      </c>
      <c r="AH2778">
        <v>0</v>
      </c>
      <c r="AI2778" t="s">
        <v>51</v>
      </c>
      <c r="AJ2778" t="s">
        <v>51</v>
      </c>
      <c r="AK2778" t="s">
        <v>51</v>
      </c>
    </row>
    <row r="2779" spans="1:37" x14ac:dyDescent="0.2">
      <c r="A2779">
        <v>57609</v>
      </c>
      <c r="B2779" t="s">
        <v>37</v>
      </c>
      <c r="C2779" t="s">
        <v>38</v>
      </c>
      <c r="D2779" t="s">
        <v>509</v>
      </c>
      <c r="E2779" t="s">
        <v>40</v>
      </c>
      <c r="G2779" s="4">
        <v>43945.558506944444</v>
      </c>
      <c r="H2779" s="4">
        <v>43945.558865740741</v>
      </c>
      <c r="I2779" t="s">
        <v>2166</v>
      </c>
      <c r="J2779" s="5">
        <v>30.99999999999999999999999999999999999997</v>
      </c>
      <c r="K2779" t="s">
        <v>38</v>
      </c>
      <c r="M2779">
        <v>57628</v>
      </c>
      <c r="N2779" t="s">
        <v>516</v>
      </c>
      <c r="O2779" t="s">
        <v>517</v>
      </c>
      <c r="P2779" t="s">
        <v>38</v>
      </c>
      <c r="Q2779" t="s">
        <v>85</v>
      </c>
      <c r="R2779">
        <v>3</v>
      </c>
      <c r="S2779" t="s">
        <v>45</v>
      </c>
      <c r="T2779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79">
        <v>57629</v>
      </c>
      <c r="V2779" t="s">
        <v>38</v>
      </c>
      <c r="W2779" t="s">
        <v>85</v>
      </c>
      <c r="X2779">
        <v>3</v>
      </c>
      <c r="Y2779">
        <v>2</v>
      </c>
      <c r="Z2779" t="s">
        <v>46</v>
      </c>
      <c r="AA2779">
        <v>57630</v>
      </c>
      <c r="AB2779" t="s">
        <v>519</v>
      </c>
      <c r="AC2779" t="s">
        <v>56</v>
      </c>
      <c r="AD2779" t="s">
        <v>38</v>
      </c>
      <c r="AE2779" t="s">
        <v>49</v>
      </c>
      <c r="AF2779" t="s">
        <v>50</v>
      </c>
      <c r="AG2779">
        <v>0</v>
      </c>
      <c r="AH2779">
        <v>0</v>
      </c>
      <c r="AI2779" t="s">
        <v>51</v>
      </c>
      <c r="AJ2779" t="s">
        <v>51</v>
      </c>
      <c r="AK2779" t="s">
        <v>51</v>
      </c>
    </row>
    <row r="2780" spans="1:37" x14ac:dyDescent="0.2">
      <c r="A2780">
        <v>57609</v>
      </c>
      <c r="B2780" t="s">
        <v>37</v>
      </c>
      <c r="C2780" t="s">
        <v>38</v>
      </c>
      <c r="D2780" t="s">
        <v>509</v>
      </c>
      <c r="E2780" t="s">
        <v>40</v>
      </c>
      <c r="G2780" s="4">
        <v>43945.558506944444</v>
      </c>
      <c r="H2780" s="4">
        <v>43945.558865740741</v>
      </c>
      <c r="I2780" t="s">
        <v>2166</v>
      </c>
      <c r="J2780" s="5">
        <v>30.99999999999999999999999999999999999997</v>
      </c>
      <c r="K2780" t="s">
        <v>38</v>
      </c>
      <c r="M2780">
        <v>57625</v>
      </c>
      <c r="N2780" t="s">
        <v>520</v>
      </c>
      <c r="O2780" t="s">
        <v>521</v>
      </c>
      <c r="P2780" t="s">
        <v>38</v>
      </c>
      <c r="Q2780" t="s">
        <v>44</v>
      </c>
      <c r="R2780">
        <v>4</v>
      </c>
      <c r="S2780" t="s">
        <v>45</v>
      </c>
      <c r="T2780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0">
        <v>57626</v>
      </c>
      <c r="V2780" t="s">
        <v>38</v>
      </c>
      <c r="W2780" t="s">
        <v>44</v>
      </c>
      <c r="X2780">
        <v>4</v>
      </c>
      <c r="Y2780">
        <v>0</v>
      </c>
      <c r="Z2780" t="s">
        <v>46</v>
      </c>
      <c r="AA2780">
        <v>57627</v>
      </c>
      <c r="AB2780" t="s">
        <v>522</v>
      </c>
      <c r="AC2780" t="s">
        <v>97</v>
      </c>
      <c r="AD2780" t="s">
        <v>38</v>
      </c>
      <c r="AE2780" t="s">
        <v>523</v>
      </c>
      <c r="AF2780" t="s">
        <v>44</v>
      </c>
      <c r="AG2780">
        <v>4</v>
      </c>
      <c r="AH2780">
        <v>0</v>
      </c>
      <c r="AI2780" t="s">
        <v>524</v>
      </c>
      <c r="AJ2780" t="s">
        <v>51</v>
      </c>
      <c r="AK2780" t="s">
        <v>524</v>
      </c>
    </row>
    <row r="2781" spans="1:37" x14ac:dyDescent="0.2">
      <c r="A2781">
        <v>57609</v>
      </c>
      <c r="B2781" t="s">
        <v>37</v>
      </c>
      <c r="C2781" t="s">
        <v>38</v>
      </c>
      <c r="D2781" t="s">
        <v>509</v>
      </c>
      <c r="E2781" t="s">
        <v>40</v>
      </c>
      <c r="G2781" s="4">
        <v>43945.558506944444</v>
      </c>
      <c r="H2781" s="4">
        <v>43945.558865740741</v>
      </c>
      <c r="I2781" t="s">
        <v>2166</v>
      </c>
      <c r="J2781" s="5">
        <v>30.99999999999999999999999999999999999997</v>
      </c>
      <c r="K2781" t="s">
        <v>38</v>
      </c>
      <c r="M2781">
        <v>57622</v>
      </c>
      <c r="N2781" t="s">
        <v>525</v>
      </c>
      <c r="O2781" t="s">
        <v>526</v>
      </c>
      <c r="P2781" t="s">
        <v>38</v>
      </c>
      <c r="Q2781" t="s">
        <v>50</v>
      </c>
      <c r="R2781">
        <v>.9999999999999999999999999999999999999996</v>
      </c>
      <c r="S2781" t="s">
        <v>45</v>
      </c>
      <c r="T2781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1">
        <v>57623</v>
      </c>
      <c r="V2781" t="s">
        <v>38</v>
      </c>
      <c r="W2781" t="s">
        <v>50</v>
      </c>
      <c r="X2781">
        <v>.9999999999999999999999999999999999999996</v>
      </c>
      <c r="Y2781">
        <v>0</v>
      </c>
      <c r="Z2781" t="s">
        <v>46</v>
      </c>
      <c r="AA2781">
        <v>57624</v>
      </c>
      <c r="AB2781" t="s">
        <v>527</v>
      </c>
      <c r="AC2781" t="s">
        <v>97</v>
      </c>
      <c r="AD2781" t="s">
        <v>38</v>
      </c>
      <c r="AE2781" t="s">
        <v>49</v>
      </c>
      <c r="AF2781" t="s">
        <v>50</v>
      </c>
      <c r="AG2781">
        <v>0</v>
      </c>
      <c r="AH2781">
        <v>0</v>
      </c>
      <c r="AI2781" t="s">
        <v>51</v>
      </c>
      <c r="AJ2781" t="s">
        <v>51</v>
      </c>
      <c r="AK2781" t="s">
        <v>51</v>
      </c>
    </row>
    <row r="2782" spans="1:37" x14ac:dyDescent="0.2">
      <c r="A2782">
        <v>57609</v>
      </c>
      <c r="B2782" t="s">
        <v>37</v>
      </c>
      <c r="C2782" t="s">
        <v>38</v>
      </c>
      <c r="D2782" t="s">
        <v>509</v>
      </c>
      <c r="E2782" t="s">
        <v>40</v>
      </c>
      <c r="G2782" s="4">
        <v>43945.558506944444</v>
      </c>
      <c r="H2782" s="4">
        <v>43945.558865740741</v>
      </c>
      <c r="I2782" t="s">
        <v>2166</v>
      </c>
      <c r="J2782" s="5">
        <v>30.99999999999999999999999999999999999997</v>
      </c>
      <c r="K2782" t="s">
        <v>38</v>
      </c>
      <c r="M2782">
        <v>57615</v>
      </c>
      <c r="N2782" t="s">
        <v>528</v>
      </c>
      <c r="O2782" t="s">
        <v>529</v>
      </c>
      <c r="P2782" t="s">
        <v>38</v>
      </c>
      <c r="Q2782" t="s">
        <v>78</v>
      </c>
      <c r="R2782">
        <v>5</v>
      </c>
      <c r="S2782" t="s">
        <v>45</v>
      </c>
      <c r="T2782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2">
        <v>57616</v>
      </c>
      <c r="V2782" t="s">
        <v>38</v>
      </c>
      <c r="W2782" t="s">
        <v>78</v>
      </c>
      <c r="X2782">
        <v>5</v>
      </c>
      <c r="Y2782">
        <v>1</v>
      </c>
      <c r="Z2782" t="s">
        <v>46</v>
      </c>
      <c r="AA2782">
        <v>57621</v>
      </c>
      <c r="AB2782" t="s">
        <v>530</v>
      </c>
      <c r="AC2782" t="s">
        <v>56</v>
      </c>
      <c r="AD2782" t="s">
        <v>38</v>
      </c>
      <c r="AE2782" t="s">
        <v>49</v>
      </c>
      <c r="AF2782" t="s">
        <v>50</v>
      </c>
      <c r="AG2782">
        <v>0</v>
      </c>
      <c r="AH2782">
        <v>0</v>
      </c>
      <c r="AI2782" t="s">
        <v>51</v>
      </c>
      <c r="AJ2782" t="s">
        <v>51</v>
      </c>
      <c r="AK2782" t="s">
        <v>51</v>
      </c>
    </row>
    <row r="2783" spans="1:37" x14ac:dyDescent="0.2">
      <c r="A2783">
        <v>57609</v>
      </c>
      <c r="B2783" t="s">
        <v>37</v>
      </c>
      <c r="C2783" t="s">
        <v>38</v>
      </c>
      <c r="D2783" t="s">
        <v>509</v>
      </c>
      <c r="E2783" t="s">
        <v>40</v>
      </c>
      <c r="G2783" s="4">
        <v>43945.558506944444</v>
      </c>
      <c r="H2783" s="4">
        <v>43945.558865740741</v>
      </c>
      <c r="I2783" t="s">
        <v>2166</v>
      </c>
      <c r="J2783" s="5">
        <v>30.99999999999999999999999999999999999997</v>
      </c>
      <c r="K2783" t="s">
        <v>38</v>
      </c>
      <c r="M2783">
        <v>57615</v>
      </c>
      <c r="N2783" t="s">
        <v>528</v>
      </c>
      <c r="O2783" t="s">
        <v>529</v>
      </c>
      <c r="P2783" t="s">
        <v>38</v>
      </c>
      <c r="Q2783" t="s">
        <v>78</v>
      </c>
      <c r="R2783">
        <v>5</v>
      </c>
      <c r="S2783" t="s">
        <v>45</v>
      </c>
      <c r="T2783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3">
        <v>57616</v>
      </c>
      <c r="V2783" t="s">
        <v>38</v>
      </c>
      <c r="W2783" t="s">
        <v>78</v>
      </c>
      <c r="X2783">
        <v>5</v>
      </c>
      <c r="Y2783">
        <v>1</v>
      </c>
      <c r="Z2783" t="s">
        <v>46</v>
      </c>
      <c r="AA2783">
        <v>57620</v>
      </c>
      <c r="AB2783" t="s">
        <v>2169</v>
      </c>
      <c r="AC2783" t="s">
        <v>68</v>
      </c>
      <c r="AD2783" t="s">
        <v>38</v>
      </c>
      <c r="AE2783" t="s">
        <v>49</v>
      </c>
      <c r="AF2783" t="s">
        <v>50</v>
      </c>
      <c r="AG2783">
        <v>0</v>
      </c>
      <c r="AH2783">
        <v>0</v>
      </c>
      <c r="AI2783" t="s">
        <v>51</v>
      </c>
      <c r="AJ2783" t="s">
        <v>51</v>
      </c>
      <c r="AK2783" t="s">
        <v>51</v>
      </c>
    </row>
    <row r="2784" spans="1:37" x14ac:dyDescent="0.2">
      <c r="A2784">
        <v>57609</v>
      </c>
      <c r="B2784" t="s">
        <v>37</v>
      </c>
      <c r="C2784" t="s">
        <v>38</v>
      </c>
      <c r="D2784" t="s">
        <v>509</v>
      </c>
      <c r="E2784" t="s">
        <v>40</v>
      </c>
      <c r="G2784" s="4">
        <v>43945.558506944444</v>
      </c>
      <c r="H2784" s="4">
        <v>43945.558865740741</v>
      </c>
      <c r="I2784" t="s">
        <v>2166</v>
      </c>
      <c r="J2784" s="5">
        <v>30.99999999999999999999999999999999999997</v>
      </c>
      <c r="K2784" t="s">
        <v>38</v>
      </c>
      <c r="M2784">
        <v>57615</v>
      </c>
      <c r="N2784" t="s">
        <v>528</v>
      </c>
      <c r="O2784" t="s">
        <v>529</v>
      </c>
      <c r="P2784" t="s">
        <v>38</v>
      </c>
      <c r="Q2784" t="s">
        <v>78</v>
      </c>
      <c r="R2784">
        <v>5</v>
      </c>
      <c r="S2784" t="s">
        <v>45</v>
      </c>
      <c r="T2784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4">
        <v>57616</v>
      </c>
      <c r="V2784" t="s">
        <v>38</v>
      </c>
      <c r="W2784" t="s">
        <v>78</v>
      </c>
      <c r="X2784">
        <v>5</v>
      </c>
      <c r="Y2784">
        <v>1</v>
      </c>
      <c r="Z2784" t="s">
        <v>46</v>
      </c>
      <c r="AA2784">
        <v>57619</v>
      </c>
      <c r="AB2784" t="s">
        <v>532</v>
      </c>
      <c r="AC2784" t="s">
        <v>56</v>
      </c>
      <c r="AD2784" t="s">
        <v>38</v>
      </c>
      <c r="AE2784" t="s">
        <v>533</v>
      </c>
      <c r="AF2784" t="s">
        <v>44</v>
      </c>
      <c r="AG2784">
        <v>4</v>
      </c>
      <c r="AH2784">
        <v>0</v>
      </c>
      <c r="AI2784" t="s">
        <v>534</v>
      </c>
      <c r="AJ2784" t="s">
        <v>51</v>
      </c>
      <c r="AK2784" t="s">
        <v>534</v>
      </c>
    </row>
    <row r="2785" spans="1:37" x14ac:dyDescent="0.2">
      <c r="A2785">
        <v>57609</v>
      </c>
      <c r="B2785" t="s">
        <v>37</v>
      </c>
      <c r="C2785" t="s">
        <v>38</v>
      </c>
      <c r="D2785" t="s">
        <v>509</v>
      </c>
      <c r="E2785" t="s">
        <v>40</v>
      </c>
      <c r="G2785" s="4">
        <v>43945.558506944444</v>
      </c>
      <c r="H2785" s="4">
        <v>43945.558865740741</v>
      </c>
      <c r="I2785" t="s">
        <v>2166</v>
      </c>
      <c r="J2785" s="5">
        <v>30.99999999999999999999999999999999999997</v>
      </c>
      <c r="K2785" t="s">
        <v>38</v>
      </c>
      <c r="M2785">
        <v>57615</v>
      </c>
      <c r="N2785" t="s">
        <v>528</v>
      </c>
      <c r="O2785" t="s">
        <v>529</v>
      </c>
      <c r="P2785" t="s">
        <v>38</v>
      </c>
      <c r="Q2785" t="s">
        <v>78</v>
      </c>
      <c r="R2785">
        <v>5</v>
      </c>
      <c r="S2785" t="s">
        <v>45</v>
      </c>
      <c r="T2785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5">
        <v>57616</v>
      </c>
      <c r="V2785" t="s">
        <v>38</v>
      </c>
      <c r="W2785" t="s">
        <v>78</v>
      </c>
      <c r="X2785">
        <v>5</v>
      </c>
      <c r="Y2785">
        <v>1</v>
      </c>
      <c r="Z2785" t="s">
        <v>46</v>
      </c>
      <c r="AA2785">
        <v>57618</v>
      </c>
      <c r="AB2785" t="s">
        <v>535</v>
      </c>
      <c r="AC2785" t="s">
        <v>97</v>
      </c>
      <c r="AD2785" t="s">
        <v>38</v>
      </c>
      <c r="AE2785" t="s">
        <v>49</v>
      </c>
      <c r="AF2785" t="s">
        <v>50</v>
      </c>
      <c r="AG2785">
        <v>0</v>
      </c>
      <c r="AH2785">
        <v>0</v>
      </c>
      <c r="AI2785" t="s">
        <v>51</v>
      </c>
      <c r="AJ2785" t="s">
        <v>51</v>
      </c>
      <c r="AK2785" t="s">
        <v>51</v>
      </c>
    </row>
    <row r="2786" spans="1:37" x14ac:dyDescent="0.2">
      <c r="A2786">
        <v>57609</v>
      </c>
      <c r="B2786" t="s">
        <v>37</v>
      </c>
      <c r="C2786" t="s">
        <v>38</v>
      </c>
      <c r="D2786" t="s">
        <v>509</v>
      </c>
      <c r="E2786" t="s">
        <v>40</v>
      </c>
      <c r="G2786" s="4">
        <v>43945.558506944444</v>
      </c>
      <c r="H2786" s="4">
        <v>43945.558865740741</v>
      </c>
      <c r="I2786" t="s">
        <v>2166</v>
      </c>
      <c r="J2786" s="5">
        <v>30.99999999999999999999999999999999999997</v>
      </c>
      <c r="K2786" t="s">
        <v>38</v>
      </c>
      <c r="M2786">
        <v>57615</v>
      </c>
      <c r="N2786" t="s">
        <v>528</v>
      </c>
      <c r="O2786" t="s">
        <v>529</v>
      </c>
      <c r="P2786" t="s">
        <v>38</v>
      </c>
      <c r="Q2786" t="s">
        <v>78</v>
      </c>
      <c r="R2786">
        <v>5</v>
      </c>
      <c r="S2786" t="s">
        <v>45</v>
      </c>
      <c r="T2786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6">
        <v>57616</v>
      </c>
      <c r="V2786" t="s">
        <v>38</v>
      </c>
      <c r="W2786" t="s">
        <v>78</v>
      </c>
      <c r="X2786">
        <v>5</v>
      </c>
      <c r="Y2786">
        <v>1</v>
      </c>
      <c r="Z2786" t="s">
        <v>46</v>
      </c>
      <c r="AA2786">
        <v>57617</v>
      </c>
      <c r="AB2786" t="s">
        <v>536</v>
      </c>
      <c r="AC2786" t="s">
        <v>56</v>
      </c>
      <c r="AD2786" t="s">
        <v>38</v>
      </c>
      <c r="AE2786" t="s">
        <v>49</v>
      </c>
      <c r="AF2786" t="s">
        <v>50</v>
      </c>
      <c r="AG2786">
        <v>0</v>
      </c>
      <c r="AH2786">
        <v>0</v>
      </c>
      <c r="AI2786" t="s">
        <v>51</v>
      </c>
      <c r="AJ2786" t="s">
        <v>51</v>
      </c>
      <c r="AK2786" t="s">
        <v>51</v>
      </c>
    </row>
    <row r="2787" spans="1:37" x14ac:dyDescent="0.2">
      <c r="A2787">
        <v>57609</v>
      </c>
      <c r="B2787" t="s">
        <v>37</v>
      </c>
      <c r="C2787" t="s">
        <v>38</v>
      </c>
      <c r="D2787" t="s">
        <v>509</v>
      </c>
      <c r="E2787" t="s">
        <v>40</v>
      </c>
      <c r="G2787" s="4">
        <v>43945.558506944444</v>
      </c>
      <c r="H2787" s="4">
        <v>43945.558865740741</v>
      </c>
      <c r="I2787" t="s">
        <v>2166</v>
      </c>
      <c r="J2787" s="5">
        <v>30.99999999999999999999999999999999999997</v>
      </c>
      <c r="K2787" t="s">
        <v>38</v>
      </c>
      <c r="M2787">
        <v>57610</v>
      </c>
      <c r="N2787" t="s">
        <v>537</v>
      </c>
      <c r="O2787" t="s">
        <v>538</v>
      </c>
      <c r="P2787" t="s">
        <v>38</v>
      </c>
      <c r="Q2787" t="s">
        <v>315</v>
      </c>
      <c r="R2787">
        <v>14</v>
      </c>
      <c r="S2787" t="s">
        <v>45</v>
      </c>
      <c r="T2787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7">
        <v>57611</v>
      </c>
      <c r="V2787" t="s">
        <v>38</v>
      </c>
      <c r="W2787" t="s">
        <v>315</v>
      </c>
      <c r="X2787">
        <v>14</v>
      </c>
      <c r="Y2787">
        <v>3</v>
      </c>
      <c r="Z2787" t="s">
        <v>46</v>
      </c>
      <c r="AA2787">
        <v>57614</v>
      </c>
      <c r="AB2787" t="s">
        <v>539</v>
      </c>
      <c r="AC2787" t="s">
        <v>56</v>
      </c>
      <c r="AD2787" t="s">
        <v>38</v>
      </c>
      <c r="AE2787" t="s">
        <v>540</v>
      </c>
      <c r="AF2787" t="s">
        <v>78</v>
      </c>
      <c r="AG2787">
        <v>5</v>
      </c>
      <c r="AH2787">
        <v>0</v>
      </c>
      <c r="AI2787" t="s">
        <v>541</v>
      </c>
      <c r="AJ2787" t="s">
        <v>51</v>
      </c>
      <c r="AK2787" t="s">
        <v>541</v>
      </c>
    </row>
    <row r="2788" spans="1:37" x14ac:dyDescent="0.2">
      <c r="A2788">
        <v>57609</v>
      </c>
      <c r="B2788" t="s">
        <v>37</v>
      </c>
      <c r="C2788" t="s">
        <v>38</v>
      </c>
      <c r="D2788" t="s">
        <v>509</v>
      </c>
      <c r="E2788" t="s">
        <v>40</v>
      </c>
      <c r="G2788" s="4">
        <v>43945.558506944444</v>
      </c>
      <c r="H2788" s="4">
        <v>43945.558865740741</v>
      </c>
      <c r="I2788" t="s">
        <v>2166</v>
      </c>
      <c r="J2788" s="5">
        <v>30.99999999999999999999999999999999999997</v>
      </c>
      <c r="K2788" t="s">
        <v>38</v>
      </c>
      <c r="M2788">
        <v>57610</v>
      </c>
      <c r="N2788" t="s">
        <v>537</v>
      </c>
      <c r="O2788" t="s">
        <v>538</v>
      </c>
      <c r="P2788" t="s">
        <v>38</v>
      </c>
      <c r="Q2788" t="s">
        <v>315</v>
      </c>
      <c r="R2788">
        <v>14</v>
      </c>
      <c r="S2788" t="s">
        <v>45</v>
      </c>
      <c r="T2788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8">
        <v>57611</v>
      </c>
      <c r="V2788" t="s">
        <v>38</v>
      </c>
      <c r="W2788" t="s">
        <v>315</v>
      </c>
      <c r="X2788">
        <v>14</v>
      </c>
      <c r="Y2788">
        <v>3</v>
      </c>
      <c r="Z2788" t="s">
        <v>46</v>
      </c>
      <c r="AA2788">
        <v>57613</v>
      </c>
      <c r="AB2788" t="s">
        <v>542</v>
      </c>
      <c r="AC2788" t="s">
        <v>97</v>
      </c>
      <c r="AD2788" t="s">
        <v>38</v>
      </c>
      <c r="AE2788" t="s">
        <v>49</v>
      </c>
      <c r="AF2788" t="s">
        <v>50</v>
      </c>
      <c r="AG2788">
        <v>0</v>
      </c>
      <c r="AH2788">
        <v>0</v>
      </c>
      <c r="AI2788" t="s">
        <v>51</v>
      </c>
      <c r="AJ2788" t="s">
        <v>51</v>
      </c>
      <c r="AK2788" t="s">
        <v>51</v>
      </c>
    </row>
    <row r="2789" spans="1:37" x14ac:dyDescent="0.2">
      <c r="A2789">
        <v>57609</v>
      </c>
      <c r="B2789" t="s">
        <v>37</v>
      </c>
      <c r="C2789" t="s">
        <v>38</v>
      </c>
      <c r="D2789" t="s">
        <v>509</v>
      </c>
      <c r="E2789" t="s">
        <v>40</v>
      </c>
      <c r="G2789" s="4">
        <v>43945.558506944444</v>
      </c>
      <c r="H2789" s="4">
        <v>43945.558865740741</v>
      </c>
      <c r="I2789" t="s">
        <v>2166</v>
      </c>
      <c r="J2789" s="5">
        <v>30.99999999999999999999999999999999999997</v>
      </c>
      <c r="K2789" t="s">
        <v>38</v>
      </c>
      <c r="M2789">
        <v>57610</v>
      </c>
      <c r="N2789" t="s">
        <v>537</v>
      </c>
      <c r="O2789" t="s">
        <v>538</v>
      </c>
      <c r="P2789" t="s">
        <v>38</v>
      </c>
      <c r="Q2789" t="s">
        <v>315</v>
      </c>
      <c r="R2789">
        <v>14</v>
      </c>
      <c r="S2789" t="s">
        <v>45</v>
      </c>
      <c r="T2789" t="str" s="2">
        <f>=HYPERLINK("http://demo.enginatics.com:80/ecc/user/applications/log/57609.log","http://demo.enginatics.com:80/ecc/user/applications/log/57609.log")</f>
        <v>"http://demo.enginatics.com:80/ecc/user/applications/log/57609.log")</v>
      </c>
      <c r="U2789">
        <v>57611</v>
      </c>
      <c r="V2789" t="s">
        <v>38</v>
      </c>
      <c r="W2789" t="s">
        <v>315</v>
      </c>
      <c r="X2789">
        <v>14</v>
      </c>
      <c r="Y2789">
        <v>3</v>
      </c>
      <c r="Z2789" t="s">
        <v>46</v>
      </c>
      <c r="AA2789">
        <v>57612</v>
      </c>
      <c r="AB2789" t="s">
        <v>543</v>
      </c>
      <c r="AC2789" t="s">
        <v>56</v>
      </c>
      <c r="AD2789" t="s">
        <v>38</v>
      </c>
      <c r="AE2789" t="s">
        <v>49</v>
      </c>
      <c r="AF2789" t="s">
        <v>44</v>
      </c>
      <c r="AG2789">
        <v>4</v>
      </c>
      <c r="AH2789">
        <v>0</v>
      </c>
      <c r="AI2789" t="s">
        <v>51</v>
      </c>
      <c r="AJ2789" t="s">
        <v>51</v>
      </c>
      <c r="AK2789" t="s">
        <v>51</v>
      </c>
    </row>
    <row r="2790" spans="1:37" x14ac:dyDescent="0.2">
      <c r="A2790">
        <v>57600</v>
      </c>
      <c r="B2790" t="s">
        <v>37</v>
      </c>
      <c r="C2790" t="s">
        <v>38</v>
      </c>
      <c r="D2790" t="s">
        <v>544</v>
      </c>
      <c r="E2790" t="s">
        <v>40</v>
      </c>
      <c r="G2790" s="4">
        <v>43945.557662037037</v>
      </c>
      <c r="H2790" s="4">
        <v>43945.557685185185</v>
      </c>
      <c r="I2790" t="s">
        <v>88</v>
      </c>
      <c r="J2790" s="5">
        <v>2</v>
      </c>
      <c r="K2790" t="s">
        <v>38</v>
      </c>
      <c r="M2790">
        <v>57605</v>
      </c>
      <c r="N2790" t="s">
        <v>545</v>
      </c>
      <c r="O2790" t="s">
        <v>546</v>
      </c>
      <c r="P2790" t="s">
        <v>38</v>
      </c>
      <c r="Q2790" t="s">
        <v>50</v>
      </c>
      <c r="R2790">
        <v>.9999999999999999999999999999999999999996</v>
      </c>
      <c r="S2790" t="s">
        <v>45</v>
      </c>
      <c r="T2790" t="str" s="2">
        <f>=HYPERLINK("http://demo.enginatics.com:80/ecc/user/applications/log/57600.log","http://demo.enginatics.com:80/ecc/user/applications/log/57600.log")</f>
        <v>"http://demo.enginatics.com:80/ecc/user/applications/log/57600.log")</v>
      </c>
      <c r="U2790">
        <v>57606</v>
      </c>
      <c r="V2790" t="s">
        <v>38</v>
      </c>
      <c r="W2790" t="s">
        <v>50</v>
      </c>
      <c r="X2790">
        <v>.9999999999999999999999999999999999999996</v>
      </c>
      <c r="Y2790">
        <v>0</v>
      </c>
      <c r="Z2790" t="s">
        <v>46</v>
      </c>
      <c r="AA2790">
        <v>57608</v>
      </c>
      <c r="AB2790" t="s">
        <v>547</v>
      </c>
      <c r="AC2790" t="s">
        <v>56</v>
      </c>
      <c r="AD2790" t="s">
        <v>38</v>
      </c>
      <c r="AE2790" t="s">
        <v>49</v>
      </c>
      <c r="AF2790" t="s">
        <v>50</v>
      </c>
      <c r="AG2790">
        <v>0</v>
      </c>
      <c r="AH2790">
        <v>0</v>
      </c>
      <c r="AI2790" t="s">
        <v>51</v>
      </c>
      <c r="AJ2790" t="s">
        <v>51</v>
      </c>
      <c r="AK2790" t="s">
        <v>51</v>
      </c>
    </row>
    <row r="2791" spans="1:37" x14ac:dyDescent="0.2">
      <c r="A2791">
        <v>57600</v>
      </c>
      <c r="B2791" t="s">
        <v>37</v>
      </c>
      <c r="C2791" t="s">
        <v>38</v>
      </c>
      <c r="D2791" t="s">
        <v>544</v>
      </c>
      <c r="E2791" t="s">
        <v>40</v>
      </c>
      <c r="G2791" s="4">
        <v>43945.557662037037</v>
      </c>
      <c r="H2791" s="4">
        <v>43945.557685185185</v>
      </c>
      <c r="I2791" t="s">
        <v>88</v>
      </c>
      <c r="J2791" s="5">
        <v>2</v>
      </c>
      <c r="K2791" t="s">
        <v>38</v>
      </c>
      <c r="M2791">
        <v>57605</v>
      </c>
      <c r="N2791" t="s">
        <v>545</v>
      </c>
      <c r="O2791" t="s">
        <v>546</v>
      </c>
      <c r="P2791" t="s">
        <v>38</v>
      </c>
      <c r="Q2791" t="s">
        <v>50</v>
      </c>
      <c r="R2791">
        <v>.9999999999999999999999999999999999999996</v>
      </c>
      <c r="S2791" t="s">
        <v>45</v>
      </c>
      <c r="T2791" t="str" s="2">
        <f>=HYPERLINK("http://demo.enginatics.com:80/ecc/user/applications/log/57600.log","http://demo.enginatics.com:80/ecc/user/applications/log/57600.log")</f>
        <v>"http://demo.enginatics.com:80/ecc/user/applications/log/57600.log")</v>
      </c>
      <c r="U2791">
        <v>57606</v>
      </c>
      <c r="V2791" t="s">
        <v>38</v>
      </c>
      <c r="W2791" t="s">
        <v>50</v>
      </c>
      <c r="X2791">
        <v>.9999999999999999999999999999999999999996</v>
      </c>
      <c r="Y2791">
        <v>0</v>
      </c>
      <c r="Z2791" t="s">
        <v>46</v>
      </c>
      <c r="AA2791">
        <v>57607</v>
      </c>
      <c r="AB2791" t="s">
        <v>548</v>
      </c>
      <c r="AC2791" t="s">
        <v>68</v>
      </c>
      <c r="AD2791" t="s">
        <v>38</v>
      </c>
      <c r="AE2791" t="s">
        <v>49</v>
      </c>
      <c r="AF2791" t="s">
        <v>50</v>
      </c>
      <c r="AG2791">
        <v>.9999999999999999999999999999999999999996</v>
      </c>
      <c r="AH2791">
        <v>0</v>
      </c>
      <c r="AI2791" t="s">
        <v>51</v>
      </c>
      <c r="AJ2791" t="s">
        <v>51</v>
      </c>
      <c r="AK2791" t="s">
        <v>51</v>
      </c>
    </row>
    <row r="2792" spans="1:37" x14ac:dyDescent="0.2">
      <c r="A2792">
        <v>57600</v>
      </c>
      <c r="B2792" t="s">
        <v>37</v>
      </c>
      <c r="C2792" t="s">
        <v>38</v>
      </c>
      <c r="D2792" t="s">
        <v>544</v>
      </c>
      <c r="E2792" t="s">
        <v>40</v>
      </c>
      <c r="G2792" s="4">
        <v>43945.557662037037</v>
      </c>
      <c r="H2792" s="4">
        <v>43945.557685185185</v>
      </c>
      <c r="I2792" t="s">
        <v>88</v>
      </c>
      <c r="J2792" s="5">
        <v>2</v>
      </c>
      <c r="K2792" t="s">
        <v>38</v>
      </c>
      <c r="M2792">
        <v>57601</v>
      </c>
      <c r="N2792" t="s">
        <v>549</v>
      </c>
      <c r="O2792" t="s">
        <v>550</v>
      </c>
      <c r="P2792" t="s">
        <v>38</v>
      </c>
      <c r="Q2792" t="s">
        <v>50</v>
      </c>
      <c r="R2792">
        <v>.9999999999999999999999999999999999999996</v>
      </c>
      <c r="S2792" t="s">
        <v>45</v>
      </c>
      <c r="T2792" t="str" s="2">
        <f>=HYPERLINK("http://demo.enginatics.com:80/ecc/user/applications/log/57600.log","http://demo.enginatics.com:80/ecc/user/applications/log/57600.log")</f>
        <v>"http://demo.enginatics.com:80/ecc/user/applications/log/57600.log")</v>
      </c>
      <c r="U2792">
        <v>57602</v>
      </c>
      <c r="V2792" t="s">
        <v>38</v>
      </c>
      <c r="W2792" t="s">
        <v>50</v>
      </c>
      <c r="X2792">
        <v>.9999999999999999999999999999999999999996</v>
      </c>
      <c r="Y2792">
        <v>0</v>
      </c>
      <c r="Z2792" t="s">
        <v>46</v>
      </c>
      <c r="AA2792">
        <v>57604</v>
      </c>
      <c r="AB2792" t="s">
        <v>551</v>
      </c>
      <c r="AC2792" t="s">
        <v>56</v>
      </c>
      <c r="AD2792" t="s">
        <v>38</v>
      </c>
      <c r="AE2792" t="s">
        <v>49</v>
      </c>
      <c r="AF2792" t="s">
        <v>50</v>
      </c>
      <c r="AG2792">
        <v>0</v>
      </c>
      <c r="AH2792">
        <v>0</v>
      </c>
      <c r="AI2792" t="s">
        <v>51</v>
      </c>
      <c r="AJ2792" t="s">
        <v>51</v>
      </c>
      <c r="AK2792" t="s">
        <v>51</v>
      </c>
    </row>
    <row r="2793" spans="1:37" x14ac:dyDescent="0.2">
      <c r="A2793">
        <v>57600</v>
      </c>
      <c r="B2793" t="s">
        <v>37</v>
      </c>
      <c r="C2793" t="s">
        <v>38</v>
      </c>
      <c r="D2793" t="s">
        <v>544</v>
      </c>
      <c r="E2793" t="s">
        <v>40</v>
      </c>
      <c r="G2793" s="4">
        <v>43945.557662037037</v>
      </c>
      <c r="H2793" s="4">
        <v>43945.557685185185</v>
      </c>
      <c r="I2793" t="s">
        <v>88</v>
      </c>
      <c r="J2793" s="5">
        <v>2</v>
      </c>
      <c r="K2793" t="s">
        <v>38</v>
      </c>
      <c r="M2793">
        <v>57601</v>
      </c>
      <c r="N2793" t="s">
        <v>549</v>
      </c>
      <c r="O2793" t="s">
        <v>550</v>
      </c>
      <c r="P2793" t="s">
        <v>38</v>
      </c>
      <c r="Q2793" t="s">
        <v>50</v>
      </c>
      <c r="R2793">
        <v>.9999999999999999999999999999999999999996</v>
      </c>
      <c r="S2793" t="s">
        <v>45</v>
      </c>
      <c r="T2793" t="str" s="2">
        <f>=HYPERLINK("http://demo.enginatics.com:80/ecc/user/applications/log/57600.log","http://demo.enginatics.com:80/ecc/user/applications/log/57600.log")</f>
        <v>"http://demo.enginatics.com:80/ecc/user/applications/log/57600.log")</v>
      </c>
      <c r="U2793">
        <v>57602</v>
      </c>
      <c r="V2793" t="s">
        <v>38</v>
      </c>
      <c r="W2793" t="s">
        <v>50</v>
      </c>
      <c r="X2793">
        <v>.9999999999999999999999999999999999999996</v>
      </c>
      <c r="Y2793">
        <v>0</v>
      </c>
      <c r="Z2793" t="s">
        <v>46</v>
      </c>
      <c r="AA2793">
        <v>57603</v>
      </c>
      <c r="AB2793" t="s">
        <v>552</v>
      </c>
      <c r="AC2793" t="s">
        <v>68</v>
      </c>
      <c r="AD2793" t="s">
        <v>38</v>
      </c>
      <c r="AE2793" t="s">
        <v>49</v>
      </c>
      <c r="AF2793" t="s">
        <v>50</v>
      </c>
      <c r="AG2793">
        <v>.9999999999999999999999999999999999999996</v>
      </c>
      <c r="AH2793">
        <v>0</v>
      </c>
      <c r="AI2793" t="s">
        <v>51</v>
      </c>
      <c r="AJ2793" t="s">
        <v>51</v>
      </c>
      <c r="AK2793" t="s">
        <v>51</v>
      </c>
    </row>
    <row r="2794" spans="1:37" x14ac:dyDescent="0.2">
      <c r="A2794">
        <v>57566</v>
      </c>
      <c r="B2794" t="s">
        <v>37</v>
      </c>
      <c r="C2794" t="s">
        <v>38</v>
      </c>
      <c r="D2794" t="s">
        <v>553</v>
      </c>
      <c r="E2794" t="s">
        <v>581</v>
      </c>
      <c r="G2794" s="4">
        <v>43945.542858796296</v>
      </c>
      <c r="H2794" s="4">
        <v>43945.543032407407</v>
      </c>
      <c r="I2794" t="s">
        <v>315</v>
      </c>
      <c r="J2794" s="5">
        <v>14.99999999999999999999999999999999999999</v>
      </c>
      <c r="K2794" t="s">
        <v>38</v>
      </c>
      <c r="M2794">
        <v>57597</v>
      </c>
      <c r="N2794" t="s">
        <v>581</v>
      </c>
      <c r="O2794" t="s">
        <v>582</v>
      </c>
      <c r="P2794" t="s">
        <v>38</v>
      </c>
      <c r="Q2794" t="s">
        <v>50</v>
      </c>
      <c r="R2794">
        <v>.9999999999999999999999999999999999999996</v>
      </c>
      <c r="S2794" t="s">
        <v>45</v>
      </c>
      <c r="T2794" t="str" s="2">
        <f>=HYPERLINK("http://demo.enginatics.com:80/ecc/user/applications/log/57566.log","http://demo.enginatics.com:80/ecc/user/applications/log/57566.log")</f>
        <v>"http://demo.enginatics.com:80/ecc/user/applications/log/57566.log")</v>
      </c>
      <c r="U2794">
        <v>57598</v>
      </c>
      <c r="V2794" t="s">
        <v>38</v>
      </c>
      <c r="W2794" t="s">
        <v>50</v>
      </c>
      <c r="X2794">
        <v>.9999999999999999999999999999999999999996</v>
      </c>
      <c r="Y2794">
        <v>0</v>
      </c>
      <c r="Z2794" t="s">
        <v>46</v>
      </c>
      <c r="AA2794">
        <v>57599</v>
      </c>
      <c r="AB2794" t="s">
        <v>583</v>
      </c>
      <c r="AC2794" t="s">
        <v>48</v>
      </c>
      <c r="AD2794" t="s">
        <v>38</v>
      </c>
      <c r="AE2794" t="s">
        <v>49</v>
      </c>
      <c r="AF2794" t="s">
        <v>50</v>
      </c>
      <c r="AG2794">
        <v>.9999999999999999999999999999999999999996</v>
      </c>
      <c r="AH2794">
        <v>0</v>
      </c>
      <c r="AI2794" t="s">
        <v>51</v>
      </c>
      <c r="AJ2794" t="s">
        <v>51</v>
      </c>
      <c r="AK2794" t="s">
        <v>51</v>
      </c>
    </row>
    <row r="2795" spans="1:37" x14ac:dyDescent="0.2">
      <c r="A2795">
        <v>57565</v>
      </c>
      <c r="B2795" t="s">
        <v>37</v>
      </c>
      <c r="C2795" t="s">
        <v>38</v>
      </c>
      <c r="D2795" t="s">
        <v>553</v>
      </c>
      <c r="E2795" t="s">
        <v>590</v>
      </c>
      <c r="G2795" s="4">
        <v>43945.542858796296</v>
      </c>
      <c r="H2795" s="4">
        <v>43945.543020833333</v>
      </c>
      <c r="I2795" t="s">
        <v>315</v>
      </c>
      <c r="J2795" s="5">
        <v>14</v>
      </c>
      <c r="K2795" t="s">
        <v>38</v>
      </c>
      <c r="M2795">
        <v>57594</v>
      </c>
      <c r="N2795" t="s">
        <v>590</v>
      </c>
      <c r="O2795" t="s">
        <v>591</v>
      </c>
      <c r="P2795" t="s">
        <v>38</v>
      </c>
      <c r="Q2795" t="s">
        <v>652</v>
      </c>
      <c r="R2795">
        <v>8</v>
      </c>
      <c r="S2795" t="s">
        <v>45</v>
      </c>
      <c r="T2795" t="str" s="2">
        <f>=HYPERLINK("http://demo.enginatics.com:80/ecc/user/applications/log/57565.log","http://demo.enginatics.com:80/ecc/user/applications/log/57565.log")</f>
        <v>"http://demo.enginatics.com:80/ecc/user/applications/log/57565.log")</v>
      </c>
      <c r="U2795">
        <v>57595</v>
      </c>
      <c r="V2795" t="s">
        <v>38</v>
      </c>
      <c r="W2795" t="s">
        <v>50</v>
      </c>
      <c r="X2795">
        <v>0</v>
      </c>
      <c r="Y2795">
        <v>0</v>
      </c>
      <c r="Z2795" t="s">
        <v>46</v>
      </c>
      <c r="AA2795">
        <v>57596</v>
      </c>
      <c r="AB2795" t="s">
        <v>592</v>
      </c>
      <c r="AC2795" t="s">
        <v>48</v>
      </c>
      <c r="AD2795" t="s">
        <v>38</v>
      </c>
      <c r="AE2795" t="s">
        <v>49</v>
      </c>
      <c r="AF2795" t="s">
        <v>50</v>
      </c>
      <c r="AG2795">
        <v>0</v>
      </c>
      <c r="AH2795">
        <v>0</v>
      </c>
      <c r="AI2795" t="s">
        <v>51</v>
      </c>
      <c r="AJ2795" t="s">
        <v>51</v>
      </c>
      <c r="AK2795" t="s">
        <v>51</v>
      </c>
    </row>
    <row r="2796" spans="1:37" x14ac:dyDescent="0.2">
      <c r="A2796">
        <v>57564</v>
      </c>
      <c r="B2796" t="s">
        <v>37</v>
      </c>
      <c r="C2796" t="s">
        <v>38</v>
      </c>
      <c r="D2796" t="s">
        <v>553</v>
      </c>
      <c r="E2796" t="s">
        <v>575</v>
      </c>
      <c r="G2796" s="4">
        <v>43945.542858796296</v>
      </c>
      <c r="H2796" s="4">
        <v>43945.542986111111</v>
      </c>
      <c r="I2796" t="s">
        <v>337</v>
      </c>
      <c r="J2796" s="5">
        <v>11.00000000000000000000000000000000000002</v>
      </c>
      <c r="K2796" t="s">
        <v>38</v>
      </c>
      <c r="M2796">
        <v>57591</v>
      </c>
      <c r="N2796" t="s">
        <v>575</v>
      </c>
      <c r="O2796" t="s">
        <v>576</v>
      </c>
      <c r="P2796" t="s">
        <v>38</v>
      </c>
      <c r="Q2796" t="s">
        <v>50</v>
      </c>
      <c r="R2796">
        <v>.9999999999999999999999999999999999999996</v>
      </c>
      <c r="S2796" t="s">
        <v>45</v>
      </c>
      <c r="T2796" t="str" s="2">
        <f>=HYPERLINK("http://demo.enginatics.com:80/ecc/user/applications/log/57564.log","http://demo.enginatics.com:80/ecc/user/applications/log/57564.log")</f>
        <v>"http://demo.enginatics.com:80/ecc/user/applications/log/57564.log")</v>
      </c>
      <c r="U2796">
        <v>57592</v>
      </c>
      <c r="V2796" t="s">
        <v>38</v>
      </c>
      <c r="W2796" t="s">
        <v>50</v>
      </c>
      <c r="X2796">
        <v>.9999999999999999999999999999999999999996</v>
      </c>
      <c r="Y2796">
        <v>0</v>
      </c>
      <c r="Z2796" t="s">
        <v>46</v>
      </c>
      <c r="AA2796">
        <v>57593</v>
      </c>
      <c r="AB2796" t="s">
        <v>577</v>
      </c>
      <c r="AC2796" t="s">
        <v>48</v>
      </c>
      <c r="AD2796" t="s">
        <v>38</v>
      </c>
      <c r="AE2796" t="s">
        <v>49</v>
      </c>
      <c r="AF2796" t="s">
        <v>50</v>
      </c>
      <c r="AG2796">
        <v>.9999999999999999999999999999999999999996</v>
      </c>
      <c r="AH2796">
        <v>0</v>
      </c>
      <c r="AI2796" t="s">
        <v>51</v>
      </c>
      <c r="AJ2796" t="s">
        <v>51</v>
      </c>
      <c r="AK2796" t="s">
        <v>51</v>
      </c>
    </row>
    <row r="2797" spans="1:37" x14ac:dyDescent="0.2">
      <c r="A2797">
        <v>57563</v>
      </c>
      <c r="B2797" t="s">
        <v>37</v>
      </c>
      <c r="C2797" t="s">
        <v>38</v>
      </c>
      <c r="D2797" t="s">
        <v>553</v>
      </c>
      <c r="E2797" t="s">
        <v>587</v>
      </c>
      <c r="G2797" s="4">
        <v>43945.542858796296</v>
      </c>
      <c r="H2797" s="4">
        <v>43945.542916666667</v>
      </c>
      <c r="I2797" t="s">
        <v>78</v>
      </c>
      <c r="J2797" s="5">
        <v>5</v>
      </c>
      <c r="K2797" t="s">
        <v>38</v>
      </c>
      <c r="M2797">
        <v>57588</v>
      </c>
      <c r="N2797" t="s">
        <v>587</v>
      </c>
      <c r="O2797" t="s">
        <v>588</v>
      </c>
      <c r="P2797" t="s">
        <v>38</v>
      </c>
      <c r="Q2797" t="s">
        <v>50</v>
      </c>
      <c r="R2797">
        <v>.9999999999999999999999999999999999999996</v>
      </c>
      <c r="S2797" t="s">
        <v>45</v>
      </c>
      <c r="T2797" t="str" s="2">
        <f>=HYPERLINK("http://demo.enginatics.com:80/ecc/user/applications/log/57563.log","http://demo.enginatics.com:80/ecc/user/applications/log/57563.log")</f>
        <v>"http://demo.enginatics.com:80/ecc/user/applications/log/57563.log")</v>
      </c>
      <c r="U2797">
        <v>57589</v>
      </c>
      <c r="V2797" t="s">
        <v>38</v>
      </c>
      <c r="W2797" t="s">
        <v>50</v>
      </c>
      <c r="X2797">
        <v>.9999999999999999999999999999999999999996</v>
      </c>
      <c r="Y2797">
        <v>0</v>
      </c>
      <c r="Z2797" t="s">
        <v>46</v>
      </c>
      <c r="AA2797">
        <v>57590</v>
      </c>
      <c r="AB2797" t="s">
        <v>589</v>
      </c>
      <c r="AC2797" t="s">
        <v>48</v>
      </c>
      <c r="AD2797" t="s">
        <v>38</v>
      </c>
      <c r="AE2797" t="s">
        <v>49</v>
      </c>
      <c r="AF2797" t="s">
        <v>50</v>
      </c>
      <c r="AG2797">
        <v>.9999999999999999999999999999999999999996</v>
      </c>
      <c r="AH2797">
        <v>0</v>
      </c>
      <c r="AI2797" t="s">
        <v>51</v>
      </c>
      <c r="AJ2797" t="s">
        <v>51</v>
      </c>
      <c r="AK2797" t="s">
        <v>51</v>
      </c>
    </row>
    <row r="2798" spans="1:37" x14ac:dyDescent="0.2">
      <c r="A2798">
        <v>57562</v>
      </c>
      <c r="B2798" t="s">
        <v>37</v>
      </c>
      <c r="C2798" t="s">
        <v>38</v>
      </c>
      <c r="D2798" t="s">
        <v>553</v>
      </c>
      <c r="E2798" t="s">
        <v>569</v>
      </c>
      <c r="G2798" s="4">
        <v>43945.542858796296</v>
      </c>
      <c r="H2798" s="4">
        <v>43945.542916666667</v>
      </c>
      <c r="I2798" t="s">
        <v>78</v>
      </c>
      <c r="J2798" s="5">
        <v>5</v>
      </c>
      <c r="K2798" t="s">
        <v>38</v>
      </c>
      <c r="M2798">
        <v>57585</v>
      </c>
      <c r="N2798" t="s">
        <v>569</v>
      </c>
      <c r="O2798" t="s">
        <v>570</v>
      </c>
      <c r="P2798" t="s">
        <v>38</v>
      </c>
      <c r="Q2798" t="s">
        <v>50</v>
      </c>
      <c r="R2798">
        <v>.9999999999999999999999999999999999999996</v>
      </c>
      <c r="S2798" t="s">
        <v>45</v>
      </c>
      <c r="T2798" t="str" s="2">
        <f>=HYPERLINK("http://demo.enginatics.com:80/ecc/user/applications/log/57562.log","http://demo.enginatics.com:80/ecc/user/applications/log/57562.log")</f>
        <v>"http://demo.enginatics.com:80/ecc/user/applications/log/57562.log")</v>
      </c>
      <c r="U2798">
        <v>57586</v>
      </c>
      <c r="V2798" t="s">
        <v>38</v>
      </c>
      <c r="W2798" t="s">
        <v>50</v>
      </c>
      <c r="X2798">
        <v>.9999999999999999999999999999999999999996</v>
      </c>
      <c r="Y2798">
        <v>0</v>
      </c>
      <c r="Z2798" t="s">
        <v>46</v>
      </c>
      <c r="AA2798">
        <v>57587</v>
      </c>
      <c r="AB2798" t="s">
        <v>571</v>
      </c>
      <c r="AC2798" t="s">
        <v>48</v>
      </c>
      <c r="AD2798" t="s">
        <v>38</v>
      </c>
      <c r="AE2798" t="s">
        <v>49</v>
      </c>
      <c r="AF2798" t="s">
        <v>50</v>
      </c>
      <c r="AG2798">
        <v>.9999999999999999999999999999999999999996</v>
      </c>
      <c r="AH2798">
        <v>0</v>
      </c>
      <c r="AI2798" t="s">
        <v>51</v>
      </c>
      <c r="AJ2798" t="s">
        <v>51</v>
      </c>
      <c r="AK2798" t="s">
        <v>51</v>
      </c>
    </row>
    <row r="2799" spans="1:37" x14ac:dyDescent="0.2">
      <c r="A2799">
        <v>57559</v>
      </c>
      <c r="B2799" t="s">
        <v>37</v>
      </c>
      <c r="C2799" t="s">
        <v>38</v>
      </c>
      <c r="D2799" t="s">
        <v>553</v>
      </c>
      <c r="E2799" t="s">
        <v>578</v>
      </c>
      <c r="G2799" s="4">
        <v>43945.542858796296</v>
      </c>
      <c r="H2799" s="4">
        <v>43945.542905092593</v>
      </c>
      <c r="I2799" t="s">
        <v>44</v>
      </c>
      <c r="J2799" s="5">
        <v>4</v>
      </c>
      <c r="K2799" t="s">
        <v>38</v>
      </c>
      <c r="M2799">
        <v>57582</v>
      </c>
      <c r="N2799" t="s">
        <v>578</v>
      </c>
      <c r="O2799" t="s">
        <v>579</v>
      </c>
      <c r="P2799" t="s">
        <v>38</v>
      </c>
      <c r="Q2799" t="s">
        <v>50</v>
      </c>
      <c r="R2799">
        <v>0</v>
      </c>
      <c r="S2799" t="s">
        <v>45</v>
      </c>
      <c r="T2799" t="str" s="2">
        <f>=HYPERLINK("http://demo.enginatics.com:80/ecc/user/applications/log/57559.log","http://demo.enginatics.com:80/ecc/user/applications/log/57559.log")</f>
        <v>"http://demo.enginatics.com:80/ecc/user/applications/log/57559.log")</v>
      </c>
      <c r="U2799">
        <v>57583</v>
      </c>
      <c r="V2799" t="s">
        <v>38</v>
      </c>
      <c r="W2799" t="s">
        <v>50</v>
      </c>
      <c r="X2799">
        <v>0</v>
      </c>
      <c r="Y2799">
        <v>0</v>
      </c>
      <c r="Z2799" t="s">
        <v>46</v>
      </c>
      <c r="AA2799">
        <v>57584</v>
      </c>
      <c r="AB2799" t="s">
        <v>580</v>
      </c>
      <c r="AC2799" t="s">
        <v>48</v>
      </c>
      <c r="AD2799" t="s">
        <v>38</v>
      </c>
      <c r="AE2799" t="s">
        <v>49</v>
      </c>
      <c r="AF2799" t="s">
        <v>50</v>
      </c>
      <c r="AG2799">
        <v>0</v>
      </c>
      <c r="AH2799">
        <v>0</v>
      </c>
      <c r="AI2799" t="s">
        <v>51</v>
      </c>
      <c r="AJ2799" t="s">
        <v>51</v>
      </c>
      <c r="AK2799" t="s">
        <v>51</v>
      </c>
    </row>
    <row r="2800" spans="1:37" x14ac:dyDescent="0.2">
      <c r="A2800">
        <v>57558</v>
      </c>
      <c r="B2800" t="s">
        <v>37</v>
      </c>
      <c r="C2800" t="s">
        <v>38</v>
      </c>
      <c r="D2800" t="s">
        <v>553</v>
      </c>
      <c r="E2800" t="s">
        <v>572</v>
      </c>
      <c r="G2800" s="4">
        <v>43945.542847222222</v>
      </c>
      <c r="H2800" s="4">
        <v>43945.542881944444</v>
      </c>
      <c r="I2800" t="s">
        <v>85</v>
      </c>
      <c r="J2800" s="5">
        <v>3</v>
      </c>
      <c r="K2800" t="s">
        <v>38</v>
      </c>
      <c r="M2800">
        <v>57579</v>
      </c>
      <c r="N2800" t="s">
        <v>572</v>
      </c>
      <c r="O2800" t="s">
        <v>573</v>
      </c>
      <c r="P2800" t="s">
        <v>38</v>
      </c>
      <c r="Q2800" t="s">
        <v>50</v>
      </c>
      <c r="R2800">
        <v>0</v>
      </c>
      <c r="S2800" t="s">
        <v>45</v>
      </c>
      <c r="T2800" t="str" s="2">
        <f>=HYPERLINK("http://demo.enginatics.com:80/ecc/user/applications/log/57558.log","http://demo.enginatics.com:80/ecc/user/applications/log/57558.log")</f>
        <v>"http://demo.enginatics.com:80/ecc/user/applications/log/57558.log")</v>
      </c>
      <c r="U2800">
        <v>57580</v>
      </c>
      <c r="V2800" t="s">
        <v>38</v>
      </c>
      <c r="W2800" t="s">
        <v>50</v>
      </c>
      <c r="X2800">
        <v>0</v>
      </c>
      <c r="Y2800">
        <v>0</v>
      </c>
      <c r="Z2800" t="s">
        <v>46</v>
      </c>
      <c r="AA2800">
        <v>57581</v>
      </c>
      <c r="AB2800" t="s">
        <v>574</v>
      </c>
      <c r="AC2800" t="s">
        <v>48</v>
      </c>
      <c r="AD2800" t="s">
        <v>38</v>
      </c>
      <c r="AE2800" t="s">
        <v>49</v>
      </c>
      <c r="AF2800" t="s">
        <v>50</v>
      </c>
      <c r="AG2800">
        <v>0</v>
      </c>
      <c r="AH2800">
        <v>0</v>
      </c>
      <c r="AI2800" t="s">
        <v>51</v>
      </c>
      <c r="AJ2800" t="s">
        <v>51</v>
      </c>
      <c r="AK2800" t="s">
        <v>51</v>
      </c>
    </row>
    <row r="2801" spans="1:37" x14ac:dyDescent="0.2">
      <c r="A2801">
        <v>57554</v>
      </c>
      <c r="B2801" t="s">
        <v>37</v>
      </c>
      <c r="C2801" t="s">
        <v>38</v>
      </c>
      <c r="D2801" t="s">
        <v>553</v>
      </c>
      <c r="E2801" t="s">
        <v>584</v>
      </c>
      <c r="G2801" s="4">
        <v>43945.542858796296</v>
      </c>
      <c r="H2801" s="4">
        <v>43945.542881944444</v>
      </c>
      <c r="I2801" t="s">
        <v>88</v>
      </c>
      <c r="J2801" s="5">
        <v>2</v>
      </c>
      <c r="K2801" t="s">
        <v>38</v>
      </c>
      <c r="M2801">
        <v>57574</v>
      </c>
      <c r="N2801" t="s">
        <v>584</v>
      </c>
      <c r="O2801" t="s">
        <v>585</v>
      </c>
      <c r="P2801" t="s">
        <v>38</v>
      </c>
      <c r="Q2801" t="s">
        <v>50</v>
      </c>
      <c r="R2801">
        <v>.9999999999999999999999999999999999999996</v>
      </c>
      <c r="S2801" t="s">
        <v>45</v>
      </c>
      <c r="T2801" t="str" s="2">
        <f>=HYPERLINK("http://demo.enginatics.com:80/ecc/user/applications/log/57554.log","http://demo.enginatics.com:80/ecc/user/applications/log/57554.log")</f>
        <v>"http://demo.enginatics.com:80/ecc/user/applications/log/57554.log")</v>
      </c>
      <c r="U2801">
        <v>57576</v>
      </c>
      <c r="V2801" t="s">
        <v>38</v>
      </c>
      <c r="W2801" t="s">
        <v>50</v>
      </c>
      <c r="X2801">
        <v>.9999999999999999999999999999999999999996</v>
      </c>
      <c r="Y2801">
        <v>0</v>
      </c>
      <c r="Z2801" t="s">
        <v>46</v>
      </c>
      <c r="AA2801">
        <v>57577</v>
      </c>
      <c r="AB2801" t="s">
        <v>586</v>
      </c>
      <c r="AC2801" t="s">
        <v>48</v>
      </c>
      <c r="AD2801" t="s">
        <v>38</v>
      </c>
      <c r="AE2801" t="s">
        <v>49</v>
      </c>
      <c r="AF2801" t="s">
        <v>50</v>
      </c>
      <c r="AG2801">
        <v>.9999999999999999999999999999999999999996</v>
      </c>
      <c r="AH2801">
        <v>0</v>
      </c>
      <c r="AI2801" t="s">
        <v>51</v>
      </c>
      <c r="AJ2801" t="s">
        <v>51</v>
      </c>
      <c r="AK2801" t="s">
        <v>51</v>
      </c>
    </row>
    <row r="2802" spans="1:37" x14ac:dyDescent="0.2">
      <c r="A2802">
        <v>57552</v>
      </c>
      <c r="B2802" t="s">
        <v>37</v>
      </c>
      <c r="C2802" t="s">
        <v>38</v>
      </c>
      <c r="D2802" t="s">
        <v>553</v>
      </c>
      <c r="E2802" t="s">
        <v>563</v>
      </c>
      <c r="G2802" s="4">
        <v>43945.542858796296</v>
      </c>
      <c r="H2802" s="4">
        <v>43945.542905092593</v>
      </c>
      <c r="I2802" t="s">
        <v>44</v>
      </c>
      <c r="J2802" s="5">
        <v>4</v>
      </c>
      <c r="K2802" t="s">
        <v>38</v>
      </c>
      <c r="M2802">
        <v>57573</v>
      </c>
      <c r="N2802" t="s">
        <v>563</v>
      </c>
      <c r="O2802" t="s">
        <v>564</v>
      </c>
      <c r="P2802" t="s">
        <v>38</v>
      </c>
      <c r="Q2802" t="s">
        <v>85</v>
      </c>
      <c r="R2802">
        <v>3</v>
      </c>
      <c r="S2802" t="s">
        <v>45</v>
      </c>
      <c r="T2802" t="str" s="2">
        <f>=HYPERLINK("http://demo.enginatics.com:80/ecc/user/applications/log/57552.log","http://demo.enginatics.com:80/ecc/user/applications/log/57552.log")</f>
        <v>"http://demo.enginatics.com:80/ecc/user/applications/log/57552.log")</v>
      </c>
      <c r="U2802">
        <v>57575</v>
      </c>
      <c r="V2802" t="s">
        <v>38</v>
      </c>
      <c r="W2802" t="s">
        <v>85</v>
      </c>
      <c r="X2802">
        <v>3</v>
      </c>
      <c r="Y2802">
        <v>0</v>
      </c>
      <c r="Z2802" t="s">
        <v>46</v>
      </c>
      <c r="AA2802">
        <v>57578</v>
      </c>
      <c r="AB2802" t="s">
        <v>565</v>
      </c>
      <c r="AC2802" t="s">
        <v>48</v>
      </c>
      <c r="AD2802" t="s">
        <v>38</v>
      </c>
      <c r="AE2802" t="s">
        <v>49</v>
      </c>
      <c r="AF2802" t="s">
        <v>85</v>
      </c>
      <c r="AG2802">
        <v>3</v>
      </c>
      <c r="AH2802">
        <v>2</v>
      </c>
      <c r="AI2802" t="s">
        <v>51</v>
      </c>
      <c r="AJ2802" t="s">
        <v>51</v>
      </c>
      <c r="AK2802" t="s">
        <v>51</v>
      </c>
    </row>
    <row r="2803" spans="1:37" x14ac:dyDescent="0.2">
      <c r="A2803">
        <v>57551</v>
      </c>
      <c r="B2803" t="s">
        <v>37</v>
      </c>
      <c r="C2803" t="s">
        <v>38</v>
      </c>
      <c r="D2803" t="s">
        <v>553</v>
      </c>
      <c r="E2803" t="s">
        <v>557</v>
      </c>
      <c r="G2803" s="4">
        <v>43945.542847222222</v>
      </c>
      <c r="H2803" s="4">
        <v>43945.54287037037</v>
      </c>
      <c r="I2803" t="s">
        <v>88</v>
      </c>
      <c r="J2803" s="5">
        <v>2</v>
      </c>
      <c r="K2803" t="s">
        <v>38</v>
      </c>
      <c r="M2803">
        <v>57570</v>
      </c>
      <c r="N2803" t="s">
        <v>557</v>
      </c>
      <c r="O2803" t="s">
        <v>558</v>
      </c>
      <c r="P2803" t="s">
        <v>38</v>
      </c>
      <c r="Q2803" t="s">
        <v>50</v>
      </c>
      <c r="R2803">
        <v>0</v>
      </c>
      <c r="S2803" t="s">
        <v>45</v>
      </c>
      <c r="T2803" t="str" s="2">
        <f>=HYPERLINK("http://demo.enginatics.com:80/ecc/user/applications/log/57551.log","http://demo.enginatics.com:80/ecc/user/applications/log/57551.log")</f>
        <v>"http://demo.enginatics.com:80/ecc/user/applications/log/57551.log")</v>
      </c>
      <c r="U2803">
        <v>57571</v>
      </c>
      <c r="V2803" t="s">
        <v>38</v>
      </c>
      <c r="W2803" t="s">
        <v>50</v>
      </c>
      <c r="X2803">
        <v>0</v>
      </c>
      <c r="Y2803">
        <v>0</v>
      </c>
      <c r="Z2803" t="s">
        <v>46</v>
      </c>
      <c r="AA2803">
        <v>57572</v>
      </c>
      <c r="AB2803" t="s">
        <v>559</v>
      </c>
      <c r="AC2803" t="s">
        <v>48</v>
      </c>
      <c r="AD2803" t="s">
        <v>38</v>
      </c>
      <c r="AE2803" t="s">
        <v>49</v>
      </c>
      <c r="AF2803" t="s">
        <v>50</v>
      </c>
      <c r="AG2803">
        <v>0</v>
      </c>
      <c r="AH2803">
        <v>0</v>
      </c>
      <c r="AI2803" t="s">
        <v>51</v>
      </c>
      <c r="AJ2803" t="s">
        <v>51</v>
      </c>
      <c r="AK2803" t="s">
        <v>51</v>
      </c>
    </row>
    <row r="2804" spans="1:37" x14ac:dyDescent="0.2">
      <c r="A2804">
        <v>57550</v>
      </c>
      <c r="B2804" t="s">
        <v>37</v>
      </c>
      <c r="C2804" t="s">
        <v>38</v>
      </c>
      <c r="D2804" t="s">
        <v>553</v>
      </c>
      <c r="E2804" t="s">
        <v>566</v>
      </c>
      <c r="G2804" s="4">
        <v>43945.542847222222</v>
      </c>
      <c r="H2804" s="4">
        <v>43945.54287037037</v>
      </c>
      <c r="I2804" t="s">
        <v>88</v>
      </c>
      <c r="J2804" s="5">
        <v>2</v>
      </c>
      <c r="K2804" t="s">
        <v>38</v>
      </c>
      <c r="M2804">
        <v>57567</v>
      </c>
      <c r="N2804" t="s">
        <v>566</v>
      </c>
      <c r="O2804" t="s">
        <v>567</v>
      </c>
      <c r="P2804" t="s">
        <v>38</v>
      </c>
      <c r="Q2804" t="s">
        <v>50</v>
      </c>
      <c r="R2804">
        <v>0</v>
      </c>
      <c r="S2804" t="s">
        <v>45</v>
      </c>
      <c r="T2804" t="str" s="2">
        <f>=HYPERLINK("http://demo.enginatics.com:80/ecc/user/applications/log/57550.log","http://demo.enginatics.com:80/ecc/user/applications/log/57550.log")</f>
        <v>"http://demo.enginatics.com:80/ecc/user/applications/log/57550.log")</v>
      </c>
      <c r="U2804">
        <v>57568</v>
      </c>
      <c r="V2804" t="s">
        <v>38</v>
      </c>
      <c r="W2804" t="s">
        <v>50</v>
      </c>
      <c r="X2804">
        <v>0</v>
      </c>
      <c r="Y2804">
        <v>0</v>
      </c>
      <c r="Z2804" t="s">
        <v>46</v>
      </c>
      <c r="AA2804">
        <v>57569</v>
      </c>
      <c r="AB2804" t="s">
        <v>568</v>
      </c>
      <c r="AC2804" t="s">
        <v>48</v>
      </c>
      <c r="AD2804" t="s">
        <v>38</v>
      </c>
      <c r="AE2804" t="s">
        <v>49</v>
      </c>
      <c r="AF2804" t="s">
        <v>50</v>
      </c>
      <c r="AG2804">
        <v>0</v>
      </c>
      <c r="AH2804">
        <v>0</v>
      </c>
      <c r="AI2804" t="s">
        <v>51</v>
      </c>
      <c r="AJ2804" t="s">
        <v>51</v>
      </c>
      <c r="AK2804" t="s">
        <v>51</v>
      </c>
    </row>
    <row r="2805" spans="1:37" x14ac:dyDescent="0.2">
      <c r="A2805">
        <v>57549</v>
      </c>
      <c r="B2805" t="s">
        <v>37</v>
      </c>
      <c r="C2805" t="s">
        <v>38</v>
      </c>
      <c r="D2805" t="s">
        <v>553</v>
      </c>
      <c r="E2805" t="s">
        <v>560</v>
      </c>
      <c r="G2805" s="4">
        <v>43945.542847222222</v>
      </c>
      <c r="H2805" s="4">
        <v>43945.54287037037</v>
      </c>
      <c r="I2805" t="s">
        <v>88</v>
      </c>
      <c r="J2805" s="5">
        <v>2</v>
      </c>
      <c r="K2805" t="s">
        <v>38</v>
      </c>
      <c r="M2805">
        <v>57556</v>
      </c>
      <c r="N2805" t="s">
        <v>560</v>
      </c>
      <c r="O2805" t="s">
        <v>561</v>
      </c>
      <c r="P2805" t="s">
        <v>38</v>
      </c>
      <c r="Q2805" t="s">
        <v>50</v>
      </c>
      <c r="R2805">
        <v>.9999999999999999999999999999999999999996</v>
      </c>
      <c r="S2805" t="s">
        <v>45</v>
      </c>
      <c r="T2805" t="str" s="2">
        <f>=HYPERLINK("http://demo.enginatics.com:80/ecc/user/applications/log/57549.log","http://demo.enginatics.com:80/ecc/user/applications/log/57549.log")</f>
        <v>"http://demo.enginatics.com:80/ecc/user/applications/log/57549.log")</v>
      </c>
      <c r="U2805">
        <v>57557</v>
      </c>
      <c r="V2805" t="s">
        <v>38</v>
      </c>
      <c r="W2805" t="s">
        <v>50</v>
      </c>
      <c r="X2805">
        <v>.9999999999999999999999999999999999999996</v>
      </c>
      <c r="Y2805">
        <v>0</v>
      </c>
      <c r="Z2805" t="s">
        <v>46</v>
      </c>
      <c r="AA2805">
        <v>57561</v>
      </c>
      <c r="AB2805" t="s">
        <v>562</v>
      </c>
      <c r="AC2805" t="s">
        <v>48</v>
      </c>
      <c r="AD2805" t="s">
        <v>38</v>
      </c>
      <c r="AE2805" t="s">
        <v>49</v>
      </c>
      <c r="AF2805" t="s">
        <v>50</v>
      </c>
      <c r="AG2805">
        <v>.9999999999999999999999999999999999999996</v>
      </c>
      <c r="AH2805">
        <v>0</v>
      </c>
      <c r="AI2805" t="s">
        <v>51</v>
      </c>
      <c r="AJ2805" t="s">
        <v>51</v>
      </c>
      <c r="AK2805" t="s">
        <v>51</v>
      </c>
    </row>
    <row r="2806" spans="1:37" x14ac:dyDescent="0.2">
      <c r="A2806">
        <v>57548</v>
      </c>
      <c r="B2806" t="s">
        <v>37</v>
      </c>
      <c r="C2806" t="s">
        <v>38</v>
      </c>
      <c r="D2806" t="s">
        <v>553</v>
      </c>
      <c r="E2806" t="s">
        <v>554</v>
      </c>
      <c r="G2806" s="4">
        <v>43945.542847222222</v>
      </c>
      <c r="H2806" s="4">
        <v>43945.54287037037</v>
      </c>
      <c r="I2806" t="s">
        <v>88</v>
      </c>
      <c r="J2806" s="5">
        <v>2</v>
      </c>
      <c r="K2806" t="s">
        <v>38</v>
      </c>
      <c r="M2806">
        <v>57553</v>
      </c>
      <c r="N2806" t="s">
        <v>554</v>
      </c>
      <c r="O2806" t="s">
        <v>555</v>
      </c>
      <c r="P2806" t="s">
        <v>38</v>
      </c>
      <c r="Q2806" t="s">
        <v>50</v>
      </c>
      <c r="R2806">
        <v>.9999999999999999999999999999999999999996</v>
      </c>
      <c r="S2806" t="s">
        <v>45</v>
      </c>
      <c r="T2806" t="str" s="2">
        <f>=HYPERLINK("http://demo.enginatics.com:80/ecc/user/applications/log/57548.log","http://demo.enginatics.com:80/ecc/user/applications/log/57548.log")</f>
        <v>"http://demo.enginatics.com:80/ecc/user/applications/log/57548.log")</v>
      </c>
      <c r="U2806">
        <v>57555</v>
      </c>
      <c r="V2806" t="s">
        <v>38</v>
      </c>
      <c r="W2806" t="s">
        <v>50</v>
      </c>
      <c r="X2806">
        <v>.9999999999999999999999999999999999999996</v>
      </c>
      <c r="Y2806">
        <v>0</v>
      </c>
      <c r="Z2806" t="s">
        <v>46</v>
      </c>
      <c r="AA2806">
        <v>57560</v>
      </c>
      <c r="AB2806" t="s">
        <v>556</v>
      </c>
      <c r="AC2806" t="s">
        <v>48</v>
      </c>
      <c r="AD2806" t="s">
        <v>38</v>
      </c>
      <c r="AE2806" t="s">
        <v>49</v>
      </c>
      <c r="AF2806" t="s">
        <v>50</v>
      </c>
      <c r="AG2806">
        <v>.9999999999999999999999999999999999999996</v>
      </c>
      <c r="AH2806">
        <v>0</v>
      </c>
      <c r="AI2806" t="s">
        <v>51</v>
      </c>
      <c r="AJ2806" t="s">
        <v>51</v>
      </c>
      <c r="AK2806" t="s">
        <v>51</v>
      </c>
    </row>
    <row r="2807" spans="1:37" x14ac:dyDescent="0.2">
      <c r="A2807">
        <v>57541</v>
      </c>
      <c r="B2807" t="s">
        <v>37</v>
      </c>
      <c r="C2807" t="s">
        <v>38</v>
      </c>
      <c r="D2807" t="s">
        <v>553</v>
      </c>
      <c r="E2807" t="s">
        <v>593</v>
      </c>
      <c r="G2807" s="4">
        <v>43945.542766203704</v>
      </c>
      <c r="H2807" s="4">
        <v>43945.542835648148</v>
      </c>
      <c r="I2807" t="s">
        <v>75</v>
      </c>
      <c r="J2807" s="5">
        <v>6</v>
      </c>
      <c r="K2807" t="s">
        <v>38</v>
      </c>
      <c r="M2807">
        <v>57544</v>
      </c>
      <c r="N2807" t="s">
        <v>593</v>
      </c>
      <c r="O2807" t="s">
        <v>594</v>
      </c>
      <c r="P2807" t="s">
        <v>38</v>
      </c>
      <c r="Q2807" t="s">
        <v>78</v>
      </c>
      <c r="R2807">
        <v>5</v>
      </c>
      <c r="S2807" t="s">
        <v>45</v>
      </c>
      <c r="T2807" t="str" s="2">
        <f>=HYPERLINK("http://demo.enginatics.com:80/ecc/user/applications/log/57541.log","http://demo.enginatics.com:80/ecc/user/applications/log/57541.log")</f>
        <v>"http://demo.enginatics.com:80/ecc/user/applications/log/57541.log")</v>
      </c>
      <c r="U2807">
        <v>57545</v>
      </c>
      <c r="V2807" t="s">
        <v>38</v>
      </c>
      <c r="W2807" t="s">
        <v>44</v>
      </c>
      <c r="X2807">
        <v>4</v>
      </c>
      <c r="Y2807">
        <v>1</v>
      </c>
      <c r="Z2807" t="s">
        <v>46</v>
      </c>
      <c r="AA2807">
        <v>57547</v>
      </c>
      <c r="AB2807" t="s">
        <v>1946</v>
      </c>
      <c r="AC2807" t="s">
        <v>48</v>
      </c>
      <c r="AD2807" t="s">
        <v>38</v>
      </c>
      <c r="AE2807" t="s">
        <v>49</v>
      </c>
      <c r="AF2807" t="s">
        <v>88</v>
      </c>
      <c r="AG2807">
        <v>2</v>
      </c>
      <c r="AH2807">
        <v>1</v>
      </c>
      <c r="AI2807" t="s">
        <v>51</v>
      </c>
      <c r="AJ2807" t="s">
        <v>51</v>
      </c>
      <c r="AK2807" t="s">
        <v>51</v>
      </c>
    </row>
    <row r="2808" spans="1:37" x14ac:dyDescent="0.2">
      <c r="A2808">
        <v>57540</v>
      </c>
      <c r="B2808" t="s">
        <v>37</v>
      </c>
      <c r="C2808" t="s">
        <v>38</v>
      </c>
      <c r="D2808" t="s">
        <v>553</v>
      </c>
      <c r="E2808" t="s">
        <v>596</v>
      </c>
      <c r="G2808" s="4">
        <v>43945.542766203704</v>
      </c>
      <c r="H2808" s="4">
        <v>43945.542835648148</v>
      </c>
      <c r="I2808" t="s">
        <v>75</v>
      </c>
      <c r="J2808" s="5">
        <v>6</v>
      </c>
      <c r="K2808" t="s">
        <v>38</v>
      </c>
      <c r="M2808">
        <v>57542</v>
      </c>
      <c r="N2808" t="s">
        <v>596</v>
      </c>
      <c r="O2808" t="s">
        <v>597</v>
      </c>
      <c r="P2808" t="s">
        <v>38</v>
      </c>
      <c r="Q2808" t="s">
        <v>75</v>
      </c>
      <c r="R2808">
        <v>6</v>
      </c>
      <c r="S2808" t="s">
        <v>45</v>
      </c>
      <c r="T2808" t="str" s="2">
        <f>=HYPERLINK("http://demo.enginatics.com:80/ecc/user/applications/log/57540.log","http://demo.enginatics.com:80/ecc/user/applications/log/57540.log")</f>
        <v>"http://demo.enginatics.com:80/ecc/user/applications/log/57540.log")</v>
      </c>
      <c r="U2808">
        <v>57543</v>
      </c>
      <c r="V2808" t="s">
        <v>38</v>
      </c>
      <c r="W2808" t="s">
        <v>44</v>
      </c>
      <c r="X2808">
        <v>4</v>
      </c>
      <c r="Y2808">
        <v>0</v>
      </c>
      <c r="Z2808" t="s">
        <v>46</v>
      </c>
      <c r="AA2808">
        <v>57546</v>
      </c>
      <c r="AB2808" t="s">
        <v>1947</v>
      </c>
      <c r="AC2808" t="s">
        <v>48</v>
      </c>
      <c r="AD2808" t="s">
        <v>38</v>
      </c>
      <c r="AE2808" t="s">
        <v>49</v>
      </c>
      <c r="AF2808" t="s">
        <v>44</v>
      </c>
      <c r="AG2808">
        <v>4</v>
      </c>
      <c r="AH2808">
        <v>3</v>
      </c>
      <c r="AI2808" t="s">
        <v>51</v>
      </c>
      <c r="AJ2808" t="s">
        <v>51</v>
      </c>
      <c r="AK2808" t="s">
        <v>51</v>
      </c>
    </row>
    <row r="2809" spans="1:37" x14ac:dyDescent="0.2">
      <c r="A2809">
        <v>57536</v>
      </c>
      <c r="B2809" t="s">
        <v>37</v>
      </c>
      <c r="C2809" t="s">
        <v>38</v>
      </c>
      <c r="D2809" t="s">
        <v>83</v>
      </c>
      <c r="E2809" t="s">
        <v>599</v>
      </c>
      <c r="G2809" s="4">
        <v>43945.542581018519</v>
      </c>
      <c r="H2809" s="4">
        <v>43945.542615740741</v>
      </c>
      <c r="I2809" t="s">
        <v>85</v>
      </c>
      <c r="J2809" s="5">
        <v>3</v>
      </c>
      <c r="K2809" t="s">
        <v>38</v>
      </c>
      <c r="M2809">
        <v>57537</v>
      </c>
      <c r="N2809" t="s">
        <v>599</v>
      </c>
      <c r="O2809" t="s">
        <v>600</v>
      </c>
      <c r="P2809" t="s">
        <v>38</v>
      </c>
      <c r="Q2809" t="s">
        <v>85</v>
      </c>
      <c r="R2809">
        <v>3</v>
      </c>
      <c r="S2809" t="s">
        <v>45</v>
      </c>
      <c r="T2809" t="str" s="2">
        <f>=HYPERLINK("http://demo.enginatics.com:80/ecc/user/applications/log/57536.log","http://demo.enginatics.com:80/ecc/user/applications/log/57536.log")</f>
        <v>"http://demo.enginatics.com:80/ecc/user/applications/log/57536.log")</v>
      </c>
      <c r="U2809">
        <v>57538</v>
      </c>
      <c r="V2809" t="s">
        <v>38</v>
      </c>
      <c r="W2809" t="s">
        <v>85</v>
      </c>
      <c r="X2809">
        <v>3</v>
      </c>
      <c r="Y2809">
        <v>0</v>
      </c>
      <c r="Z2809" t="s">
        <v>46</v>
      </c>
      <c r="AA2809">
        <v>57539</v>
      </c>
      <c r="AB2809" t="s">
        <v>2170</v>
      </c>
      <c r="AC2809" t="s">
        <v>68</v>
      </c>
      <c r="AD2809" t="s">
        <v>38</v>
      </c>
      <c r="AE2809" t="s">
        <v>49</v>
      </c>
      <c r="AF2809" t="s">
        <v>85</v>
      </c>
      <c r="AG2809">
        <v>3</v>
      </c>
      <c r="AH2809">
        <v>2</v>
      </c>
      <c r="AI2809" t="s">
        <v>51</v>
      </c>
      <c r="AJ2809" t="s">
        <v>51</v>
      </c>
      <c r="AK2809" t="s">
        <v>51</v>
      </c>
    </row>
    <row r="2810" spans="1:37" x14ac:dyDescent="0.2">
      <c r="A2810">
        <v>57532</v>
      </c>
      <c r="B2810" t="s">
        <v>37</v>
      </c>
      <c r="C2810" t="s">
        <v>38</v>
      </c>
      <c r="D2810" t="s">
        <v>602</v>
      </c>
      <c r="E2810" t="s">
        <v>603</v>
      </c>
      <c r="G2810" s="4">
        <v>43945.531863425926</v>
      </c>
      <c r="H2810" s="4">
        <v>43945.531909722222</v>
      </c>
      <c r="I2810" t="s">
        <v>44</v>
      </c>
      <c r="J2810" s="5">
        <v>4</v>
      </c>
      <c r="K2810" t="s">
        <v>38</v>
      </c>
      <c r="M2810">
        <v>57533</v>
      </c>
      <c r="N2810" t="s">
        <v>603</v>
      </c>
      <c r="O2810" t="s">
        <v>604</v>
      </c>
      <c r="P2810" t="s">
        <v>38</v>
      </c>
      <c r="Q2810" t="s">
        <v>44</v>
      </c>
      <c r="R2810">
        <v>4</v>
      </c>
      <c r="S2810" t="s">
        <v>45</v>
      </c>
      <c r="T2810" t="str" s="2">
        <f>=HYPERLINK("http://demo.enginatics.com:80/ecc/user/applications/log/57532.log","http://demo.enginatics.com:80/ecc/user/applications/log/57532.log")</f>
        <v>"http://demo.enginatics.com:80/ecc/user/applications/log/57532.log")</v>
      </c>
      <c r="U2810">
        <v>57534</v>
      </c>
      <c r="V2810" t="s">
        <v>38</v>
      </c>
      <c r="W2810" t="s">
        <v>44</v>
      </c>
      <c r="X2810">
        <v>4</v>
      </c>
      <c r="Y2810">
        <v>0</v>
      </c>
      <c r="Z2810" t="s">
        <v>46</v>
      </c>
      <c r="AA2810">
        <v>57535</v>
      </c>
      <c r="AB2810" t="s">
        <v>605</v>
      </c>
      <c r="AC2810" t="s">
        <v>68</v>
      </c>
      <c r="AD2810" t="s">
        <v>38</v>
      </c>
      <c r="AE2810" t="s">
        <v>49</v>
      </c>
      <c r="AF2810" t="s">
        <v>44</v>
      </c>
      <c r="AG2810">
        <v>4</v>
      </c>
      <c r="AH2810">
        <v>3</v>
      </c>
      <c r="AI2810" t="s">
        <v>51</v>
      </c>
      <c r="AJ2810" t="s">
        <v>51</v>
      </c>
      <c r="AK2810" t="s">
        <v>51</v>
      </c>
    </row>
    <row r="2811" spans="1:37" x14ac:dyDescent="0.2">
      <c r="A2811">
        <v>57527</v>
      </c>
      <c r="B2811" t="s">
        <v>37</v>
      </c>
      <c r="C2811" t="s">
        <v>38</v>
      </c>
      <c r="D2811" t="s">
        <v>606</v>
      </c>
      <c r="E2811" t="s">
        <v>607</v>
      </c>
      <c r="G2811" s="4">
        <v>43945.529074074074</v>
      </c>
      <c r="H2811" s="4">
        <v>43945.529074074074</v>
      </c>
      <c r="I2811" t="s">
        <v>50</v>
      </c>
      <c r="J2811" s="5">
        <v>0</v>
      </c>
      <c r="K2811" t="s">
        <v>38</v>
      </c>
      <c r="M2811">
        <v>57528</v>
      </c>
      <c r="N2811" t="s">
        <v>607</v>
      </c>
      <c r="O2811" t="s">
        <v>608</v>
      </c>
      <c r="P2811" t="s">
        <v>38</v>
      </c>
      <c r="Q2811" t="s">
        <v>50</v>
      </c>
      <c r="R2811">
        <v>0</v>
      </c>
      <c r="S2811" t="s">
        <v>45</v>
      </c>
      <c r="T2811" t="str" s="2">
        <f>=HYPERLINK("http://demo.enginatics.com:80/ecc/user/applications/log/57527.log","http://demo.enginatics.com:80/ecc/user/applications/log/57527.log")</f>
        <v>"http://demo.enginatics.com:80/ecc/user/applications/log/57527.log")</v>
      </c>
      <c r="U2811">
        <v>57529</v>
      </c>
      <c r="V2811" t="s">
        <v>38</v>
      </c>
      <c r="W2811" t="s">
        <v>50</v>
      </c>
      <c r="X2811">
        <v>0</v>
      </c>
      <c r="Y2811">
        <v>0</v>
      </c>
      <c r="Z2811" t="s">
        <v>46</v>
      </c>
      <c r="AA2811">
        <v>57531</v>
      </c>
      <c r="AB2811" t="s">
        <v>609</v>
      </c>
      <c r="AC2811" t="s">
        <v>48</v>
      </c>
      <c r="AD2811" t="s">
        <v>38</v>
      </c>
      <c r="AE2811" t="s">
        <v>49</v>
      </c>
      <c r="AF2811" t="s">
        <v>50</v>
      </c>
      <c r="AG2811">
        <v>0</v>
      </c>
      <c r="AH2811">
        <v>0</v>
      </c>
      <c r="AI2811" t="s">
        <v>51</v>
      </c>
      <c r="AJ2811" t="s">
        <v>51</v>
      </c>
      <c r="AK2811" t="s">
        <v>51</v>
      </c>
    </row>
    <row r="2812" spans="1:37" x14ac:dyDescent="0.2">
      <c r="A2812">
        <v>57527</v>
      </c>
      <c r="B2812" t="s">
        <v>37</v>
      </c>
      <c r="C2812" t="s">
        <v>38</v>
      </c>
      <c r="D2812" t="s">
        <v>606</v>
      </c>
      <c r="E2812" t="s">
        <v>607</v>
      </c>
      <c r="G2812" s="4">
        <v>43945.529074074074</v>
      </c>
      <c r="H2812" s="4">
        <v>43945.529074074074</v>
      </c>
      <c r="I2812" t="s">
        <v>50</v>
      </c>
      <c r="J2812" s="5">
        <v>0</v>
      </c>
      <c r="K2812" t="s">
        <v>38</v>
      </c>
      <c r="M2812">
        <v>57528</v>
      </c>
      <c r="N2812" t="s">
        <v>607</v>
      </c>
      <c r="O2812" t="s">
        <v>608</v>
      </c>
      <c r="P2812" t="s">
        <v>38</v>
      </c>
      <c r="Q2812" t="s">
        <v>50</v>
      </c>
      <c r="R2812">
        <v>0</v>
      </c>
      <c r="S2812" t="s">
        <v>45</v>
      </c>
      <c r="T2812" t="str" s="2">
        <f>=HYPERLINK("http://demo.enginatics.com:80/ecc/user/applications/log/57527.log","http://demo.enginatics.com:80/ecc/user/applications/log/57527.log")</f>
        <v>"http://demo.enginatics.com:80/ecc/user/applications/log/57527.log")</v>
      </c>
      <c r="U2812">
        <v>57529</v>
      </c>
      <c r="V2812" t="s">
        <v>38</v>
      </c>
      <c r="W2812" t="s">
        <v>50</v>
      </c>
      <c r="X2812">
        <v>0</v>
      </c>
      <c r="Y2812">
        <v>0</v>
      </c>
      <c r="Z2812" t="s">
        <v>46</v>
      </c>
      <c r="AA2812">
        <v>57530</v>
      </c>
      <c r="AB2812" t="s">
        <v>610</v>
      </c>
      <c r="AC2812" t="s">
        <v>56</v>
      </c>
      <c r="AD2812" t="s">
        <v>38</v>
      </c>
      <c r="AE2812" t="s">
        <v>49</v>
      </c>
      <c r="AF2812" t="s">
        <v>50</v>
      </c>
      <c r="AG2812">
        <v>0</v>
      </c>
      <c r="AH2812">
        <v>0</v>
      </c>
      <c r="AI2812" t="s">
        <v>51</v>
      </c>
      <c r="AJ2812" t="s">
        <v>51</v>
      </c>
      <c r="AK2812" t="s">
        <v>51</v>
      </c>
    </row>
    <row r="2813" spans="1:37" x14ac:dyDescent="0.2">
      <c r="A2813">
        <v>57522</v>
      </c>
      <c r="B2813" t="s">
        <v>37</v>
      </c>
      <c r="C2813" t="s">
        <v>38</v>
      </c>
      <c r="D2813" t="s">
        <v>606</v>
      </c>
      <c r="E2813" t="s">
        <v>611</v>
      </c>
      <c r="G2813" s="4">
        <v>43945.529027777778</v>
      </c>
      <c r="H2813" s="4">
        <v>43945.529027777778</v>
      </c>
      <c r="I2813" t="s">
        <v>50</v>
      </c>
      <c r="J2813" s="5">
        <v>0</v>
      </c>
      <c r="K2813" t="s">
        <v>38</v>
      </c>
      <c r="M2813">
        <v>57523</v>
      </c>
      <c r="N2813" t="s">
        <v>611</v>
      </c>
      <c r="O2813" t="s">
        <v>612</v>
      </c>
      <c r="P2813" t="s">
        <v>38</v>
      </c>
      <c r="Q2813" t="s">
        <v>50</v>
      </c>
      <c r="R2813">
        <v>0</v>
      </c>
      <c r="S2813" t="s">
        <v>45</v>
      </c>
      <c r="T2813" t="str" s="2">
        <f>=HYPERLINK("http://demo.enginatics.com:80/ecc/user/applications/log/57522.log","http://demo.enginatics.com:80/ecc/user/applications/log/57522.log")</f>
        <v>"http://demo.enginatics.com:80/ecc/user/applications/log/57522.log")</v>
      </c>
      <c r="U2813">
        <v>57524</v>
      </c>
      <c r="V2813" t="s">
        <v>38</v>
      </c>
      <c r="W2813" t="s">
        <v>50</v>
      </c>
      <c r="X2813">
        <v>0</v>
      </c>
      <c r="Y2813">
        <v>0</v>
      </c>
      <c r="Z2813" t="s">
        <v>46</v>
      </c>
      <c r="AA2813">
        <v>57526</v>
      </c>
      <c r="AB2813" t="s">
        <v>613</v>
      </c>
      <c r="AC2813" t="s">
        <v>48</v>
      </c>
      <c r="AD2813" t="s">
        <v>38</v>
      </c>
      <c r="AE2813" t="s">
        <v>49</v>
      </c>
      <c r="AF2813" t="s">
        <v>50</v>
      </c>
      <c r="AG2813">
        <v>0</v>
      </c>
      <c r="AH2813">
        <v>0</v>
      </c>
      <c r="AI2813" t="s">
        <v>51</v>
      </c>
      <c r="AJ2813" t="s">
        <v>51</v>
      </c>
      <c r="AK2813" t="s">
        <v>51</v>
      </c>
    </row>
    <row r="2814" spans="1:37" x14ac:dyDescent="0.2">
      <c r="A2814">
        <v>57522</v>
      </c>
      <c r="B2814" t="s">
        <v>37</v>
      </c>
      <c r="C2814" t="s">
        <v>38</v>
      </c>
      <c r="D2814" t="s">
        <v>606</v>
      </c>
      <c r="E2814" t="s">
        <v>611</v>
      </c>
      <c r="G2814" s="4">
        <v>43945.529027777778</v>
      </c>
      <c r="H2814" s="4">
        <v>43945.529027777778</v>
      </c>
      <c r="I2814" t="s">
        <v>50</v>
      </c>
      <c r="J2814" s="5">
        <v>0</v>
      </c>
      <c r="K2814" t="s">
        <v>38</v>
      </c>
      <c r="M2814">
        <v>57523</v>
      </c>
      <c r="N2814" t="s">
        <v>611</v>
      </c>
      <c r="O2814" t="s">
        <v>612</v>
      </c>
      <c r="P2814" t="s">
        <v>38</v>
      </c>
      <c r="Q2814" t="s">
        <v>50</v>
      </c>
      <c r="R2814">
        <v>0</v>
      </c>
      <c r="S2814" t="s">
        <v>45</v>
      </c>
      <c r="T2814" t="str" s="2">
        <f>=HYPERLINK("http://demo.enginatics.com:80/ecc/user/applications/log/57522.log","http://demo.enginatics.com:80/ecc/user/applications/log/57522.log")</f>
        <v>"http://demo.enginatics.com:80/ecc/user/applications/log/57522.log")</v>
      </c>
      <c r="U2814">
        <v>57524</v>
      </c>
      <c r="V2814" t="s">
        <v>38</v>
      </c>
      <c r="W2814" t="s">
        <v>50</v>
      </c>
      <c r="X2814">
        <v>0</v>
      </c>
      <c r="Y2814">
        <v>0</v>
      </c>
      <c r="Z2814" t="s">
        <v>46</v>
      </c>
      <c r="AA2814">
        <v>57525</v>
      </c>
      <c r="AB2814" t="s">
        <v>614</v>
      </c>
      <c r="AC2814" t="s">
        <v>56</v>
      </c>
      <c r="AD2814" t="s">
        <v>38</v>
      </c>
      <c r="AE2814" t="s">
        <v>49</v>
      </c>
      <c r="AF2814" t="s">
        <v>50</v>
      </c>
      <c r="AG2814">
        <v>0</v>
      </c>
      <c r="AH2814">
        <v>0</v>
      </c>
      <c r="AI2814" t="s">
        <v>51</v>
      </c>
      <c r="AJ2814" t="s">
        <v>51</v>
      </c>
      <c r="AK2814" t="s">
        <v>51</v>
      </c>
    </row>
    <row r="2815" spans="1:37" x14ac:dyDescent="0.2">
      <c r="A2815">
        <v>57517</v>
      </c>
      <c r="B2815" t="s">
        <v>37</v>
      </c>
      <c r="C2815" t="s">
        <v>38</v>
      </c>
      <c r="D2815" t="s">
        <v>606</v>
      </c>
      <c r="E2815" t="s">
        <v>615</v>
      </c>
      <c r="G2815" s="4">
        <v>43945.528946759259</v>
      </c>
      <c r="H2815" s="4">
        <v>43945.528946759259</v>
      </c>
      <c r="I2815" t="s">
        <v>50</v>
      </c>
      <c r="J2815" s="5">
        <v>0</v>
      </c>
      <c r="K2815" t="s">
        <v>38</v>
      </c>
      <c r="M2815">
        <v>57518</v>
      </c>
      <c r="N2815" t="s">
        <v>615</v>
      </c>
      <c r="O2815" t="s">
        <v>616</v>
      </c>
      <c r="P2815" t="s">
        <v>38</v>
      </c>
      <c r="Q2815" t="s">
        <v>50</v>
      </c>
      <c r="R2815">
        <v>0</v>
      </c>
      <c r="S2815" t="s">
        <v>45</v>
      </c>
      <c r="T2815" t="str" s="2">
        <f>=HYPERLINK("http://demo.enginatics.com:80/ecc/user/applications/log/57517.log","http://demo.enginatics.com:80/ecc/user/applications/log/57517.log")</f>
        <v>"http://demo.enginatics.com:80/ecc/user/applications/log/57517.log")</v>
      </c>
      <c r="U2815">
        <v>57519</v>
      </c>
      <c r="V2815" t="s">
        <v>38</v>
      </c>
      <c r="W2815" t="s">
        <v>50</v>
      </c>
      <c r="X2815">
        <v>0</v>
      </c>
      <c r="Y2815">
        <v>0</v>
      </c>
      <c r="Z2815" t="s">
        <v>46</v>
      </c>
      <c r="AA2815">
        <v>57521</v>
      </c>
      <c r="AB2815" t="s">
        <v>617</v>
      </c>
      <c r="AC2815" t="s">
        <v>48</v>
      </c>
      <c r="AD2815" t="s">
        <v>38</v>
      </c>
      <c r="AE2815" t="s">
        <v>49</v>
      </c>
      <c r="AF2815" t="s">
        <v>50</v>
      </c>
      <c r="AG2815">
        <v>0</v>
      </c>
      <c r="AH2815">
        <v>0</v>
      </c>
      <c r="AI2815" t="s">
        <v>51</v>
      </c>
      <c r="AJ2815" t="s">
        <v>51</v>
      </c>
      <c r="AK2815" t="s">
        <v>51</v>
      </c>
    </row>
    <row r="2816" spans="1:37" x14ac:dyDescent="0.2">
      <c r="A2816">
        <v>57517</v>
      </c>
      <c r="B2816" t="s">
        <v>37</v>
      </c>
      <c r="C2816" t="s">
        <v>38</v>
      </c>
      <c r="D2816" t="s">
        <v>606</v>
      </c>
      <c r="E2816" t="s">
        <v>615</v>
      </c>
      <c r="G2816" s="4">
        <v>43945.528946759259</v>
      </c>
      <c r="H2816" s="4">
        <v>43945.528946759259</v>
      </c>
      <c r="I2816" t="s">
        <v>50</v>
      </c>
      <c r="J2816" s="5">
        <v>0</v>
      </c>
      <c r="K2816" t="s">
        <v>38</v>
      </c>
      <c r="M2816">
        <v>57518</v>
      </c>
      <c r="N2816" t="s">
        <v>615</v>
      </c>
      <c r="O2816" t="s">
        <v>616</v>
      </c>
      <c r="P2816" t="s">
        <v>38</v>
      </c>
      <c r="Q2816" t="s">
        <v>50</v>
      </c>
      <c r="R2816">
        <v>0</v>
      </c>
      <c r="S2816" t="s">
        <v>45</v>
      </c>
      <c r="T2816" t="str" s="2">
        <f>=HYPERLINK("http://demo.enginatics.com:80/ecc/user/applications/log/57517.log","http://demo.enginatics.com:80/ecc/user/applications/log/57517.log")</f>
        <v>"http://demo.enginatics.com:80/ecc/user/applications/log/57517.log")</v>
      </c>
      <c r="U2816">
        <v>57519</v>
      </c>
      <c r="V2816" t="s">
        <v>38</v>
      </c>
      <c r="W2816" t="s">
        <v>50</v>
      </c>
      <c r="X2816">
        <v>0</v>
      </c>
      <c r="Y2816">
        <v>0</v>
      </c>
      <c r="Z2816" t="s">
        <v>46</v>
      </c>
      <c r="AA2816">
        <v>57520</v>
      </c>
      <c r="AB2816" t="s">
        <v>618</v>
      </c>
      <c r="AC2816" t="s">
        <v>56</v>
      </c>
      <c r="AD2816" t="s">
        <v>38</v>
      </c>
      <c r="AE2816" t="s">
        <v>49</v>
      </c>
      <c r="AF2816" t="s">
        <v>50</v>
      </c>
      <c r="AG2816">
        <v>0</v>
      </c>
      <c r="AH2816">
        <v>0</v>
      </c>
      <c r="AI2816" t="s">
        <v>51</v>
      </c>
      <c r="AJ2816" t="s">
        <v>51</v>
      </c>
      <c r="AK2816" t="s">
        <v>51</v>
      </c>
    </row>
    <row r="2817" spans="1:37" x14ac:dyDescent="0.2">
      <c r="A2817">
        <v>57512</v>
      </c>
      <c r="B2817" t="s">
        <v>37</v>
      </c>
      <c r="C2817" t="s">
        <v>38</v>
      </c>
      <c r="D2817" t="s">
        <v>606</v>
      </c>
      <c r="E2817" t="s">
        <v>619</v>
      </c>
      <c r="G2817" s="4">
        <v>43945.528819444444</v>
      </c>
      <c r="H2817" s="4">
        <v>43945.528819444444</v>
      </c>
      <c r="I2817" t="s">
        <v>50</v>
      </c>
      <c r="J2817" s="5">
        <v>0</v>
      </c>
      <c r="K2817" t="s">
        <v>38</v>
      </c>
      <c r="M2817">
        <v>57513</v>
      </c>
      <c r="N2817" t="s">
        <v>619</v>
      </c>
      <c r="O2817" t="s">
        <v>620</v>
      </c>
      <c r="P2817" t="s">
        <v>38</v>
      </c>
      <c r="Q2817" t="s">
        <v>50</v>
      </c>
      <c r="R2817">
        <v>0</v>
      </c>
      <c r="S2817" t="s">
        <v>45</v>
      </c>
      <c r="T2817" t="str" s="2">
        <f>=HYPERLINK("http://demo.enginatics.com:80/ecc/user/applications/log/57512.log","http://demo.enginatics.com:80/ecc/user/applications/log/57512.log")</f>
        <v>"http://demo.enginatics.com:80/ecc/user/applications/log/57512.log")</v>
      </c>
      <c r="U2817">
        <v>57514</v>
      </c>
      <c r="V2817" t="s">
        <v>38</v>
      </c>
      <c r="W2817" t="s">
        <v>50</v>
      </c>
      <c r="X2817">
        <v>0</v>
      </c>
      <c r="Y2817">
        <v>0</v>
      </c>
      <c r="Z2817" t="s">
        <v>46</v>
      </c>
      <c r="AA2817">
        <v>57516</v>
      </c>
      <c r="AB2817" t="s">
        <v>621</v>
      </c>
      <c r="AC2817" t="s">
        <v>48</v>
      </c>
      <c r="AD2817" t="s">
        <v>38</v>
      </c>
      <c r="AE2817" t="s">
        <v>49</v>
      </c>
      <c r="AF2817" t="s">
        <v>50</v>
      </c>
      <c r="AG2817">
        <v>0</v>
      </c>
      <c r="AH2817">
        <v>0</v>
      </c>
      <c r="AI2817" t="s">
        <v>51</v>
      </c>
      <c r="AJ2817" t="s">
        <v>51</v>
      </c>
      <c r="AK2817" t="s">
        <v>51</v>
      </c>
    </row>
    <row r="2818" spans="1:37" x14ac:dyDescent="0.2">
      <c r="A2818">
        <v>57512</v>
      </c>
      <c r="B2818" t="s">
        <v>37</v>
      </c>
      <c r="C2818" t="s">
        <v>38</v>
      </c>
      <c r="D2818" t="s">
        <v>606</v>
      </c>
      <c r="E2818" t="s">
        <v>619</v>
      </c>
      <c r="G2818" s="4">
        <v>43945.528819444444</v>
      </c>
      <c r="H2818" s="4">
        <v>43945.528819444444</v>
      </c>
      <c r="I2818" t="s">
        <v>50</v>
      </c>
      <c r="J2818" s="5">
        <v>0</v>
      </c>
      <c r="K2818" t="s">
        <v>38</v>
      </c>
      <c r="M2818">
        <v>57513</v>
      </c>
      <c r="N2818" t="s">
        <v>619</v>
      </c>
      <c r="O2818" t="s">
        <v>620</v>
      </c>
      <c r="P2818" t="s">
        <v>38</v>
      </c>
      <c r="Q2818" t="s">
        <v>50</v>
      </c>
      <c r="R2818">
        <v>0</v>
      </c>
      <c r="S2818" t="s">
        <v>45</v>
      </c>
      <c r="T2818" t="str" s="2">
        <f>=HYPERLINK("http://demo.enginatics.com:80/ecc/user/applications/log/57512.log","http://demo.enginatics.com:80/ecc/user/applications/log/57512.log")</f>
        <v>"http://demo.enginatics.com:80/ecc/user/applications/log/57512.log")</v>
      </c>
      <c r="U2818">
        <v>57514</v>
      </c>
      <c r="V2818" t="s">
        <v>38</v>
      </c>
      <c r="W2818" t="s">
        <v>50</v>
      </c>
      <c r="X2818">
        <v>0</v>
      </c>
      <c r="Y2818">
        <v>0</v>
      </c>
      <c r="Z2818" t="s">
        <v>46</v>
      </c>
      <c r="AA2818">
        <v>57515</v>
      </c>
      <c r="AB2818" t="s">
        <v>622</v>
      </c>
      <c r="AC2818" t="s">
        <v>56</v>
      </c>
      <c r="AD2818" t="s">
        <v>38</v>
      </c>
      <c r="AE2818" t="s">
        <v>49</v>
      </c>
      <c r="AF2818" t="s">
        <v>50</v>
      </c>
      <c r="AG2818">
        <v>0</v>
      </c>
      <c r="AH2818">
        <v>0</v>
      </c>
      <c r="AI2818" t="s">
        <v>51</v>
      </c>
      <c r="AJ2818" t="s">
        <v>51</v>
      </c>
      <c r="AK2818" t="s">
        <v>51</v>
      </c>
    </row>
    <row r="2819" spans="1:37" x14ac:dyDescent="0.2">
      <c r="A2819">
        <v>57493</v>
      </c>
      <c r="B2819" t="s">
        <v>37</v>
      </c>
      <c r="C2819" t="s">
        <v>38</v>
      </c>
      <c r="D2819" t="s">
        <v>623</v>
      </c>
      <c r="E2819" t="s">
        <v>624</v>
      </c>
      <c r="G2819" s="4">
        <v>43945.52474537037</v>
      </c>
      <c r="H2819" s="4">
        <v>43945.52474537037</v>
      </c>
      <c r="I2819" t="s">
        <v>50</v>
      </c>
      <c r="J2819" s="5">
        <v>0</v>
      </c>
      <c r="K2819" t="s">
        <v>38</v>
      </c>
      <c r="M2819">
        <v>57494</v>
      </c>
      <c r="N2819" t="s">
        <v>624</v>
      </c>
      <c r="O2819" t="s">
        <v>623</v>
      </c>
      <c r="P2819" t="s">
        <v>38</v>
      </c>
      <c r="Q2819" t="s">
        <v>50</v>
      </c>
      <c r="R2819">
        <v>0</v>
      </c>
      <c r="S2819" t="s">
        <v>45</v>
      </c>
      <c r="T2819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19">
        <v>57495</v>
      </c>
      <c r="V2819" t="s">
        <v>38</v>
      </c>
      <c r="W2819" t="s">
        <v>50</v>
      </c>
      <c r="X2819">
        <v>0</v>
      </c>
      <c r="Y2819">
        <v>0</v>
      </c>
      <c r="Z2819" t="s">
        <v>46</v>
      </c>
      <c r="AA2819">
        <v>57511</v>
      </c>
      <c r="AB2819" t="s">
        <v>625</v>
      </c>
      <c r="AC2819" t="s">
        <v>56</v>
      </c>
      <c r="AD2819" t="s">
        <v>38</v>
      </c>
      <c r="AE2819" t="s">
        <v>49</v>
      </c>
      <c r="AF2819" t="s">
        <v>50</v>
      </c>
      <c r="AG2819">
        <v>0</v>
      </c>
      <c r="AH2819">
        <v>0</v>
      </c>
      <c r="AI2819" t="s">
        <v>51</v>
      </c>
      <c r="AJ2819" t="s">
        <v>51</v>
      </c>
      <c r="AK2819" t="s">
        <v>51</v>
      </c>
    </row>
    <row r="2820" spans="1:37" x14ac:dyDescent="0.2">
      <c r="A2820">
        <v>57493</v>
      </c>
      <c r="B2820" t="s">
        <v>37</v>
      </c>
      <c r="C2820" t="s">
        <v>38</v>
      </c>
      <c r="D2820" t="s">
        <v>623</v>
      </c>
      <c r="E2820" t="s">
        <v>624</v>
      </c>
      <c r="G2820" s="4">
        <v>43945.52474537037</v>
      </c>
      <c r="H2820" s="4">
        <v>43945.52474537037</v>
      </c>
      <c r="I2820" t="s">
        <v>50</v>
      </c>
      <c r="J2820" s="5">
        <v>0</v>
      </c>
      <c r="K2820" t="s">
        <v>38</v>
      </c>
      <c r="M2820">
        <v>57494</v>
      </c>
      <c r="N2820" t="s">
        <v>624</v>
      </c>
      <c r="O2820" t="s">
        <v>623</v>
      </c>
      <c r="P2820" t="s">
        <v>38</v>
      </c>
      <c r="Q2820" t="s">
        <v>50</v>
      </c>
      <c r="R2820">
        <v>0</v>
      </c>
      <c r="S2820" t="s">
        <v>45</v>
      </c>
      <c r="T2820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0">
        <v>57495</v>
      </c>
      <c r="V2820" t="s">
        <v>38</v>
      </c>
      <c r="W2820" t="s">
        <v>50</v>
      </c>
      <c r="X2820">
        <v>0</v>
      </c>
      <c r="Y2820">
        <v>0</v>
      </c>
      <c r="Z2820" t="s">
        <v>46</v>
      </c>
      <c r="AA2820">
        <v>57510</v>
      </c>
      <c r="AB2820" t="s">
        <v>626</v>
      </c>
      <c r="AC2820" t="s">
        <v>56</v>
      </c>
      <c r="AD2820" t="s">
        <v>38</v>
      </c>
      <c r="AE2820" t="s">
        <v>49</v>
      </c>
      <c r="AF2820" t="s">
        <v>50</v>
      </c>
      <c r="AG2820">
        <v>0</v>
      </c>
      <c r="AH2820">
        <v>0</v>
      </c>
      <c r="AI2820" t="s">
        <v>51</v>
      </c>
      <c r="AJ2820" t="s">
        <v>51</v>
      </c>
      <c r="AK2820" t="s">
        <v>51</v>
      </c>
    </row>
    <row r="2821" spans="1:37" x14ac:dyDescent="0.2">
      <c r="A2821">
        <v>57493</v>
      </c>
      <c r="B2821" t="s">
        <v>37</v>
      </c>
      <c r="C2821" t="s">
        <v>38</v>
      </c>
      <c r="D2821" t="s">
        <v>623</v>
      </c>
      <c r="E2821" t="s">
        <v>624</v>
      </c>
      <c r="G2821" s="4">
        <v>43945.52474537037</v>
      </c>
      <c r="H2821" s="4">
        <v>43945.52474537037</v>
      </c>
      <c r="I2821" t="s">
        <v>50</v>
      </c>
      <c r="J2821" s="5">
        <v>0</v>
      </c>
      <c r="K2821" t="s">
        <v>38</v>
      </c>
      <c r="M2821">
        <v>57494</v>
      </c>
      <c r="N2821" t="s">
        <v>624</v>
      </c>
      <c r="O2821" t="s">
        <v>623</v>
      </c>
      <c r="P2821" t="s">
        <v>38</v>
      </c>
      <c r="Q2821" t="s">
        <v>50</v>
      </c>
      <c r="R2821">
        <v>0</v>
      </c>
      <c r="S2821" t="s">
        <v>45</v>
      </c>
      <c r="T2821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1">
        <v>57495</v>
      </c>
      <c r="V2821" t="s">
        <v>38</v>
      </c>
      <c r="W2821" t="s">
        <v>50</v>
      </c>
      <c r="X2821">
        <v>0</v>
      </c>
      <c r="Y2821">
        <v>0</v>
      </c>
      <c r="Z2821" t="s">
        <v>46</v>
      </c>
      <c r="AA2821">
        <v>57509</v>
      </c>
      <c r="AB2821" t="s">
        <v>627</v>
      </c>
      <c r="AC2821" t="s">
        <v>56</v>
      </c>
      <c r="AD2821" t="s">
        <v>38</v>
      </c>
      <c r="AE2821" t="s">
        <v>49</v>
      </c>
      <c r="AF2821" t="s">
        <v>50</v>
      </c>
      <c r="AG2821">
        <v>0</v>
      </c>
      <c r="AH2821">
        <v>0</v>
      </c>
      <c r="AI2821" t="s">
        <v>51</v>
      </c>
      <c r="AJ2821" t="s">
        <v>51</v>
      </c>
      <c r="AK2821" t="s">
        <v>51</v>
      </c>
    </row>
    <row r="2822" spans="1:37" x14ac:dyDescent="0.2">
      <c r="A2822">
        <v>57493</v>
      </c>
      <c r="B2822" t="s">
        <v>37</v>
      </c>
      <c r="C2822" t="s">
        <v>38</v>
      </c>
      <c r="D2822" t="s">
        <v>623</v>
      </c>
      <c r="E2822" t="s">
        <v>624</v>
      </c>
      <c r="G2822" s="4">
        <v>43945.52474537037</v>
      </c>
      <c r="H2822" s="4">
        <v>43945.52474537037</v>
      </c>
      <c r="I2822" t="s">
        <v>50</v>
      </c>
      <c r="J2822" s="5">
        <v>0</v>
      </c>
      <c r="K2822" t="s">
        <v>38</v>
      </c>
      <c r="M2822">
        <v>57494</v>
      </c>
      <c r="N2822" t="s">
        <v>624</v>
      </c>
      <c r="O2822" t="s">
        <v>623</v>
      </c>
      <c r="P2822" t="s">
        <v>38</v>
      </c>
      <c r="Q2822" t="s">
        <v>50</v>
      </c>
      <c r="R2822">
        <v>0</v>
      </c>
      <c r="S2822" t="s">
        <v>45</v>
      </c>
      <c r="T2822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2">
        <v>57495</v>
      </c>
      <c r="V2822" t="s">
        <v>38</v>
      </c>
      <c r="W2822" t="s">
        <v>50</v>
      </c>
      <c r="X2822">
        <v>0</v>
      </c>
      <c r="Y2822">
        <v>0</v>
      </c>
      <c r="Z2822" t="s">
        <v>46</v>
      </c>
      <c r="AA2822">
        <v>57508</v>
      </c>
      <c r="AB2822" t="s">
        <v>628</v>
      </c>
      <c r="AC2822" t="s">
        <v>56</v>
      </c>
      <c r="AD2822" t="s">
        <v>38</v>
      </c>
      <c r="AE2822" t="s">
        <v>49</v>
      </c>
      <c r="AF2822" t="s">
        <v>50</v>
      </c>
      <c r="AG2822">
        <v>0</v>
      </c>
      <c r="AH2822">
        <v>0</v>
      </c>
      <c r="AI2822" t="s">
        <v>51</v>
      </c>
      <c r="AJ2822" t="s">
        <v>51</v>
      </c>
      <c r="AK2822" t="s">
        <v>51</v>
      </c>
    </row>
    <row r="2823" spans="1:37" x14ac:dyDescent="0.2">
      <c r="A2823">
        <v>57493</v>
      </c>
      <c r="B2823" t="s">
        <v>37</v>
      </c>
      <c r="C2823" t="s">
        <v>38</v>
      </c>
      <c r="D2823" t="s">
        <v>623</v>
      </c>
      <c r="E2823" t="s">
        <v>624</v>
      </c>
      <c r="G2823" s="4">
        <v>43945.52474537037</v>
      </c>
      <c r="H2823" s="4">
        <v>43945.52474537037</v>
      </c>
      <c r="I2823" t="s">
        <v>50</v>
      </c>
      <c r="J2823" s="5">
        <v>0</v>
      </c>
      <c r="K2823" t="s">
        <v>38</v>
      </c>
      <c r="M2823">
        <v>57494</v>
      </c>
      <c r="N2823" t="s">
        <v>624</v>
      </c>
      <c r="O2823" t="s">
        <v>623</v>
      </c>
      <c r="P2823" t="s">
        <v>38</v>
      </c>
      <c r="Q2823" t="s">
        <v>50</v>
      </c>
      <c r="R2823">
        <v>0</v>
      </c>
      <c r="S2823" t="s">
        <v>45</v>
      </c>
      <c r="T2823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3">
        <v>57495</v>
      </c>
      <c r="V2823" t="s">
        <v>38</v>
      </c>
      <c r="W2823" t="s">
        <v>50</v>
      </c>
      <c r="X2823">
        <v>0</v>
      </c>
      <c r="Y2823">
        <v>0</v>
      </c>
      <c r="Z2823" t="s">
        <v>46</v>
      </c>
      <c r="AA2823">
        <v>57507</v>
      </c>
      <c r="AB2823" t="s">
        <v>629</v>
      </c>
      <c r="AC2823" t="s">
        <v>56</v>
      </c>
      <c r="AD2823" t="s">
        <v>38</v>
      </c>
      <c r="AE2823" t="s">
        <v>49</v>
      </c>
      <c r="AF2823" t="s">
        <v>50</v>
      </c>
      <c r="AG2823">
        <v>0</v>
      </c>
      <c r="AH2823">
        <v>0</v>
      </c>
      <c r="AI2823" t="s">
        <v>51</v>
      </c>
      <c r="AJ2823" t="s">
        <v>51</v>
      </c>
      <c r="AK2823" t="s">
        <v>51</v>
      </c>
    </row>
    <row r="2824" spans="1:37" x14ac:dyDescent="0.2">
      <c r="A2824">
        <v>57493</v>
      </c>
      <c r="B2824" t="s">
        <v>37</v>
      </c>
      <c r="C2824" t="s">
        <v>38</v>
      </c>
      <c r="D2824" t="s">
        <v>623</v>
      </c>
      <c r="E2824" t="s">
        <v>624</v>
      </c>
      <c r="G2824" s="4">
        <v>43945.52474537037</v>
      </c>
      <c r="H2824" s="4">
        <v>43945.52474537037</v>
      </c>
      <c r="I2824" t="s">
        <v>50</v>
      </c>
      <c r="J2824" s="5">
        <v>0</v>
      </c>
      <c r="K2824" t="s">
        <v>38</v>
      </c>
      <c r="M2824">
        <v>57494</v>
      </c>
      <c r="N2824" t="s">
        <v>624</v>
      </c>
      <c r="O2824" t="s">
        <v>623</v>
      </c>
      <c r="P2824" t="s">
        <v>38</v>
      </c>
      <c r="Q2824" t="s">
        <v>50</v>
      </c>
      <c r="R2824">
        <v>0</v>
      </c>
      <c r="S2824" t="s">
        <v>45</v>
      </c>
      <c r="T2824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4">
        <v>57495</v>
      </c>
      <c r="V2824" t="s">
        <v>38</v>
      </c>
      <c r="W2824" t="s">
        <v>50</v>
      </c>
      <c r="X2824">
        <v>0</v>
      </c>
      <c r="Y2824">
        <v>0</v>
      </c>
      <c r="Z2824" t="s">
        <v>46</v>
      </c>
      <c r="AA2824">
        <v>57506</v>
      </c>
      <c r="AB2824" t="s">
        <v>630</v>
      </c>
      <c r="AC2824" t="s">
        <v>56</v>
      </c>
      <c r="AD2824" t="s">
        <v>38</v>
      </c>
      <c r="AE2824" t="s">
        <v>49</v>
      </c>
      <c r="AF2824" t="s">
        <v>50</v>
      </c>
      <c r="AG2824">
        <v>0</v>
      </c>
      <c r="AH2824">
        <v>0</v>
      </c>
      <c r="AI2824" t="s">
        <v>51</v>
      </c>
      <c r="AJ2824" t="s">
        <v>51</v>
      </c>
      <c r="AK2824" t="s">
        <v>51</v>
      </c>
    </row>
    <row r="2825" spans="1:37" x14ac:dyDescent="0.2">
      <c r="A2825">
        <v>57493</v>
      </c>
      <c r="B2825" t="s">
        <v>37</v>
      </c>
      <c r="C2825" t="s">
        <v>38</v>
      </c>
      <c r="D2825" t="s">
        <v>623</v>
      </c>
      <c r="E2825" t="s">
        <v>624</v>
      </c>
      <c r="G2825" s="4">
        <v>43945.52474537037</v>
      </c>
      <c r="H2825" s="4">
        <v>43945.52474537037</v>
      </c>
      <c r="I2825" t="s">
        <v>50</v>
      </c>
      <c r="J2825" s="5">
        <v>0</v>
      </c>
      <c r="K2825" t="s">
        <v>38</v>
      </c>
      <c r="M2825">
        <v>57494</v>
      </c>
      <c r="N2825" t="s">
        <v>624</v>
      </c>
      <c r="O2825" t="s">
        <v>623</v>
      </c>
      <c r="P2825" t="s">
        <v>38</v>
      </c>
      <c r="Q2825" t="s">
        <v>50</v>
      </c>
      <c r="R2825">
        <v>0</v>
      </c>
      <c r="S2825" t="s">
        <v>45</v>
      </c>
      <c r="T2825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5">
        <v>57495</v>
      </c>
      <c r="V2825" t="s">
        <v>38</v>
      </c>
      <c r="W2825" t="s">
        <v>50</v>
      </c>
      <c r="X2825">
        <v>0</v>
      </c>
      <c r="Y2825">
        <v>0</v>
      </c>
      <c r="Z2825" t="s">
        <v>46</v>
      </c>
      <c r="AA2825">
        <v>57505</v>
      </c>
      <c r="AB2825" t="s">
        <v>631</v>
      </c>
      <c r="AC2825" t="s">
        <v>56</v>
      </c>
      <c r="AD2825" t="s">
        <v>38</v>
      </c>
      <c r="AE2825" t="s">
        <v>49</v>
      </c>
      <c r="AF2825" t="s">
        <v>50</v>
      </c>
      <c r="AG2825">
        <v>0</v>
      </c>
      <c r="AH2825">
        <v>0</v>
      </c>
      <c r="AI2825" t="s">
        <v>51</v>
      </c>
      <c r="AJ2825" t="s">
        <v>51</v>
      </c>
      <c r="AK2825" t="s">
        <v>51</v>
      </c>
    </row>
    <row r="2826" spans="1:37" x14ac:dyDescent="0.2">
      <c r="A2826">
        <v>57493</v>
      </c>
      <c r="B2826" t="s">
        <v>37</v>
      </c>
      <c r="C2826" t="s">
        <v>38</v>
      </c>
      <c r="D2826" t="s">
        <v>623</v>
      </c>
      <c r="E2826" t="s">
        <v>624</v>
      </c>
      <c r="G2826" s="4">
        <v>43945.52474537037</v>
      </c>
      <c r="H2826" s="4">
        <v>43945.52474537037</v>
      </c>
      <c r="I2826" t="s">
        <v>50</v>
      </c>
      <c r="J2826" s="5">
        <v>0</v>
      </c>
      <c r="K2826" t="s">
        <v>38</v>
      </c>
      <c r="M2826">
        <v>57494</v>
      </c>
      <c r="N2826" t="s">
        <v>624</v>
      </c>
      <c r="O2826" t="s">
        <v>623</v>
      </c>
      <c r="P2826" t="s">
        <v>38</v>
      </c>
      <c r="Q2826" t="s">
        <v>50</v>
      </c>
      <c r="R2826">
        <v>0</v>
      </c>
      <c r="S2826" t="s">
        <v>45</v>
      </c>
      <c r="T2826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6">
        <v>57495</v>
      </c>
      <c r="V2826" t="s">
        <v>38</v>
      </c>
      <c r="W2826" t="s">
        <v>50</v>
      </c>
      <c r="X2826">
        <v>0</v>
      </c>
      <c r="Y2826">
        <v>0</v>
      </c>
      <c r="Z2826" t="s">
        <v>46</v>
      </c>
      <c r="AA2826">
        <v>57504</v>
      </c>
      <c r="AB2826" t="s">
        <v>632</v>
      </c>
      <c r="AC2826" t="s">
        <v>56</v>
      </c>
      <c r="AD2826" t="s">
        <v>38</v>
      </c>
      <c r="AE2826" t="s">
        <v>49</v>
      </c>
      <c r="AF2826" t="s">
        <v>50</v>
      </c>
      <c r="AG2826">
        <v>0</v>
      </c>
      <c r="AH2826">
        <v>0</v>
      </c>
      <c r="AI2826" t="s">
        <v>51</v>
      </c>
      <c r="AJ2826" t="s">
        <v>51</v>
      </c>
      <c r="AK2826" t="s">
        <v>51</v>
      </c>
    </row>
    <row r="2827" spans="1:37" x14ac:dyDescent="0.2">
      <c r="A2827">
        <v>57493</v>
      </c>
      <c r="B2827" t="s">
        <v>37</v>
      </c>
      <c r="C2827" t="s">
        <v>38</v>
      </c>
      <c r="D2827" t="s">
        <v>623</v>
      </c>
      <c r="E2827" t="s">
        <v>624</v>
      </c>
      <c r="G2827" s="4">
        <v>43945.52474537037</v>
      </c>
      <c r="H2827" s="4">
        <v>43945.52474537037</v>
      </c>
      <c r="I2827" t="s">
        <v>50</v>
      </c>
      <c r="J2827" s="5">
        <v>0</v>
      </c>
      <c r="K2827" t="s">
        <v>38</v>
      </c>
      <c r="M2827">
        <v>57494</v>
      </c>
      <c r="N2827" t="s">
        <v>624</v>
      </c>
      <c r="O2827" t="s">
        <v>623</v>
      </c>
      <c r="P2827" t="s">
        <v>38</v>
      </c>
      <c r="Q2827" t="s">
        <v>50</v>
      </c>
      <c r="R2827">
        <v>0</v>
      </c>
      <c r="S2827" t="s">
        <v>45</v>
      </c>
      <c r="T2827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7">
        <v>57495</v>
      </c>
      <c r="V2827" t="s">
        <v>38</v>
      </c>
      <c r="W2827" t="s">
        <v>50</v>
      </c>
      <c r="X2827">
        <v>0</v>
      </c>
      <c r="Y2827">
        <v>0</v>
      </c>
      <c r="Z2827" t="s">
        <v>46</v>
      </c>
      <c r="AA2827">
        <v>57503</v>
      </c>
      <c r="AB2827" t="s">
        <v>1949</v>
      </c>
      <c r="AC2827" t="s">
        <v>103</v>
      </c>
      <c r="AD2827" t="s">
        <v>38</v>
      </c>
      <c r="AE2827" t="s">
        <v>49</v>
      </c>
      <c r="AF2827" t="s">
        <v>50</v>
      </c>
      <c r="AG2827">
        <v>0</v>
      </c>
      <c r="AH2827">
        <v>0</v>
      </c>
      <c r="AI2827" t="s">
        <v>51</v>
      </c>
      <c r="AJ2827" t="s">
        <v>51</v>
      </c>
      <c r="AK2827" t="s">
        <v>51</v>
      </c>
    </row>
    <row r="2828" spans="1:37" x14ac:dyDescent="0.2">
      <c r="A2828">
        <v>57493</v>
      </c>
      <c r="B2828" t="s">
        <v>37</v>
      </c>
      <c r="C2828" t="s">
        <v>38</v>
      </c>
      <c r="D2828" t="s">
        <v>623</v>
      </c>
      <c r="E2828" t="s">
        <v>624</v>
      </c>
      <c r="G2828" s="4">
        <v>43945.52474537037</v>
      </c>
      <c r="H2828" s="4">
        <v>43945.52474537037</v>
      </c>
      <c r="I2828" t="s">
        <v>50</v>
      </c>
      <c r="J2828" s="5">
        <v>0</v>
      </c>
      <c r="K2828" t="s">
        <v>38</v>
      </c>
      <c r="M2828">
        <v>57494</v>
      </c>
      <c r="N2828" t="s">
        <v>624</v>
      </c>
      <c r="O2828" t="s">
        <v>623</v>
      </c>
      <c r="P2828" t="s">
        <v>38</v>
      </c>
      <c r="Q2828" t="s">
        <v>50</v>
      </c>
      <c r="R2828">
        <v>0</v>
      </c>
      <c r="S2828" t="s">
        <v>45</v>
      </c>
      <c r="T2828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8">
        <v>57495</v>
      </c>
      <c r="V2828" t="s">
        <v>38</v>
      </c>
      <c r="W2828" t="s">
        <v>50</v>
      </c>
      <c r="X2828">
        <v>0</v>
      </c>
      <c r="Y2828">
        <v>0</v>
      </c>
      <c r="Z2828" t="s">
        <v>46</v>
      </c>
      <c r="AA2828">
        <v>57502</v>
      </c>
      <c r="AB2828" t="s">
        <v>1950</v>
      </c>
      <c r="AC2828" t="s">
        <v>103</v>
      </c>
      <c r="AD2828" t="s">
        <v>38</v>
      </c>
      <c r="AE2828" t="s">
        <v>49</v>
      </c>
      <c r="AF2828" t="s">
        <v>50</v>
      </c>
      <c r="AG2828">
        <v>0</v>
      </c>
      <c r="AH2828">
        <v>0</v>
      </c>
      <c r="AI2828" t="s">
        <v>51</v>
      </c>
      <c r="AJ2828" t="s">
        <v>51</v>
      </c>
      <c r="AK2828" t="s">
        <v>51</v>
      </c>
    </row>
    <row r="2829" spans="1:37" x14ac:dyDescent="0.2">
      <c r="A2829">
        <v>57493</v>
      </c>
      <c r="B2829" t="s">
        <v>37</v>
      </c>
      <c r="C2829" t="s">
        <v>38</v>
      </c>
      <c r="D2829" t="s">
        <v>623</v>
      </c>
      <c r="E2829" t="s">
        <v>624</v>
      </c>
      <c r="G2829" s="4">
        <v>43945.52474537037</v>
      </c>
      <c r="H2829" s="4">
        <v>43945.52474537037</v>
      </c>
      <c r="I2829" t="s">
        <v>50</v>
      </c>
      <c r="J2829" s="5">
        <v>0</v>
      </c>
      <c r="K2829" t="s">
        <v>38</v>
      </c>
      <c r="M2829">
        <v>57494</v>
      </c>
      <c r="N2829" t="s">
        <v>624</v>
      </c>
      <c r="O2829" t="s">
        <v>623</v>
      </c>
      <c r="P2829" t="s">
        <v>38</v>
      </c>
      <c r="Q2829" t="s">
        <v>50</v>
      </c>
      <c r="R2829">
        <v>0</v>
      </c>
      <c r="S2829" t="s">
        <v>45</v>
      </c>
      <c r="T2829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29">
        <v>57495</v>
      </c>
      <c r="V2829" t="s">
        <v>38</v>
      </c>
      <c r="W2829" t="s">
        <v>50</v>
      </c>
      <c r="X2829">
        <v>0</v>
      </c>
      <c r="Y2829">
        <v>0</v>
      </c>
      <c r="Z2829" t="s">
        <v>46</v>
      </c>
      <c r="AA2829">
        <v>57501</v>
      </c>
      <c r="AB2829" t="s">
        <v>1951</v>
      </c>
      <c r="AC2829" t="s">
        <v>103</v>
      </c>
      <c r="AD2829" t="s">
        <v>38</v>
      </c>
      <c r="AE2829" t="s">
        <v>49</v>
      </c>
      <c r="AF2829" t="s">
        <v>50</v>
      </c>
      <c r="AG2829">
        <v>0</v>
      </c>
      <c r="AH2829">
        <v>0</v>
      </c>
      <c r="AI2829" t="s">
        <v>51</v>
      </c>
      <c r="AJ2829" t="s">
        <v>51</v>
      </c>
      <c r="AK2829" t="s">
        <v>51</v>
      </c>
    </row>
    <row r="2830" spans="1:37" x14ac:dyDescent="0.2">
      <c r="A2830">
        <v>57493</v>
      </c>
      <c r="B2830" t="s">
        <v>37</v>
      </c>
      <c r="C2830" t="s">
        <v>38</v>
      </c>
      <c r="D2830" t="s">
        <v>623</v>
      </c>
      <c r="E2830" t="s">
        <v>624</v>
      </c>
      <c r="G2830" s="4">
        <v>43945.52474537037</v>
      </c>
      <c r="H2830" s="4">
        <v>43945.52474537037</v>
      </c>
      <c r="I2830" t="s">
        <v>50</v>
      </c>
      <c r="J2830" s="5">
        <v>0</v>
      </c>
      <c r="K2830" t="s">
        <v>38</v>
      </c>
      <c r="M2830">
        <v>57494</v>
      </c>
      <c r="N2830" t="s">
        <v>624</v>
      </c>
      <c r="O2830" t="s">
        <v>623</v>
      </c>
      <c r="P2830" t="s">
        <v>38</v>
      </c>
      <c r="Q2830" t="s">
        <v>50</v>
      </c>
      <c r="R2830">
        <v>0</v>
      </c>
      <c r="S2830" t="s">
        <v>45</v>
      </c>
      <c r="T2830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30">
        <v>57495</v>
      </c>
      <c r="V2830" t="s">
        <v>38</v>
      </c>
      <c r="W2830" t="s">
        <v>50</v>
      </c>
      <c r="X2830">
        <v>0</v>
      </c>
      <c r="Y2830">
        <v>0</v>
      </c>
      <c r="Z2830" t="s">
        <v>46</v>
      </c>
      <c r="AA2830">
        <v>57500</v>
      </c>
      <c r="AB2830" t="s">
        <v>1952</v>
      </c>
      <c r="AC2830" t="s">
        <v>103</v>
      </c>
      <c r="AD2830" t="s">
        <v>38</v>
      </c>
      <c r="AE2830" t="s">
        <v>49</v>
      </c>
      <c r="AF2830" t="s">
        <v>50</v>
      </c>
      <c r="AG2830">
        <v>0</v>
      </c>
      <c r="AH2830">
        <v>0</v>
      </c>
      <c r="AI2830" t="s">
        <v>51</v>
      </c>
      <c r="AJ2830" t="s">
        <v>51</v>
      </c>
      <c r="AK2830" t="s">
        <v>51</v>
      </c>
    </row>
    <row r="2831" spans="1:37" x14ac:dyDescent="0.2">
      <c r="A2831">
        <v>57493</v>
      </c>
      <c r="B2831" t="s">
        <v>37</v>
      </c>
      <c r="C2831" t="s">
        <v>38</v>
      </c>
      <c r="D2831" t="s">
        <v>623</v>
      </c>
      <c r="E2831" t="s">
        <v>624</v>
      </c>
      <c r="G2831" s="4">
        <v>43945.52474537037</v>
      </c>
      <c r="H2831" s="4">
        <v>43945.52474537037</v>
      </c>
      <c r="I2831" t="s">
        <v>50</v>
      </c>
      <c r="J2831" s="5">
        <v>0</v>
      </c>
      <c r="K2831" t="s">
        <v>38</v>
      </c>
      <c r="M2831">
        <v>57494</v>
      </c>
      <c r="N2831" t="s">
        <v>624</v>
      </c>
      <c r="O2831" t="s">
        <v>623</v>
      </c>
      <c r="P2831" t="s">
        <v>38</v>
      </c>
      <c r="Q2831" t="s">
        <v>50</v>
      </c>
      <c r="R2831">
        <v>0</v>
      </c>
      <c r="S2831" t="s">
        <v>45</v>
      </c>
      <c r="T2831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31">
        <v>57495</v>
      </c>
      <c r="V2831" t="s">
        <v>38</v>
      </c>
      <c r="W2831" t="s">
        <v>50</v>
      </c>
      <c r="X2831">
        <v>0</v>
      </c>
      <c r="Y2831">
        <v>0</v>
      </c>
      <c r="Z2831" t="s">
        <v>46</v>
      </c>
      <c r="AA2831">
        <v>57499</v>
      </c>
      <c r="AB2831" t="s">
        <v>1953</v>
      </c>
      <c r="AC2831" t="s">
        <v>103</v>
      </c>
      <c r="AD2831" t="s">
        <v>38</v>
      </c>
      <c r="AE2831" t="s">
        <v>49</v>
      </c>
      <c r="AF2831" t="s">
        <v>50</v>
      </c>
      <c r="AG2831">
        <v>0</v>
      </c>
      <c r="AH2831">
        <v>0</v>
      </c>
      <c r="AI2831" t="s">
        <v>51</v>
      </c>
      <c r="AJ2831" t="s">
        <v>51</v>
      </c>
      <c r="AK2831" t="s">
        <v>51</v>
      </c>
    </row>
    <row r="2832" spans="1:37" x14ac:dyDescent="0.2">
      <c r="A2832">
        <v>57493</v>
      </c>
      <c r="B2832" t="s">
        <v>37</v>
      </c>
      <c r="C2832" t="s">
        <v>38</v>
      </c>
      <c r="D2832" t="s">
        <v>623</v>
      </c>
      <c r="E2832" t="s">
        <v>624</v>
      </c>
      <c r="G2832" s="4">
        <v>43945.52474537037</v>
      </c>
      <c r="H2832" s="4">
        <v>43945.52474537037</v>
      </c>
      <c r="I2832" t="s">
        <v>50</v>
      </c>
      <c r="J2832" s="5">
        <v>0</v>
      </c>
      <c r="K2832" t="s">
        <v>38</v>
      </c>
      <c r="M2832">
        <v>57494</v>
      </c>
      <c r="N2832" t="s">
        <v>624</v>
      </c>
      <c r="O2832" t="s">
        <v>623</v>
      </c>
      <c r="P2832" t="s">
        <v>38</v>
      </c>
      <c r="Q2832" t="s">
        <v>50</v>
      </c>
      <c r="R2832">
        <v>0</v>
      </c>
      <c r="S2832" t="s">
        <v>45</v>
      </c>
      <c r="T2832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32">
        <v>57495</v>
      </c>
      <c r="V2832" t="s">
        <v>38</v>
      </c>
      <c r="W2832" t="s">
        <v>50</v>
      </c>
      <c r="X2832">
        <v>0</v>
      </c>
      <c r="Y2832">
        <v>0</v>
      </c>
      <c r="Z2832" t="s">
        <v>46</v>
      </c>
      <c r="AA2832">
        <v>57498</v>
      </c>
      <c r="AB2832" t="s">
        <v>1954</v>
      </c>
      <c r="AC2832" t="s">
        <v>103</v>
      </c>
      <c r="AD2832" t="s">
        <v>38</v>
      </c>
      <c r="AE2832" t="s">
        <v>49</v>
      </c>
      <c r="AF2832" t="s">
        <v>50</v>
      </c>
      <c r="AG2832">
        <v>0</v>
      </c>
      <c r="AH2832">
        <v>0</v>
      </c>
      <c r="AI2832" t="s">
        <v>51</v>
      </c>
      <c r="AJ2832" t="s">
        <v>51</v>
      </c>
      <c r="AK2832" t="s">
        <v>51</v>
      </c>
    </row>
    <row r="2833" spans="1:37" x14ac:dyDescent="0.2">
      <c r="A2833">
        <v>57493</v>
      </c>
      <c r="B2833" t="s">
        <v>37</v>
      </c>
      <c r="C2833" t="s">
        <v>38</v>
      </c>
      <c r="D2833" t="s">
        <v>623</v>
      </c>
      <c r="E2833" t="s">
        <v>624</v>
      </c>
      <c r="G2833" s="4">
        <v>43945.52474537037</v>
      </c>
      <c r="H2833" s="4">
        <v>43945.52474537037</v>
      </c>
      <c r="I2833" t="s">
        <v>50</v>
      </c>
      <c r="J2833" s="5">
        <v>0</v>
      </c>
      <c r="K2833" t="s">
        <v>38</v>
      </c>
      <c r="M2833">
        <v>57494</v>
      </c>
      <c r="N2833" t="s">
        <v>624</v>
      </c>
      <c r="O2833" t="s">
        <v>623</v>
      </c>
      <c r="P2833" t="s">
        <v>38</v>
      </c>
      <c r="Q2833" t="s">
        <v>50</v>
      </c>
      <c r="R2833">
        <v>0</v>
      </c>
      <c r="S2833" t="s">
        <v>45</v>
      </c>
      <c r="T2833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33">
        <v>57495</v>
      </c>
      <c r="V2833" t="s">
        <v>38</v>
      </c>
      <c r="W2833" t="s">
        <v>50</v>
      </c>
      <c r="X2833">
        <v>0</v>
      </c>
      <c r="Y2833">
        <v>0</v>
      </c>
      <c r="Z2833" t="s">
        <v>46</v>
      </c>
      <c r="AA2833">
        <v>57497</v>
      </c>
      <c r="AB2833" t="s">
        <v>1955</v>
      </c>
      <c r="AC2833" t="s">
        <v>103</v>
      </c>
      <c r="AD2833" t="s">
        <v>38</v>
      </c>
      <c r="AE2833" t="s">
        <v>49</v>
      </c>
      <c r="AF2833" t="s">
        <v>50</v>
      </c>
      <c r="AG2833">
        <v>0</v>
      </c>
      <c r="AH2833">
        <v>0</v>
      </c>
      <c r="AI2833" t="s">
        <v>51</v>
      </c>
      <c r="AJ2833" t="s">
        <v>51</v>
      </c>
      <c r="AK2833" t="s">
        <v>51</v>
      </c>
    </row>
    <row r="2834" spans="1:37" x14ac:dyDescent="0.2">
      <c r="A2834">
        <v>57493</v>
      </c>
      <c r="B2834" t="s">
        <v>37</v>
      </c>
      <c r="C2834" t="s">
        <v>38</v>
      </c>
      <c r="D2834" t="s">
        <v>623</v>
      </c>
      <c r="E2834" t="s">
        <v>624</v>
      </c>
      <c r="G2834" s="4">
        <v>43945.52474537037</v>
      </c>
      <c r="H2834" s="4">
        <v>43945.52474537037</v>
      </c>
      <c r="I2834" t="s">
        <v>50</v>
      </c>
      <c r="J2834" s="5">
        <v>0</v>
      </c>
      <c r="K2834" t="s">
        <v>38</v>
      </c>
      <c r="M2834">
        <v>57494</v>
      </c>
      <c r="N2834" t="s">
        <v>624</v>
      </c>
      <c r="O2834" t="s">
        <v>623</v>
      </c>
      <c r="P2834" t="s">
        <v>38</v>
      </c>
      <c r="Q2834" t="s">
        <v>50</v>
      </c>
      <c r="R2834">
        <v>0</v>
      </c>
      <c r="S2834" t="s">
        <v>45</v>
      </c>
      <c r="T2834" t="str" s="2">
        <f>=HYPERLINK("http://demo.enginatics.com:80/ecc/user/applications/log/57493.log","http://demo.enginatics.com:80/ecc/user/applications/log/57493.log")</f>
        <v>"http://demo.enginatics.com:80/ecc/user/applications/log/57493.log")</v>
      </c>
      <c r="U2834">
        <v>57495</v>
      </c>
      <c r="V2834" t="s">
        <v>38</v>
      </c>
      <c r="W2834" t="s">
        <v>50</v>
      </c>
      <c r="X2834">
        <v>0</v>
      </c>
      <c r="Y2834">
        <v>0</v>
      </c>
      <c r="Z2834" t="s">
        <v>46</v>
      </c>
      <c r="AA2834">
        <v>57496</v>
      </c>
      <c r="AB2834" t="s">
        <v>1956</v>
      </c>
      <c r="AC2834" t="s">
        <v>103</v>
      </c>
      <c r="AD2834" t="s">
        <v>38</v>
      </c>
      <c r="AE2834" t="s">
        <v>49</v>
      </c>
      <c r="AF2834" t="s">
        <v>50</v>
      </c>
      <c r="AG2834">
        <v>0</v>
      </c>
      <c r="AH2834">
        <v>0</v>
      </c>
      <c r="AI2834" t="s">
        <v>51</v>
      </c>
      <c r="AJ2834" t="s">
        <v>51</v>
      </c>
      <c r="AK2834" t="s">
        <v>51</v>
      </c>
    </row>
    <row r="2835" spans="1:37" x14ac:dyDescent="0.2">
      <c r="A2835">
        <v>57483</v>
      </c>
      <c r="B2835" t="s">
        <v>37</v>
      </c>
      <c r="C2835" t="s">
        <v>38</v>
      </c>
      <c r="D2835" t="s">
        <v>641</v>
      </c>
      <c r="E2835" t="s">
        <v>40</v>
      </c>
      <c r="G2835" s="4">
        <v>43945.5215625</v>
      </c>
      <c r="H2835" s="4">
        <v>43945.521574074074</v>
      </c>
      <c r="I2835" t="s">
        <v>50</v>
      </c>
      <c r="J2835" s="5">
        <v>.9999999999999999999999999999999999999996</v>
      </c>
      <c r="K2835" t="s">
        <v>38</v>
      </c>
      <c r="M2835">
        <v>57490</v>
      </c>
      <c r="N2835" t="s">
        <v>642</v>
      </c>
      <c r="O2835" t="s">
        <v>643</v>
      </c>
      <c r="P2835" t="s">
        <v>38</v>
      </c>
      <c r="Q2835" t="s">
        <v>50</v>
      </c>
      <c r="R2835">
        <v>0</v>
      </c>
      <c r="S2835" t="s">
        <v>45</v>
      </c>
      <c r="T2835" t="str" s="2">
        <f>=HYPERLINK("http://demo.enginatics.com:80/ecc/user/applications/log/57483.log","http://demo.enginatics.com:80/ecc/user/applications/log/57483.log")</f>
        <v>"http://demo.enginatics.com:80/ecc/user/applications/log/57483.log")</v>
      </c>
      <c r="U2835">
        <v>57491</v>
      </c>
      <c r="V2835" t="s">
        <v>38</v>
      </c>
      <c r="W2835" t="s">
        <v>50</v>
      </c>
      <c r="X2835">
        <v>0</v>
      </c>
      <c r="Y2835">
        <v>0</v>
      </c>
      <c r="Z2835" t="s">
        <v>46</v>
      </c>
      <c r="AA2835">
        <v>57492</v>
      </c>
      <c r="AB2835" t="s">
        <v>1957</v>
      </c>
      <c r="AC2835" t="s">
        <v>68</v>
      </c>
      <c r="AD2835" t="s">
        <v>38</v>
      </c>
      <c r="AE2835" t="s">
        <v>49</v>
      </c>
      <c r="AF2835" t="s">
        <v>50</v>
      </c>
      <c r="AG2835">
        <v>0</v>
      </c>
      <c r="AH2835">
        <v>0</v>
      </c>
      <c r="AI2835" t="s">
        <v>51</v>
      </c>
      <c r="AJ2835" t="s">
        <v>51</v>
      </c>
      <c r="AK2835" t="s">
        <v>51</v>
      </c>
    </row>
    <row r="2836" spans="1:37" x14ac:dyDescent="0.2">
      <c r="A2836">
        <v>57483</v>
      </c>
      <c r="B2836" t="s">
        <v>37</v>
      </c>
      <c r="C2836" t="s">
        <v>38</v>
      </c>
      <c r="D2836" t="s">
        <v>641</v>
      </c>
      <c r="E2836" t="s">
        <v>40</v>
      </c>
      <c r="G2836" s="4">
        <v>43945.5215625</v>
      </c>
      <c r="H2836" s="4">
        <v>43945.521574074074</v>
      </c>
      <c r="I2836" t="s">
        <v>50</v>
      </c>
      <c r="J2836" s="5">
        <v>.9999999999999999999999999999999999999996</v>
      </c>
      <c r="K2836" t="s">
        <v>38</v>
      </c>
      <c r="M2836">
        <v>57487</v>
      </c>
      <c r="N2836" t="s">
        <v>645</v>
      </c>
      <c r="O2836" t="s">
        <v>646</v>
      </c>
      <c r="P2836" t="s">
        <v>38</v>
      </c>
      <c r="Q2836" t="s">
        <v>50</v>
      </c>
      <c r="R2836">
        <v>0</v>
      </c>
      <c r="S2836" t="s">
        <v>45</v>
      </c>
      <c r="T2836" t="str" s="2">
        <f>=HYPERLINK("http://demo.enginatics.com:80/ecc/user/applications/log/57483.log","http://demo.enginatics.com:80/ecc/user/applications/log/57483.log")</f>
        <v>"http://demo.enginatics.com:80/ecc/user/applications/log/57483.log")</v>
      </c>
      <c r="U2836">
        <v>57488</v>
      </c>
      <c r="V2836" t="s">
        <v>38</v>
      </c>
      <c r="W2836" t="s">
        <v>50</v>
      </c>
      <c r="X2836">
        <v>0</v>
      </c>
      <c r="Y2836">
        <v>0</v>
      </c>
      <c r="Z2836" t="s">
        <v>46</v>
      </c>
      <c r="AA2836">
        <v>57489</v>
      </c>
      <c r="AB2836" t="s">
        <v>1958</v>
      </c>
      <c r="AC2836" t="s">
        <v>68</v>
      </c>
      <c r="AD2836" t="s">
        <v>38</v>
      </c>
      <c r="AE2836" t="s">
        <v>49</v>
      </c>
      <c r="AF2836" t="s">
        <v>50</v>
      </c>
      <c r="AG2836">
        <v>0</v>
      </c>
      <c r="AH2836">
        <v>0</v>
      </c>
      <c r="AI2836" t="s">
        <v>51</v>
      </c>
      <c r="AJ2836" t="s">
        <v>51</v>
      </c>
      <c r="AK2836" t="s">
        <v>51</v>
      </c>
    </row>
    <row r="2837" spans="1:37" x14ac:dyDescent="0.2">
      <c r="A2837">
        <v>57483</v>
      </c>
      <c r="B2837" t="s">
        <v>37</v>
      </c>
      <c r="C2837" t="s">
        <v>38</v>
      </c>
      <c r="D2837" t="s">
        <v>641</v>
      </c>
      <c r="E2837" t="s">
        <v>40</v>
      </c>
      <c r="G2837" s="4">
        <v>43945.5215625</v>
      </c>
      <c r="H2837" s="4">
        <v>43945.521574074074</v>
      </c>
      <c r="I2837" t="s">
        <v>50</v>
      </c>
      <c r="J2837" s="5">
        <v>.9999999999999999999999999999999999999996</v>
      </c>
      <c r="K2837" t="s">
        <v>38</v>
      </c>
      <c r="M2837">
        <v>57484</v>
      </c>
      <c r="N2837" t="s">
        <v>648</v>
      </c>
      <c r="O2837" t="s">
        <v>649</v>
      </c>
      <c r="P2837" t="s">
        <v>38</v>
      </c>
      <c r="Q2837" t="s">
        <v>50</v>
      </c>
      <c r="R2837">
        <v>.9999999999999999999999999999999999999996</v>
      </c>
      <c r="S2837" t="s">
        <v>45</v>
      </c>
      <c r="T2837" t="str" s="2">
        <f>=HYPERLINK("http://demo.enginatics.com:80/ecc/user/applications/log/57483.log","http://demo.enginatics.com:80/ecc/user/applications/log/57483.log")</f>
        <v>"http://demo.enginatics.com:80/ecc/user/applications/log/57483.log")</v>
      </c>
      <c r="U2837">
        <v>57485</v>
      </c>
      <c r="V2837" t="s">
        <v>38</v>
      </c>
      <c r="W2837" t="s">
        <v>50</v>
      </c>
      <c r="X2837">
        <v>.9999999999999999999999999999999999999996</v>
      </c>
      <c r="Y2837">
        <v>0</v>
      </c>
      <c r="Z2837" t="s">
        <v>46</v>
      </c>
      <c r="AA2837">
        <v>57486</v>
      </c>
      <c r="AB2837" t="s">
        <v>1959</v>
      </c>
      <c r="AC2837" t="s">
        <v>68</v>
      </c>
      <c r="AD2837" t="s">
        <v>38</v>
      </c>
      <c r="AE2837" t="s">
        <v>49</v>
      </c>
      <c r="AF2837" t="s">
        <v>50</v>
      </c>
      <c r="AG2837">
        <v>.9999999999999999999999999999999999999996</v>
      </c>
      <c r="AH2837">
        <v>0</v>
      </c>
      <c r="AI2837" t="s">
        <v>51</v>
      </c>
      <c r="AJ2837" t="s">
        <v>51</v>
      </c>
      <c r="AK2837" t="s">
        <v>51</v>
      </c>
    </row>
    <row r="2838" spans="1:37" x14ac:dyDescent="0.2">
      <c r="A2838">
        <v>57461</v>
      </c>
      <c r="B2838" t="s">
        <v>37</v>
      </c>
      <c r="C2838" t="s">
        <v>38</v>
      </c>
      <c r="D2838" t="s">
        <v>651</v>
      </c>
      <c r="E2838" t="s">
        <v>40</v>
      </c>
      <c r="G2838" s="4">
        <v>43945.514409722222</v>
      </c>
      <c r="H2838" s="4">
        <v>43945.514479166667</v>
      </c>
      <c r="I2838" t="s">
        <v>75</v>
      </c>
      <c r="J2838" s="5">
        <v>6</v>
      </c>
      <c r="K2838" t="s">
        <v>38</v>
      </c>
      <c r="M2838">
        <v>57480</v>
      </c>
      <c r="N2838" t="s">
        <v>653</v>
      </c>
      <c r="O2838" t="s">
        <v>654</v>
      </c>
      <c r="P2838" t="s">
        <v>38</v>
      </c>
      <c r="Q2838" t="s">
        <v>44</v>
      </c>
      <c r="R2838">
        <v>4</v>
      </c>
      <c r="S2838" t="s">
        <v>45</v>
      </c>
      <c r="T2838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38">
        <v>57481</v>
      </c>
      <c r="V2838" t="s">
        <v>38</v>
      </c>
      <c r="W2838" t="s">
        <v>44</v>
      </c>
      <c r="X2838">
        <v>4</v>
      </c>
      <c r="Y2838">
        <v>0</v>
      </c>
      <c r="Z2838" t="s">
        <v>46</v>
      </c>
      <c r="AA2838">
        <v>57482</v>
      </c>
      <c r="AB2838" t="s">
        <v>655</v>
      </c>
      <c r="AC2838" t="s">
        <v>48</v>
      </c>
      <c r="AD2838" t="s">
        <v>38</v>
      </c>
      <c r="AE2838" t="s">
        <v>49</v>
      </c>
      <c r="AF2838" t="s">
        <v>85</v>
      </c>
      <c r="AG2838">
        <v>3</v>
      </c>
      <c r="AH2838">
        <v>3</v>
      </c>
      <c r="AI2838" t="s">
        <v>51</v>
      </c>
      <c r="AJ2838" t="s">
        <v>51</v>
      </c>
      <c r="AK2838" t="s">
        <v>51</v>
      </c>
    </row>
    <row r="2839" spans="1:37" x14ac:dyDescent="0.2">
      <c r="A2839">
        <v>57461</v>
      </c>
      <c r="B2839" t="s">
        <v>37</v>
      </c>
      <c r="C2839" t="s">
        <v>38</v>
      </c>
      <c r="D2839" t="s">
        <v>651</v>
      </c>
      <c r="E2839" t="s">
        <v>40</v>
      </c>
      <c r="G2839" s="4">
        <v>43945.514409722222</v>
      </c>
      <c r="H2839" s="4">
        <v>43945.514479166667</v>
      </c>
      <c r="I2839" t="s">
        <v>75</v>
      </c>
      <c r="J2839" s="5">
        <v>6</v>
      </c>
      <c r="K2839" t="s">
        <v>38</v>
      </c>
      <c r="M2839">
        <v>57477</v>
      </c>
      <c r="N2839" t="s">
        <v>656</v>
      </c>
      <c r="O2839" t="s">
        <v>657</v>
      </c>
      <c r="P2839" t="s">
        <v>38</v>
      </c>
      <c r="Q2839" t="s">
        <v>50</v>
      </c>
      <c r="R2839">
        <v>.9999999999999999999999999999999999999996</v>
      </c>
      <c r="S2839" t="s">
        <v>45</v>
      </c>
      <c r="T2839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39">
        <v>57478</v>
      </c>
      <c r="V2839" t="s">
        <v>38</v>
      </c>
      <c r="W2839" t="s">
        <v>50</v>
      </c>
      <c r="X2839">
        <v>.9999999999999999999999999999999999999996</v>
      </c>
      <c r="Y2839">
        <v>0</v>
      </c>
      <c r="Z2839" t="s">
        <v>46</v>
      </c>
      <c r="AA2839">
        <v>57479</v>
      </c>
      <c r="AB2839" t="s">
        <v>658</v>
      </c>
      <c r="AC2839" t="s">
        <v>48</v>
      </c>
      <c r="AD2839" t="s">
        <v>38</v>
      </c>
      <c r="AE2839" t="s">
        <v>49</v>
      </c>
      <c r="AF2839" t="s">
        <v>50</v>
      </c>
      <c r="AG2839">
        <v>.9999999999999999999999999999999999999996</v>
      </c>
      <c r="AH2839">
        <v>0</v>
      </c>
      <c r="AI2839" t="s">
        <v>51</v>
      </c>
      <c r="AJ2839" t="s">
        <v>51</v>
      </c>
      <c r="AK2839" t="s">
        <v>51</v>
      </c>
    </row>
    <row r="2840" spans="1:37" x14ac:dyDescent="0.2">
      <c r="A2840">
        <v>57461</v>
      </c>
      <c r="B2840" t="s">
        <v>37</v>
      </c>
      <c r="C2840" t="s">
        <v>38</v>
      </c>
      <c r="D2840" t="s">
        <v>651</v>
      </c>
      <c r="E2840" t="s">
        <v>40</v>
      </c>
      <c r="G2840" s="4">
        <v>43945.514409722222</v>
      </c>
      <c r="H2840" s="4">
        <v>43945.514479166667</v>
      </c>
      <c r="I2840" t="s">
        <v>75</v>
      </c>
      <c r="J2840" s="5">
        <v>6</v>
      </c>
      <c r="K2840" t="s">
        <v>38</v>
      </c>
      <c r="M2840">
        <v>57474</v>
      </c>
      <c r="N2840" t="s">
        <v>659</v>
      </c>
      <c r="O2840" t="s">
        <v>660</v>
      </c>
      <c r="P2840" t="s">
        <v>38</v>
      </c>
      <c r="Q2840" t="s">
        <v>50</v>
      </c>
      <c r="R2840">
        <v>0</v>
      </c>
      <c r="S2840" t="s">
        <v>45</v>
      </c>
      <c r="T2840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40">
        <v>57475</v>
      </c>
      <c r="V2840" t="s">
        <v>38</v>
      </c>
      <c r="W2840" t="s">
        <v>50</v>
      </c>
      <c r="X2840">
        <v>0</v>
      </c>
      <c r="Y2840">
        <v>0</v>
      </c>
      <c r="Z2840" t="s">
        <v>46</v>
      </c>
      <c r="AA2840">
        <v>57476</v>
      </c>
      <c r="AB2840" t="s">
        <v>661</v>
      </c>
      <c r="AC2840" t="s">
        <v>48</v>
      </c>
      <c r="AD2840" t="s">
        <v>38</v>
      </c>
      <c r="AE2840" t="s">
        <v>49</v>
      </c>
      <c r="AF2840" t="s">
        <v>50</v>
      </c>
      <c r="AG2840">
        <v>0</v>
      </c>
      <c r="AH2840">
        <v>0</v>
      </c>
      <c r="AI2840" t="s">
        <v>51</v>
      </c>
      <c r="AJ2840" t="s">
        <v>51</v>
      </c>
      <c r="AK2840" t="s">
        <v>51</v>
      </c>
    </row>
    <row r="2841" spans="1:37" x14ac:dyDescent="0.2">
      <c r="A2841">
        <v>57461</v>
      </c>
      <c r="B2841" t="s">
        <v>37</v>
      </c>
      <c r="C2841" t="s">
        <v>38</v>
      </c>
      <c r="D2841" t="s">
        <v>651</v>
      </c>
      <c r="E2841" t="s">
        <v>40</v>
      </c>
      <c r="G2841" s="4">
        <v>43945.514409722222</v>
      </c>
      <c r="H2841" s="4">
        <v>43945.514479166667</v>
      </c>
      <c r="I2841" t="s">
        <v>75</v>
      </c>
      <c r="J2841" s="5">
        <v>6</v>
      </c>
      <c r="K2841" t="s">
        <v>38</v>
      </c>
      <c r="M2841">
        <v>57471</v>
      </c>
      <c r="N2841" t="s">
        <v>662</v>
      </c>
      <c r="O2841" t="s">
        <v>663</v>
      </c>
      <c r="P2841" t="s">
        <v>38</v>
      </c>
      <c r="Q2841" t="s">
        <v>50</v>
      </c>
      <c r="R2841">
        <v>.9999999999999999999999999999999999999996</v>
      </c>
      <c r="S2841" t="s">
        <v>45</v>
      </c>
      <c r="T2841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41">
        <v>57472</v>
      </c>
      <c r="V2841" t="s">
        <v>38</v>
      </c>
      <c r="W2841" t="s">
        <v>50</v>
      </c>
      <c r="X2841">
        <v>.9999999999999999999999999999999999999996</v>
      </c>
      <c r="Y2841">
        <v>0</v>
      </c>
      <c r="Z2841" t="s">
        <v>46</v>
      </c>
      <c r="AA2841">
        <v>57473</v>
      </c>
      <c r="AB2841" t="s">
        <v>664</v>
      </c>
      <c r="AC2841" t="s">
        <v>48</v>
      </c>
      <c r="AD2841" t="s">
        <v>38</v>
      </c>
      <c r="AE2841" t="s">
        <v>49</v>
      </c>
      <c r="AF2841" t="s">
        <v>50</v>
      </c>
      <c r="AG2841">
        <v>0</v>
      </c>
      <c r="AH2841">
        <v>0</v>
      </c>
      <c r="AI2841" t="s">
        <v>51</v>
      </c>
      <c r="AJ2841" t="s">
        <v>51</v>
      </c>
      <c r="AK2841" t="s">
        <v>51</v>
      </c>
    </row>
    <row r="2842" spans="1:37" x14ac:dyDescent="0.2">
      <c r="A2842">
        <v>57461</v>
      </c>
      <c r="B2842" t="s">
        <v>37</v>
      </c>
      <c r="C2842" t="s">
        <v>38</v>
      </c>
      <c r="D2842" t="s">
        <v>651</v>
      </c>
      <c r="E2842" t="s">
        <v>40</v>
      </c>
      <c r="G2842" s="4">
        <v>43945.514409722222</v>
      </c>
      <c r="H2842" s="4">
        <v>43945.514479166667</v>
      </c>
      <c r="I2842" t="s">
        <v>75</v>
      </c>
      <c r="J2842" s="5">
        <v>6</v>
      </c>
      <c r="K2842" t="s">
        <v>38</v>
      </c>
      <c r="M2842">
        <v>57468</v>
      </c>
      <c r="N2842" t="s">
        <v>665</v>
      </c>
      <c r="O2842" t="s">
        <v>666</v>
      </c>
      <c r="P2842" t="s">
        <v>38</v>
      </c>
      <c r="Q2842" t="s">
        <v>50</v>
      </c>
      <c r="R2842">
        <v>0</v>
      </c>
      <c r="S2842" t="s">
        <v>45</v>
      </c>
      <c r="T2842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42">
        <v>57469</v>
      </c>
      <c r="V2842" t="s">
        <v>38</v>
      </c>
      <c r="W2842" t="s">
        <v>50</v>
      </c>
      <c r="X2842">
        <v>0</v>
      </c>
      <c r="Y2842">
        <v>0</v>
      </c>
      <c r="Z2842" t="s">
        <v>46</v>
      </c>
      <c r="AA2842">
        <v>57470</v>
      </c>
      <c r="AB2842" t="s">
        <v>667</v>
      </c>
      <c r="AC2842" t="s">
        <v>48</v>
      </c>
      <c r="AD2842" t="s">
        <v>38</v>
      </c>
      <c r="AE2842" t="s">
        <v>49</v>
      </c>
      <c r="AF2842" t="s">
        <v>50</v>
      </c>
      <c r="AG2842">
        <v>0</v>
      </c>
      <c r="AH2842">
        <v>0</v>
      </c>
      <c r="AI2842" t="s">
        <v>51</v>
      </c>
      <c r="AJ2842" t="s">
        <v>51</v>
      </c>
      <c r="AK2842" t="s">
        <v>51</v>
      </c>
    </row>
    <row r="2843" spans="1:37" x14ac:dyDescent="0.2">
      <c r="A2843">
        <v>57461</v>
      </c>
      <c r="B2843" t="s">
        <v>37</v>
      </c>
      <c r="C2843" t="s">
        <v>38</v>
      </c>
      <c r="D2843" t="s">
        <v>651</v>
      </c>
      <c r="E2843" t="s">
        <v>40</v>
      </c>
      <c r="G2843" s="4">
        <v>43945.514409722222</v>
      </c>
      <c r="H2843" s="4">
        <v>43945.514479166667</v>
      </c>
      <c r="I2843" t="s">
        <v>75</v>
      </c>
      <c r="J2843" s="5">
        <v>6</v>
      </c>
      <c r="K2843" t="s">
        <v>38</v>
      </c>
      <c r="M2843">
        <v>57465</v>
      </c>
      <c r="N2843" t="s">
        <v>668</v>
      </c>
      <c r="O2843" t="s">
        <v>669</v>
      </c>
      <c r="P2843" t="s">
        <v>38</v>
      </c>
      <c r="Q2843" t="s">
        <v>50</v>
      </c>
      <c r="R2843">
        <v>0</v>
      </c>
      <c r="S2843" t="s">
        <v>45</v>
      </c>
      <c r="T2843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43">
        <v>57466</v>
      </c>
      <c r="V2843" t="s">
        <v>38</v>
      </c>
      <c r="W2843" t="s">
        <v>50</v>
      </c>
      <c r="X2843">
        <v>0</v>
      </c>
      <c r="Y2843">
        <v>0</v>
      </c>
      <c r="Z2843" t="s">
        <v>46</v>
      </c>
      <c r="AA2843">
        <v>57467</v>
      </c>
      <c r="AB2843" t="s">
        <v>670</v>
      </c>
      <c r="AC2843" t="s">
        <v>48</v>
      </c>
      <c r="AD2843" t="s">
        <v>38</v>
      </c>
      <c r="AE2843" t="s">
        <v>49</v>
      </c>
      <c r="AF2843" t="s">
        <v>50</v>
      </c>
      <c r="AG2843">
        <v>0</v>
      </c>
      <c r="AH2843">
        <v>0</v>
      </c>
      <c r="AI2843" t="s">
        <v>51</v>
      </c>
      <c r="AJ2843" t="s">
        <v>51</v>
      </c>
      <c r="AK2843" t="s">
        <v>51</v>
      </c>
    </row>
    <row r="2844" spans="1:37" x14ac:dyDescent="0.2">
      <c r="A2844">
        <v>57461</v>
      </c>
      <c r="B2844" t="s">
        <v>37</v>
      </c>
      <c r="C2844" t="s">
        <v>38</v>
      </c>
      <c r="D2844" t="s">
        <v>651</v>
      </c>
      <c r="E2844" t="s">
        <v>40</v>
      </c>
      <c r="G2844" s="4">
        <v>43945.514409722222</v>
      </c>
      <c r="H2844" s="4">
        <v>43945.514479166667</v>
      </c>
      <c r="I2844" t="s">
        <v>75</v>
      </c>
      <c r="J2844" s="5">
        <v>6</v>
      </c>
      <c r="K2844" t="s">
        <v>38</v>
      </c>
      <c r="M2844">
        <v>57462</v>
      </c>
      <c r="N2844" t="s">
        <v>671</v>
      </c>
      <c r="O2844" t="s">
        <v>672</v>
      </c>
      <c r="P2844" t="s">
        <v>38</v>
      </c>
      <c r="Q2844" t="s">
        <v>50</v>
      </c>
      <c r="R2844">
        <v>0</v>
      </c>
      <c r="S2844" t="s">
        <v>45</v>
      </c>
      <c r="T2844" t="str" s="2">
        <f>=HYPERLINK("http://demo.enginatics.com:80/ecc/user/applications/log/57461.log","http://demo.enginatics.com:80/ecc/user/applications/log/57461.log")</f>
        <v>"http://demo.enginatics.com:80/ecc/user/applications/log/57461.log")</v>
      </c>
      <c r="U2844">
        <v>57463</v>
      </c>
      <c r="V2844" t="s">
        <v>38</v>
      </c>
      <c r="W2844" t="s">
        <v>50</v>
      </c>
      <c r="X2844">
        <v>0</v>
      </c>
      <c r="Y2844">
        <v>0</v>
      </c>
      <c r="Z2844" t="s">
        <v>46</v>
      </c>
      <c r="AA2844">
        <v>57464</v>
      </c>
      <c r="AB2844" t="s">
        <v>673</v>
      </c>
      <c r="AC2844" t="s">
        <v>48</v>
      </c>
      <c r="AD2844" t="s">
        <v>38</v>
      </c>
      <c r="AE2844" t="s">
        <v>49</v>
      </c>
      <c r="AF2844" t="s">
        <v>50</v>
      </c>
      <c r="AG2844">
        <v>0</v>
      </c>
      <c r="AH2844">
        <v>0</v>
      </c>
      <c r="AI2844" t="s">
        <v>51</v>
      </c>
      <c r="AJ2844" t="s">
        <v>51</v>
      </c>
      <c r="AK2844" t="s">
        <v>51</v>
      </c>
    </row>
    <row r="2845" spans="1:37" x14ac:dyDescent="0.2">
      <c r="A2845">
        <v>57288</v>
      </c>
      <c r="B2845" t="s">
        <v>37</v>
      </c>
      <c r="C2845" t="s">
        <v>38</v>
      </c>
      <c r="D2845" t="s">
        <v>674</v>
      </c>
      <c r="E2845" t="s">
        <v>40</v>
      </c>
      <c r="G2845" s="4">
        <v>43945.505972222222</v>
      </c>
      <c r="H2845" s="4">
        <v>43945.5065625</v>
      </c>
      <c r="I2845" t="s">
        <v>2171</v>
      </c>
      <c r="J2845" s="5">
        <v>51.00000000000000000000000000000000000002</v>
      </c>
      <c r="K2845" t="s">
        <v>38</v>
      </c>
      <c r="M2845">
        <v>57458</v>
      </c>
      <c r="N2845" t="s">
        <v>676</v>
      </c>
      <c r="O2845" t="s">
        <v>677</v>
      </c>
      <c r="P2845" t="s">
        <v>38</v>
      </c>
      <c r="Q2845" t="s">
        <v>78</v>
      </c>
      <c r="R2845">
        <v>5</v>
      </c>
      <c r="S2845" t="s">
        <v>45</v>
      </c>
      <c r="T284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45">
        <v>57459</v>
      </c>
      <c r="V2845" t="s">
        <v>38</v>
      </c>
      <c r="W2845" t="s">
        <v>78</v>
      </c>
      <c r="X2845">
        <v>5</v>
      </c>
      <c r="Y2845">
        <v>0</v>
      </c>
      <c r="Z2845" t="s">
        <v>46</v>
      </c>
      <c r="AA2845">
        <v>57460</v>
      </c>
      <c r="AB2845" t="s">
        <v>678</v>
      </c>
      <c r="AC2845" t="s">
        <v>48</v>
      </c>
      <c r="AD2845" t="s">
        <v>38</v>
      </c>
      <c r="AE2845" t="s">
        <v>1206</v>
      </c>
      <c r="AF2845" t="s">
        <v>78</v>
      </c>
      <c r="AG2845">
        <v>5</v>
      </c>
      <c r="AH2845">
        <v>0</v>
      </c>
      <c r="AI2845" t="s">
        <v>1207</v>
      </c>
      <c r="AJ2845" t="s">
        <v>51</v>
      </c>
      <c r="AK2845" t="s">
        <v>1207</v>
      </c>
    </row>
    <row r="2846" spans="1:37" x14ac:dyDescent="0.2">
      <c r="A2846">
        <v>57288</v>
      </c>
      <c r="B2846" t="s">
        <v>37</v>
      </c>
      <c r="C2846" t="s">
        <v>38</v>
      </c>
      <c r="D2846" t="s">
        <v>674</v>
      </c>
      <c r="E2846" t="s">
        <v>40</v>
      </c>
      <c r="G2846" s="4">
        <v>43945.505972222222</v>
      </c>
      <c r="H2846" s="4">
        <v>43945.5065625</v>
      </c>
      <c r="I2846" t="s">
        <v>2171</v>
      </c>
      <c r="J2846" s="5">
        <v>51.00000000000000000000000000000000000002</v>
      </c>
      <c r="K2846" t="s">
        <v>38</v>
      </c>
      <c r="M2846">
        <v>57455</v>
      </c>
      <c r="N2846" t="s">
        <v>681</v>
      </c>
      <c r="O2846" t="s">
        <v>682</v>
      </c>
      <c r="P2846" t="s">
        <v>38</v>
      </c>
      <c r="Q2846" t="s">
        <v>652</v>
      </c>
      <c r="R2846">
        <v>8</v>
      </c>
      <c r="S2846" t="s">
        <v>45</v>
      </c>
      <c r="T284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46">
        <v>57456</v>
      </c>
      <c r="V2846" t="s">
        <v>38</v>
      </c>
      <c r="W2846" t="s">
        <v>652</v>
      </c>
      <c r="X2846">
        <v>8</v>
      </c>
      <c r="Y2846">
        <v>0</v>
      </c>
      <c r="Z2846" t="s">
        <v>46</v>
      </c>
      <c r="AA2846">
        <v>57457</v>
      </c>
      <c r="AB2846" t="s">
        <v>683</v>
      </c>
      <c r="AC2846" t="s">
        <v>48</v>
      </c>
      <c r="AD2846" t="s">
        <v>38</v>
      </c>
      <c r="AE2846" t="s">
        <v>1208</v>
      </c>
      <c r="AF2846" t="s">
        <v>652</v>
      </c>
      <c r="AG2846">
        <v>8</v>
      </c>
      <c r="AH2846">
        <v>0</v>
      </c>
      <c r="AI2846" t="s">
        <v>1209</v>
      </c>
      <c r="AJ2846" t="s">
        <v>51</v>
      </c>
      <c r="AK2846" t="s">
        <v>1209</v>
      </c>
    </row>
    <row r="2847" spans="1:37" x14ac:dyDescent="0.2">
      <c r="A2847">
        <v>57288</v>
      </c>
      <c r="B2847" t="s">
        <v>37</v>
      </c>
      <c r="C2847" t="s">
        <v>38</v>
      </c>
      <c r="D2847" t="s">
        <v>674</v>
      </c>
      <c r="E2847" t="s">
        <v>40</v>
      </c>
      <c r="G2847" s="4">
        <v>43945.505972222222</v>
      </c>
      <c r="H2847" s="4">
        <v>43945.5065625</v>
      </c>
      <c r="I2847" t="s">
        <v>2171</v>
      </c>
      <c r="J2847" s="5">
        <v>51.00000000000000000000000000000000000002</v>
      </c>
      <c r="K2847" t="s">
        <v>38</v>
      </c>
      <c r="M2847">
        <v>57452</v>
      </c>
      <c r="N2847" t="s">
        <v>686</v>
      </c>
      <c r="O2847" t="s">
        <v>687</v>
      </c>
      <c r="P2847" t="s">
        <v>38</v>
      </c>
      <c r="Q2847" t="s">
        <v>78</v>
      </c>
      <c r="R2847">
        <v>5</v>
      </c>
      <c r="S2847" t="s">
        <v>45</v>
      </c>
      <c r="T284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47">
        <v>57453</v>
      </c>
      <c r="V2847" t="s">
        <v>38</v>
      </c>
      <c r="W2847" t="s">
        <v>78</v>
      </c>
      <c r="X2847">
        <v>5</v>
      </c>
      <c r="Y2847">
        <v>0</v>
      </c>
      <c r="Z2847" t="s">
        <v>46</v>
      </c>
      <c r="AA2847">
        <v>57454</v>
      </c>
      <c r="AB2847" t="s">
        <v>688</v>
      </c>
      <c r="AC2847" t="s">
        <v>48</v>
      </c>
      <c r="AD2847" t="s">
        <v>38</v>
      </c>
      <c r="AE2847" t="s">
        <v>689</v>
      </c>
      <c r="AF2847" t="s">
        <v>78</v>
      </c>
      <c r="AG2847">
        <v>5</v>
      </c>
      <c r="AH2847">
        <v>0</v>
      </c>
      <c r="AI2847" t="s">
        <v>690</v>
      </c>
      <c r="AJ2847" t="s">
        <v>51</v>
      </c>
      <c r="AK2847" t="s">
        <v>690</v>
      </c>
    </row>
    <row r="2848" spans="1:37" x14ac:dyDescent="0.2">
      <c r="A2848">
        <v>57288</v>
      </c>
      <c r="B2848" t="s">
        <v>37</v>
      </c>
      <c r="C2848" t="s">
        <v>38</v>
      </c>
      <c r="D2848" t="s">
        <v>674</v>
      </c>
      <c r="E2848" t="s">
        <v>40</v>
      </c>
      <c r="G2848" s="4">
        <v>43945.505972222222</v>
      </c>
      <c r="H2848" s="4">
        <v>43945.5065625</v>
      </c>
      <c r="I2848" t="s">
        <v>2171</v>
      </c>
      <c r="J2848" s="5">
        <v>51.00000000000000000000000000000000000002</v>
      </c>
      <c r="K2848" t="s">
        <v>38</v>
      </c>
      <c r="M2848">
        <v>57448</v>
      </c>
      <c r="N2848" t="s">
        <v>691</v>
      </c>
      <c r="O2848" t="s">
        <v>692</v>
      </c>
      <c r="P2848" t="s">
        <v>38</v>
      </c>
      <c r="Q2848" t="s">
        <v>966</v>
      </c>
      <c r="R2848">
        <v>15.99999999999999999999999999999999999998</v>
      </c>
      <c r="S2848" t="s">
        <v>45</v>
      </c>
      <c r="T284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48">
        <v>57449</v>
      </c>
      <c r="V2848" t="s">
        <v>38</v>
      </c>
      <c r="W2848" t="s">
        <v>966</v>
      </c>
      <c r="X2848">
        <v>15.99999999999999999999999999999999999998</v>
      </c>
      <c r="Y2848">
        <v>0</v>
      </c>
      <c r="Z2848" t="s">
        <v>46</v>
      </c>
      <c r="AA2848">
        <v>57451</v>
      </c>
      <c r="AB2848" t="s">
        <v>694</v>
      </c>
      <c r="AC2848" t="s">
        <v>103</v>
      </c>
      <c r="AD2848" t="s">
        <v>38</v>
      </c>
      <c r="AE2848" t="s">
        <v>992</v>
      </c>
      <c r="AF2848" t="s">
        <v>78</v>
      </c>
      <c r="AG2848">
        <v>5</v>
      </c>
      <c r="AH2848">
        <v>4</v>
      </c>
      <c r="AI2848" t="s">
        <v>993</v>
      </c>
      <c r="AJ2848" t="s">
        <v>51</v>
      </c>
      <c r="AK2848" t="s">
        <v>993</v>
      </c>
    </row>
    <row r="2849" spans="1:37" x14ac:dyDescent="0.2">
      <c r="A2849">
        <v>57288</v>
      </c>
      <c r="B2849" t="s">
        <v>37</v>
      </c>
      <c r="C2849" t="s">
        <v>38</v>
      </c>
      <c r="D2849" t="s">
        <v>674</v>
      </c>
      <c r="E2849" t="s">
        <v>40</v>
      </c>
      <c r="G2849" s="4">
        <v>43945.505972222222</v>
      </c>
      <c r="H2849" s="4">
        <v>43945.5065625</v>
      </c>
      <c r="I2849" t="s">
        <v>2171</v>
      </c>
      <c r="J2849" s="5">
        <v>51.00000000000000000000000000000000000002</v>
      </c>
      <c r="K2849" t="s">
        <v>38</v>
      </c>
      <c r="M2849">
        <v>57448</v>
      </c>
      <c r="N2849" t="s">
        <v>691</v>
      </c>
      <c r="O2849" t="s">
        <v>692</v>
      </c>
      <c r="P2849" t="s">
        <v>38</v>
      </c>
      <c r="Q2849" t="s">
        <v>966</v>
      </c>
      <c r="R2849">
        <v>15.99999999999999999999999999999999999998</v>
      </c>
      <c r="S2849" t="s">
        <v>45</v>
      </c>
      <c r="T284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49">
        <v>57449</v>
      </c>
      <c r="V2849" t="s">
        <v>38</v>
      </c>
      <c r="W2849" t="s">
        <v>966</v>
      </c>
      <c r="X2849">
        <v>15.99999999999999999999999999999999999998</v>
      </c>
      <c r="Y2849">
        <v>0</v>
      </c>
      <c r="Z2849" t="s">
        <v>46</v>
      </c>
      <c r="AA2849">
        <v>57450</v>
      </c>
      <c r="AB2849" t="s">
        <v>697</v>
      </c>
      <c r="AC2849" t="s">
        <v>48</v>
      </c>
      <c r="AD2849" t="s">
        <v>38</v>
      </c>
      <c r="AE2849" t="s">
        <v>992</v>
      </c>
      <c r="AF2849" t="s">
        <v>300</v>
      </c>
      <c r="AG2849">
        <v>10.00000000000000000000000000000000000002</v>
      </c>
      <c r="AH2849">
        <v>7</v>
      </c>
      <c r="AI2849" t="s">
        <v>993</v>
      </c>
      <c r="AJ2849" t="s">
        <v>51</v>
      </c>
      <c r="AK2849" t="s">
        <v>993</v>
      </c>
    </row>
    <row r="2850" spans="1:37" x14ac:dyDescent="0.2">
      <c r="A2850">
        <v>57288</v>
      </c>
      <c r="B2850" t="s">
        <v>37</v>
      </c>
      <c r="C2850" t="s">
        <v>38</v>
      </c>
      <c r="D2850" t="s">
        <v>674</v>
      </c>
      <c r="E2850" t="s">
        <v>40</v>
      </c>
      <c r="G2850" s="4">
        <v>43945.505972222222</v>
      </c>
      <c r="H2850" s="4">
        <v>43945.5065625</v>
      </c>
      <c r="I2850" t="s">
        <v>2171</v>
      </c>
      <c r="J2850" s="5">
        <v>51.00000000000000000000000000000000000002</v>
      </c>
      <c r="K2850" t="s">
        <v>38</v>
      </c>
      <c r="M2850">
        <v>57444</v>
      </c>
      <c r="N2850" t="s">
        <v>698</v>
      </c>
      <c r="O2850" t="s">
        <v>699</v>
      </c>
      <c r="P2850" t="s">
        <v>38</v>
      </c>
      <c r="Q2850" t="s">
        <v>652</v>
      </c>
      <c r="R2850">
        <v>8</v>
      </c>
      <c r="S2850" t="s">
        <v>45</v>
      </c>
      <c r="T285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0">
        <v>57445</v>
      </c>
      <c r="V2850" t="s">
        <v>38</v>
      </c>
      <c r="W2850" t="s">
        <v>247</v>
      </c>
      <c r="X2850">
        <v>7</v>
      </c>
      <c r="Y2850">
        <v>0</v>
      </c>
      <c r="Z2850" t="s">
        <v>46</v>
      </c>
      <c r="AA2850">
        <v>57447</v>
      </c>
      <c r="AB2850" t="s">
        <v>700</v>
      </c>
      <c r="AC2850" t="s">
        <v>103</v>
      </c>
      <c r="AD2850" t="s">
        <v>38</v>
      </c>
      <c r="AE2850" t="s">
        <v>909</v>
      </c>
      <c r="AF2850" t="s">
        <v>78</v>
      </c>
      <c r="AG2850">
        <v>5</v>
      </c>
      <c r="AH2850">
        <v>0</v>
      </c>
      <c r="AI2850" t="s">
        <v>1210</v>
      </c>
      <c r="AJ2850" t="s">
        <v>51</v>
      </c>
      <c r="AK2850" t="s">
        <v>910</v>
      </c>
    </row>
    <row r="2851" spans="1:37" x14ac:dyDescent="0.2">
      <c r="A2851">
        <v>57288</v>
      </c>
      <c r="B2851" t="s">
        <v>37</v>
      </c>
      <c r="C2851" t="s">
        <v>38</v>
      </c>
      <c r="D2851" t="s">
        <v>674</v>
      </c>
      <c r="E2851" t="s">
        <v>40</v>
      </c>
      <c r="G2851" s="4">
        <v>43945.505972222222</v>
      </c>
      <c r="H2851" s="4">
        <v>43945.5065625</v>
      </c>
      <c r="I2851" t="s">
        <v>2171</v>
      </c>
      <c r="J2851" s="5">
        <v>51.00000000000000000000000000000000000002</v>
      </c>
      <c r="K2851" t="s">
        <v>38</v>
      </c>
      <c r="M2851">
        <v>57444</v>
      </c>
      <c r="N2851" t="s">
        <v>698</v>
      </c>
      <c r="O2851" t="s">
        <v>699</v>
      </c>
      <c r="P2851" t="s">
        <v>38</v>
      </c>
      <c r="Q2851" t="s">
        <v>652</v>
      </c>
      <c r="R2851">
        <v>8</v>
      </c>
      <c r="S2851" t="s">
        <v>45</v>
      </c>
      <c r="T285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1">
        <v>57445</v>
      </c>
      <c r="V2851" t="s">
        <v>38</v>
      </c>
      <c r="W2851" t="s">
        <v>247</v>
      </c>
      <c r="X2851">
        <v>7</v>
      </c>
      <c r="Y2851">
        <v>0</v>
      </c>
      <c r="Z2851" t="s">
        <v>46</v>
      </c>
      <c r="AA2851">
        <v>57446</v>
      </c>
      <c r="AB2851" t="s">
        <v>704</v>
      </c>
      <c r="AC2851" t="s">
        <v>48</v>
      </c>
      <c r="AD2851" t="s">
        <v>38</v>
      </c>
      <c r="AE2851" t="s">
        <v>909</v>
      </c>
      <c r="AF2851" t="s">
        <v>88</v>
      </c>
      <c r="AG2851">
        <v>2</v>
      </c>
      <c r="AH2851">
        <v>0</v>
      </c>
      <c r="AI2851" t="s">
        <v>910</v>
      </c>
      <c r="AJ2851" t="s">
        <v>51</v>
      </c>
      <c r="AK2851" t="s">
        <v>910</v>
      </c>
    </row>
    <row r="2852" spans="1:37" x14ac:dyDescent="0.2">
      <c r="A2852">
        <v>57288</v>
      </c>
      <c r="B2852" t="s">
        <v>37</v>
      </c>
      <c r="C2852" t="s">
        <v>38</v>
      </c>
      <c r="D2852" t="s">
        <v>674</v>
      </c>
      <c r="E2852" t="s">
        <v>40</v>
      </c>
      <c r="G2852" s="4">
        <v>43945.505972222222</v>
      </c>
      <c r="H2852" s="4">
        <v>43945.5065625</v>
      </c>
      <c r="I2852" t="s">
        <v>2171</v>
      </c>
      <c r="J2852" s="5">
        <v>51.00000000000000000000000000000000000002</v>
      </c>
      <c r="K2852" t="s">
        <v>38</v>
      </c>
      <c r="M2852">
        <v>57289</v>
      </c>
      <c r="N2852" t="s">
        <v>705</v>
      </c>
      <c r="O2852" t="s">
        <v>706</v>
      </c>
      <c r="P2852" t="s">
        <v>38</v>
      </c>
      <c r="Q2852" t="s">
        <v>238</v>
      </c>
      <c r="R2852">
        <v>9.00000000000000000000000000000000000003</v>
      </c>
      <c r="S2852" t="s">
        <v>45</v>
      </c>
      <c r="T285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2">
        <v>57290</v>
      </c>
      <c r="V2852" t="s">
        <v>38</v>
      </c>
      <c r="W2852" t="s">
        <v>238</v>
      </c>
      <c r="X2852">
        <v>9.00000000000000000000000000000000000003</v>
      </c>
      <c r="Y2852">
        <v>0</v>
      </c>
      <c r="Z2852" t="s">
        <v>46</v>
      </c>
      <c r="AA2852">
        <v>57443</v>
      </c>
      <c r="AB2852" t="s">
        <v>2172</v>
      </c>
      <c r="AC2852" t="s">
        <v>103</v>
      </c>
      <c r="AD2852" t="s">
        <v>38</v>
      </c>
      <c r="AE2852" t="s">
        <v>49</v>
      </c>
      <c r="AF2852" t="s">
        <v>50</v>
      </c>
      <c r="AG2852">
        <v>0</v>
      </c>
      <c r="AH2852">
        <v>0</v>
      </c>
      <c r="AI2852" t="s">
        <v>51</v>
      </c>
      <c r="AJ2852" t="s">
        <v>51</v>
      </c>
      <c r="AK2852" t="s">
        <v>51</v>
      </c>
    </row>
    <row r="2853" spans="1:37" x14ac:dyDescent="0.2">
      <c r="A2853">
        <v>57288</v>
      </c>
      <c r="B2853" t="s">
        <v>37</v>
      </c>
      <c r="C2853" t="s">
        <v>38</v>
      </c>
      <c r="D2853" t="s">
        <v>674</v>
      </c>
      <c r="E2853" t="s">
        <v>40</v>
      </c>
      <c r="G2853" s="4">
        <v>43945.505972222222</v>
      </c>
      <c r="H2853" s="4">
        <v>43945.5065625</v>
      </c>
      <c r="I2853" t="s">
        <v>2171</v>
      </c>
      <c r="J2853" s="5">
        <v>51.00000000000000000000000000000000000002</v>
      </c>
      <c r="K2853" t="s">
        <v>38</v>
      </c>
      <c r="M2853">
        <v>57289</v>
      </c>
      <c r="N2853" t="s">
        <v>705</v>
      </c>
      <c r="O2853" t="s">
        <v>706</v>
      </c>
      <c r="P2853" t="s">
        <v>38</v>
      </c>
      <c r="Q2853" t="s">
        <v>238</v>
      </c>
      <c r="R2853">
        <v>9.00000000000000000000000000000000000003</v>
      </c>
      <c r="S2853" t="s">
        <v>45</v>
      </c>
      <c r="T285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3">
        <v>57290</v>
      </c>
      <c r="V2853" t="s">
        <v>38</v>
      </c>
      <c r="W2853" t="s">
        <v>238</v>
      </c>
      <c r="X2853">
        <v>9.00000000000000000000000000000000000003</v>
      </c>
      <c r="Y2853">
        <v>0</v>
      </c>
      <c r="Z2853" t="s">
        <v>46</v>
      </c>
      <c r="AA2853">
        <v>57442</v>
      </c>
      <c r="AB2853" t="s">
        <v>2173</v>
      </c>
      <c r="AC2853" t="s">
        <v>103</v>
      </c>
      <c r="AD2853" t="s">
        <v>38</v>
      </c>
      <c r="AE2853" t="s">
        <v>49</v>
      </c>
      <c r="AF2853" t="s">
        <v>50</v>
      </c>
      <c r="AG2853">
        <v>0</v>
      </c>
      <c r="AH2853">
        <v>0</v>
      </c>
      <c r="AI2853" t="s">
        <v>51</v>
      </c>
      <c r="AJ2853" t="s">
        <v>51</v>
      </c>
      <c r="AK2853" t="s">
        <v>51</v>
      </c>
    </row>
    <row r="2854" spans="1:37" x14ac:dyDescent="0.2">
      <c r="A2854">
        <v>57288</v>
      </c>
      <c r="B2854" t="s">
        <v>37</v>
      </c>
      <c r="C2854" t="s">
        <v>38</v>
      </c>
      <c r="D2854" t="s">
        <v>674</v>
      </c>
      <c r="E2854" t="s">
        <v>40</v>
      </c>
      <c r="G2854" s="4">
        <v>43945.505972222222</v>
      </c>
      <c r="H2854" s="4">
        <v>43945.5065625</v>
      </c>
      <c r="I2854" t="s">
        <v>2171</v>
      </c>
      <c r="J2854" s="5">
        <v>51.00000000000000000000000000000000000002</v>
      </c>
      <c r="K2854" t="s">
        <v>38</v>
      </c>
      <c r="M2854">
        <v>57289</v>
      </c>
      <c r="N2854" t="s">
        <v>705</v>
      </c>
      <c r="O2854" t="s">
        <v>706</v>
      </c>
      <c r="P2854" t="s">
        <v>38</v>
      </c>
      <c r="Q2854" t="s">
        <v>238</v>
      </c>
      <c r="R2854">
        <v>9.00000000000000000000000000000000000003</v>
      </c>
      <c r="S2854" t="s">
        <v>45</v>
      </c>
      <c r="T285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4">
        <v>57290</v>
      </c>
      <c r="V2854" t="s">
        <v>38</v>
      </c>
      <c r="W2854" t="s">
        <v>238</v>
      </c>
      <c r="X2854">
        <v>9.00000000000000000000000000000000000003</v>
      </c>
      <c r="Y2854">
        <v>0</v>
      </c>
      <c r="Z2854" t="s">
        <v>46</v>
      </c>
      <c r="AA2854">
        <v>57441</v>
      </c>
      <c r="AB2854" t="s">
        <v>2174</v>
      </c>
      <c r="AC2854" t="s">
        <v>103</v>
      </c>
      <c r="AD2854" t="s">
        <v>38</v>
      </c>
      <c r="AE2854" t="s">
        <v>49</v>
      </c>
      <c r="AF2854" t="s">
        <v>50</v>
      </c>
      <c r="AG2854">
        <v>0</v>
      </c>
      <c r="AH2854">
        <v>0</v>
      </c>
      <c r="AI2854" t="s">
        <v>51</v>
      </c>
      <c r="AJ2854" t="s">
        <v>51</v>
      </c>
      <c r="AK2854" t="s">
        <v>51</v>
      </c>
    </row>
    <row r="2855" spans="1:37" x14ac:dyDescent="0.2">
      <c r="A2855">
        <v>57288</v>
      </c>
      <c r="B2855" t="s">
        <v>37</v>
      </c>
      <c r="C2855" t="s">
        <v>38</v>
      </c>
      <c r="D2855" t="s">
        <v>674</v>
      </c>
      <c r="E2855" t="s">
        <v>40</v>
      </c>
      <c r="G2855" s="4">
        <v>43945.505972222222</v>
      </c>
      <c r="H2855" s="4">
        <v>43945.5065625</v>
      </c>
      <c r="I2855" t="s">
        <v>2171</v>
      </c>
      <c r="J2855" s="5">
        <v>51.00000000000000000000000000000000000002</v>
      </c>
      <c r="K2855" t="s">
        <v>38</v>
      </c>
      <c r="M2855">
        <v>57289</v>
      </c>
      <c r="N2855" t="s">
        <v>705</v>
      </c>
      <c r="O2855" t="s">
        <v>706</v>
      </c>
      <c r="P2855" t="s">
        <v>38</v>
      </c>
      <c r="Q2855" t="s">
        <v>238</v>
      </c>
      <c r="R2855">
        <v>9.00000000000000000000000000000000000003</v>
      </c>
      <c r="S2855" t="s">
        <v>45</v>
      </c>
      <c r="T285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5">
        <v>57290</v>
      </c>
      <c r="V2855" t="s">
        <v>38</v>
      </c>
      <c r="W2855" t="s">
        <v>238</v>
      </c>
      <c r="X2855">
        <v>9.00000000000000000000000000000000000003</v>
      </c>
      <c r="Y2855">
        <v>0</v>
      </c>
      <c r="Z2855" t="s">
        <v>46</v>
      </c>
      <c r="AA2855">
        <v>57440</v>
      </c>
      <c r="AB2855" t="s">
        <v>2175</v>
      </c>
      <c r="AC2855" t="s">
        <v>103</v>
      </c>
      <c r="AD2855" t="s">
        <v>38</v>
      </c>
      <c r="AE2855" t="s">
        <v>49</v>
      </c>
      <c r="AF2855" t="s">
        <v>50</v>
      </c>
      <c r="AG2855">
        <v>0</v>
      </c>
      <c r="AH2855">
        <v>0</v>
      </c>
      <c r="AI2855" t="s">
        <v>51</v>
      </c>
      <c r="AJ2855" t="s">
        <v>51</v>
      </c>
      <c r="AK2855" t="s">
        <v>51</v>
      </c>
    </row>
    <row r="2856" spans="1:37" x14ac:dyDescent="0.2">
      <c r="A2856">
        <v>57288</v>
      </c>
      <c r="B2856" t="s">
        <v>37</v>
      </c>
      <c r="C2856" t="s">
        <v>38</v>
      </c>
      <c r="D2856" t="s">
        <v>674</v>
      </c>
      <c r="E2856" t="s">
        <v>40</v>
      </c>
      <c r="G2856" s="4">
        <v>43945.505972222222</v>
      </c>
      <c r="H2856" s="4">
        <v>43945.5065625</v>
      </c>
      <c r="I2856" t="s">
        <v>2171</v>
      </c>
      <c r="J2856" s="5">
        <v>51.00000000000000000000000000000000000002</v>
      </c>
      <c r="K2856" t="s">
        <v>38</v>
      </c>
      <c r="M2856">
        <v>57289</v>
      </c>
      <c r="N2856" t="s">
        <v>705</v>
      </c>
      <c r="O2856" t="s">
        <v>706</v>
      </c>
      <c r="P2856" t="s">
        <v>38</v>
      </c>
      <c r="Q2856" t="s">
        <v>238</v>
      </c>
      <c r="R2856">
        <v>9.00000000000000000000000000000000000003</v>
      </c>
      <c r="S2856" t="s">
        <v>45</v>
      </c>
      <c r="T285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6">
        <v>57290</v>
      </c>
      <c r="V2856" t="s">
        <v>38</v>
      </c>
      <c r="W2856" t="s">
        <v>238</v>
      </c>
      <c r="X2856">
        <v>9.00000000000000000000000000000000000003</v>
      </c>
      <c r="Y2856">
        <v>0</v>
      </c>
      <c r="Z2856" t="s">
        <v>46</v>
      </c>
      <c r="AA2856">
        <v>57439</v>
      </c>
      <c r="AB2856" t="s">
        <v>2176</v>
      </c>
      <c r="AC2856" t="s">
        <v>103</v>
      </c>
      <c r="AD2856" t="s">
        <v>38</v>
      </c>
      <c r="AE2856" t="s">
        <v>49</v>
      </c>
      <c r="AF2856" t="s">
        <v>50</v>
      </c>
      <c r="AG2856">
        <v>0</v>
      </c>
      <c r="AH2856">
        <v>0</v>
      </c>
      <c r="AI2856" t="s">
        <v>51</v>
      </c>
      <c r="AJ2856" t="s">
        <v>51</v>
      </c>
      <c r="AK2856" t="s">
        <v>51</v>
      </c>
    </row>
    <row r="2857" spans="1:37" x14ac:dyDescent="0.2">
      <c r="A2857">
        <v>57288</v>
      </c>
      <c r="B2857" t="s">
        <v>37</v>
      </c>
      <c r="C2857" t="s">
        <v>38</v>
      </c>
      <c r="D2857" t="s">
        <v>674</v>
      </c>
      <c r="E2857" t="s">
        <v>40</v>
      </c>
      <c r="G2857" s="4">
        <v>43945.505972222222</v>
      </c>
      <c r="H2857" s="4">
        <v>43945.5065625</v>
      </c>
      <c r="I2857" t="s">
        <v>2171</v>
      </c>
      <c r="J2857" s="5">
        <v>51.00000000000000000000000000000000000002</v>
      </c>
      <c r="K2857" t="s">
        <v>38</v>
      </c>
      <c r="M2857">
        <v>57289</v>
      </c>
      <c r="N2857" t="s">
        <v>705</v>
      </c>
      <c r="O2857" t="s">
        <v>706</v>
      </c>
      <c r="P2857" t="s">
        <v>38</v>
      </c>
      <c r="Q2857" t="s">
        <v>238</v>
      </c>
      <c r="R2857">
        <v>9.00000000000000000000000000000000000003</v>
      </c>
      <c r="S2857" t="s">
        <v>45</v>
      </c>
      <c r="T285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7">
        <v>57290</v>
      </c>
      <c r="V2857" t="s">
        <v>38</v>
      </c>
      <c r="W2857" t="s">
        <v>238</v>
      </c>
      <c r="X2857">
        <v>9.00000000000000000000000000000000000003</v>
      </c>
      <c r="Y2857">
        <v>0</v>
      </c>
      <c r="Z2857" t="s">
        <v>46</v>
      </c>
      <c r="AA2857">
        <v>57438</v>
      </c>
      <c r="AB2857" t="s">
        <v>2177</v>
      </c>
      <c r="AC2857" t="s">
        <v>103</v>
      </c>
      <c r="AD2857" t="s">
        <v>38</v>
      </c>
      <c r="AE2857" t="s">
        <v>49</v>
      </c>
      <c r="AF2857" t="s">
        <v>50</v>
      </c>
      <c r="AG2857">
        <v>0</v>
      </c>
      <c r="AH2857">
        <v>0</v>
      </c>
      <c r="AI2857" t="s">
        <v>51</v>
      </c>
      <c r="AJ2857" t="s">
        <v>51</v>
      </c>
      <c r="AK2857" t="s">
        <v>51</v>
      </c>
    </row>
    <row r="2858" spans="1:37" x14ac:dyDescent="0.2">
      <c r="A2858">
        <v>57288</v>
      </c>
      <c r="B2858" t="s">
        <v>37</v>
      </c>
      <c r="C2858" t="s">
        <v>38</v>
      </c>
      <c r="D2858" t="s">
        <v>674</v>
      </c>
      <c r="E2858" t="s">
        <v>40</v>
      </c>
      <c r="G2858" s="4">
        <v>43945.505972222222</v>
      </c>
      <c r="H2858" s="4">
        <v>43945.5065625</v>
      </c>
      <c r="I2858" t="s">
        <v>2171</v>
      </c>
      <c r="J2858" s="5">
        <v>51.00000000000000000000000000000000000002</v>
      </c>
      <c r="K2858" t="s">
        <v>38</v>
      </c>
      <c r="M2858">
        <v>57289</v>
      </c>
      <c r="N2858" t="s">
        <v>705</v>
      </c>
      <c r="O2858" t="s">
        <v>706</v>
      </c>
      <c r="P2858" t="s">
        <v>38</v>
      </c>
      <c r="Q2858" t="s">
        <v>238</v>
      </c>
      <c r="R2858">
        <v>9.00000000000000000000000000000000000003</v>
      </c>
      <c r="S2858" t="s">
        <v>45</v>
      </c>
      <c r="T285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8">
        <v>57290</v>
      </c>
      <c r="V2858" t="s">
        <v>38</v>
      </c>
      <c r="W2858" t="s">
        <v>238</v>
      </c>
      <c r="X2858">
        <v>9.00000000000000000000000000000000000003</v>
      </c>
      <c r="Y2858">
        <v>0</v>
      </c>
      <c r="Z2858" t="s">
        <v>46</v>
      </c>
      <c r="AA2858">
        <v>57437</v>
      </c>
      <c r="AB2858" t="s">
        <v>2178</v>
      </c>
      <c r="AC2858" t="s">
        <v>103</v>
      </c>
      <c r="AD2858" t="s">
        <v>38</v>
      </c>
      <c r="AE2858" t="s">
        <v>49</v>
      </c>
      <c r="AF2858" t="s">
        <v>50</v>
      </c>
      <c r="AG2858">
        <v>0</v>
      </c>
      <c r="AH2858">
        <v>0</v>
      </c>
      <c r="AI2858" t="s">
        <v>51</v>
      </c>
      <c r="AJ2858" t="s">
        <v>51</v>
      </c>
      <c r="AK2858" t="s">
        <v>51</v>
      </c>
    </row>
    <row r="2859" spans="1:37" x14ac:dyDescent="0.2">
      <c r="A2859">
        <v>57288</v>
      </c>
      <c r="B2859" t="s">
        <v>37</v>
      </c>
      <c r="C2859" t="s">
        <v>38</v>
      </c>
      <c r="D2859" t="s">
        <v>674</v>
      </c>
      <c r="E2859" t="s">
        <v>40</v>
      </c>
      <c r="G2859" s="4">
        <v>43945.505972222222</v>
      </c>
      <c r="H2859" s="4">
        <v>43945.5065625</v>
      </c>
      <c r="I2859" t="s">
        <v>2171</v>
      </c>
      <c r="J2859" s="5">
        <v>51.00000000000000000000000000000000000002</v>
      </c>
      <c r="K2859" t="s">
        <v>38</v>
      </c>
      <c r="M2859">
        <v>57289</v>
      </c>
      <c r="N2859" t="s">
        <v>705</v>
      </c>
      <c r="O2859" t="s">
        <v>706</v>
      </c>
      <c r="P2859" t="s">
        <v>38</v>
      </c>
      <c r="Q2859" t="s">
        <v>238</v>
      </c>
      <c r="R2859">
        <v>9.00000000000000000000000000000000000003</v>
      </c>
      <c r="S2859" t="s">
        <v>45</v>
      </c>
      <c r="T285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59">
        <v>57290</v>
      </c>
      <c r="V2859" t="s">
        <v>38</v>
      </c>
      <c r="W2859" t="s">
        <v>238</v>
      </c>
      <c r="X2859">
        <v>9.00000000000000000000000000000000000003</v>
      </c>
      <c r="Y2859">
        <v>0</v>
      </c>
      <c r="Z2859" t="s">
        <v>46</v>
      </c>
      <c r="AA2859">
        <v>57436</v>
      </c>
      <c r="AB2859" t="s">
        <v>2179</v>
      </c>
      <c r="AC2859" t="s">
        <v>103</v>
      </c>
      <c r="AD2859" t="s">
        <v>38</v>
      </c>
      <c r="AE2859" t="s">
        <v>49</v>
      </c>
      <c r="AF2859" t="s">
        <v>50</v>
      </c>
      <c r="AG2859">
        <v>0</v>
      </c>
      <c r="AH2859">
        <v>0</v>
      </c>
      <c r="AI2859" t="s">
        <v>51</v>
      </c>
      <c r="AJ2859" t="s">
        <v>51</v>
      </c>
      <c r="AK2859" t="s">
        <v>51</v>
      </c>
    </row>
    <row r="2860" spans="1:37" x14ac:dyDescent="0.2">
      <c r="A2860">
        <v>57288</v>
      </c>
      <c r="B2860" t="s">
        <v>37</v>
      </c>
      <c r="C2860" t="s">
        <v>38</v>
      </c>
      <c r="D2860" t="s">
        <v>674</v>
      </c>
      <c r="E2860" t="s">
        <v>40</v>
      </c>
      <c r="G2860" s="4">
        <v>43945.505972222222</v>
      </c>
      <c r="H2860" s="4">
        <v>43945.5065625</v>
      </c>
      <c r="I2860" t="s">
        <v>2171</v>
      </c>
      <c r="J2860" s="5">
        <v>51.00000000000000000000000000000000000002</v>
      </c>
      <c r="K2860" t="s">
        <v>38</v>
      </c>
      <c r="M2860">
        <v>57289</v>
      </c>
      <c r="N2860" t="s">
        <v>705</v>
      </c>
      <c r="O2860" t="s">
        <v>706</v>
      </c>
      <c r="P2860" t="s">
        <v>38</v>
      </c>
      <c r="Q2860" t="s">
        <v>238</v>
      </c>
      <c r="R2860">
        <v>9.00000000000000000000000000000000000003</v>
      </c>
      <c r="S2860" t="s">
        <v>45</v>
      </c>
      <c r="T286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0">
        <v>57290</v>
      </c>
      <c r="V2860" t="s">
        <v>38</v>
      </c>
      <c r="W2860" t="s">
        <v>238</v>
      </c>
      <c r="X2860">
        <v>9.00000000000000000000000000000000000003</v>
      </c>
      <c r="Y2860">
        <v>0</v>
      </c>
      <c r="Z2860" t="s">
        <v>46</v>
      </c>
      <c r="AA2860">
        <v>57435</v>
      </c>
      <c r="AB2860" t="s">
        <v>2180</v>
      </c>
      <c r="AC2860" t="s">
        <v>103</v>
      </c>
      <c r="AD2860" t="s">
        <v>38</v>
      </c>
      <c r="AE2860" t="s">
        <v>49</v>
      </c>
      <c r="AF2860" t="s">
        <v>50</v>
      </c>
      <c r="AG2860">
        <v>0</v>
      </c>
      <c r="AH2860">
        <v>0</v>
      </c>
      <c r="AI2860" t="s">
        <v>51</v>
      </c>
      <c r="AJ2860" t="s">
        <v>51</v>
      </c>
      <c r="AK2860" t="s">
        <v>51</v>
      </c>
    </row>
    <row r="2861" spans="1:37" x14ac:dyDescent="0.2">
      <c r="A2861">
        <v>57288</v>
      </c>
      <c r="B2861" t="s">
        <v>37</v>
      </c>
      <c r="C2861" t="s">
        <v>38</v>
      </c>
      <c r="D2861" t="s">
        <v>674</v>
      </c>
      <c r="E2861" t="s">
        <v>40</v>
      </c>
      <c r="G2861" s="4">
        <v>43945.505972222222</v>
      </c>
      <c r="H2861" s="4">
        <v>43945.5065625</v>
      </c>
      <c r="I2861" t="s">
        <v>2171</v>
      </c>
      <c r="J2861" s="5">
        <v>51.00000000000000000000000000000000000002</v>
      </c>
      <c r="K2861" t="s">
        <v>38</v>
      </c>
      <c r="M2861">
        <v>57289</v>
      </c>
      <c r="N2861" t="s">
        <v>705</v>
      </c>
      <c r="O2861" t="s">
        <v>706</v>
      </c>
      <c r="P2861" t="s">
        <v>38</v>
      </c>
      <c r="Q2861" t="s">
        <v>238</v>
      </c>
      <c r="R2861">
        <v>9.00000000000000000000000000000000000003</v>
      </c>
      <c r="S2861" t="s">
        <v>45</v>
      </c>
      <c r="T286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1">
        <v>57290</v>
      </c>
      <c r="V2861" t="s">
        <v>38</v>
      </c>
      <c r="W2861" t="s">
        <v>238</v>
      </c>
      <c r="X2861">
        <v>9.00000000000000000000000000000000000003</v>
      </c>
      <c r="Y2861">
        <v>0</v>
      </c>
      <c r="Z2861" t="s">
        <v>46</v>
      </c>
      <c r="AA2861">
        <v>57434</v>
      </c>
      <c r="AB2861" t="s">
        <v>2181</v>
      </c>
      <c r="AC2861" t="s">
        <v>103</v>
      </c>
      <c r="AD2861" t="s">
        <v>38</v>
      </c>
      <c r="AE2861" t="s">
        <v>49</v>
      </c>
      <c r="AF2861" t="s">
        <v>50</v>
      </c>
      <c r="AG2861">
        <v>0</v>
      </c>
      <c r="AH2861">
        <v>0</v>
      </c>
      <c r="AI2861" t="s">
        <v>51</v>
      </c>
      <c r="AJ2861" t="s">
        <v>51</v>
      </c>
      <c r="AK2861" t="s">
        <v>51</v>
      </c>
    </row>
    <row r="2862" spans="1:37" x14ac:dyDescent="0.2">
      <c r="A2862">
        <v>57288</v>
      </c>
      <c r="B2862" t="s">
        <v>37</v>
      </c>
      <c r="C2862" t="s">
        <v>38</v>
      </c>
      <c r="D2862" t="s">
        <v>674</v>
      </c>
      <c r="E2862" t="s">
        <v>40</v>
      </c>
      <c r="G2862" s="4">
        <v>43945.505972222222</v>
      </c>
      <c r="H2862" s="4">
        <v>43945.5065625</v>
      </c>
      <c r="I2862" t="s">
        <v>2171</v>
      </c>
      <c r="J2862" s="5">
        <v>51.00000000000000000000000000000000000002</v>
      </c>
      <c r="K2862" t="s">
        <v>38</v>
      </c>
      <c r="M2862">
        <v>57289</v>
      </c>
      <c r="N2862" t="s">
        <v>705</v>
      </c>
      <c r="O2862" t="s">
        <v>706</v>
      </c>
      <c r="P2862" t="s">
        <v>38</v>
      </c>
      <c r="Q2862" t="s">
        <v>238</v>
      </c>
      <c r="R2862">
        <v>9.00000000000000000000000000000000000003</v>
      </c>
      <c r="S2862" t="s">
        <v>45</v>
      </c>
      <c r="T286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2">
        <v>57290</v>
      </c>
      <c r="V2862" t="s">
        <v>38</v>
      </c>
      <c r="W2862" t="s">
        <v>238</v>
      </c>
      <c r="X2862">
        <v>9.00000000000000000000000000000000000003</v>
      </c>
      <c r="Y2862">
        <v>0</v>
      </c>
      <c r="Z2862" t="s">
        <v>46</v>
      </c>
      <c r="AA2862">
        <v>57433</v>
      </c>
      <c r="AB2862" t="s">
        <v>2182</v>
      </c>
      <c r="AC2862" t="s">
        <v>103</v>
      </c>
      <c r="AD2862" t="s">
        <v>38</v>
      </c>
      <c r="AE2862" t="s">
        <v>49</v>
      </c>
      <c r="AF2862" t="s">
        <v>50</v>
      </c>
      <c r="AG2862">
        <v>0</v>
      </c>
      <c r="AH2862">
        <v>0</v>
      </c>
      <c r="AI2862" t="s">
        <v>51</v>
      </c>
      <c r="AJ2862" t="s">
        <v>51</v>
      </c>
      <c r="AK2862" t="s">
        <v>51</v>
      </c>
    </row>
    <row r="2863" spans="1:37" x14ac:dyDescent="0.2">
      <c r="A2863">
        <v>57288</v>
      </c>
      <c r="B2863" t="s">
        <v>37</v>
      </c>
      <c r="C2863" t="s">
        <v>38</v>
      </c>
      <c r="D2863" t="s">
        <v>674</v>
      </c>
      <c r="E2863" t="s">
        <v>40</v>
      </c>
      <c r="G2863" s="4">
        <v>43945.505972222222</v>
      </c>
      <c r="H2863" s="4">
        <v>43945.5065625</v>
      </c>
      <c r="I2863" t="s">
        <v>2171</v>
      </c>
      <c r="J2863" s="5">
        <v>51.00000000000000000000000000000000000002</v>
      </c>
      <c r="K2863" t="s">
        <v>38</v>
      </c>
      <c r="M2863">
        <v>57289</v>
      </c>
      <c r="N2863" t="s">
        <v>705</v>
      </c>
      <c r="O2863" t="s">
        <v>706</v>
      </c>
      <c r="P2863" t="s">
        <v>38</v>
      </c>
      <c r="Q2863" t="s">
        <v>238</v>
      </c>
      <c r="R2863">
        <v>9.00000000000000000000000000000000000003</v>
      </c>
      <c r="S2863" t="s">
        <v>45</v>
      </c>
      <c r="T286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3">
        <v>57290</v>
      </c>
      <c r="V2863" t="s">
        <v>38</v>
      </c>
      <c r="W2863" t="s">
        <v>238</v>
      </c>
      <c r="X2863">
        <v>9.00000000000000000000000000000000000003</v>
      </c>
      <c r="Y2863">
        <v>0</v>
      </c>
      <c r="Z2863" t="s">
        <v>46</v>
      </c>
      <c r="AA2863">
        <v>57432</v>
      </c>
      <c r="AB2863" t="s">
        <v>2183</v>
      </c>
      <c r="AC2863" t="s">
        <v>103</v>
      </c>
      <c r="AD2863" t="s">
        <v>38</v>
      </c>
      <c r="AE2863" t="s">
        <v>49</v>
      </c>
      <c r="AF2863" t="s">
        <v>50</v>
      </c>
      <c r="AG2863">
        <v>0</v>
      </c>
      <c r="AH2863">
        <v>0</v>
      </c>
      <c r="AI2863" t="s">
        <v>51</v>
      </c>
      <c r="AJ2863" t="s">
        <v>51</v>
      </c>
      <c r="AK2863" t="s">
        <v>51</v>
      </c>
    </row>
    <row r="2864" spans="1:37" x14ac:dyDescent="0.2">
      <c r="A2864">
        <v>57288</v>
      </c>
      <c r="B2864" t="s">
        <v>37</v>
      </c>
      <c r="C2864" t="s">
        <v>38</v>
      </c>
      <c r="D2864" t="s">
        <v>674</v>
      </c>
      <c r="E2864" t="s">
        <v>40</v>
      </c>
      <c r="G2864" s="4">
        <v>43945.505972222222</v>
      </c>
      <c r="H2864" s="4">
        <v>43945.5065625</v>
      </c>
      <c r="I2864" t="s">
        <v>2171</v>
      </c>
      <c r="J2864" s="5">
        <v>51.00000000000000000000000000000000000002</v>
      </c>
      <c r="K2864" t="s">
        <v>38</v>
      </c>
      <c r="M2864">
        <v>57289</v>
      </c>
      <c r="N2864" t="s">
        <v>705</v>
      </c>
      <c r="O2864" t="s">
        <v>706</v>
      </c>
      <c r="P2864" t="s">
        <v>38</v>
      </c>
      <c r="Q2864" t="s">
        <v>238</v>
      </c>
      <c r="R2864">
        <v>9.00000000000000000000000000000000000003</v>
      </c>
      <c r="S2864" t="s">
        <v>45</v>
      </c>
      <c r="T286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4">
        <v>57290</v>
      </c>
      <c r="V2864" t="s">
        <v>38</v>
      </c>
      <c r="W2864" t="s">
        <v>238</v>
      </c>
      <c r="X2864">
        <v>9.00000000000000000000000000000000000003</v>
      </c>
      <c r="Y2864">
        <v>0</v>
      </c>
      <c r="Z2864" t="s">
        <v>46</v>
      </c>
      <c r="AA2864">
        <v>57431</v>
      </c>
      <c r="AB2864" t="s">
        <v>2184</v>
      </c>
      <c r="AC2864" t="s">
        <v>103</v>
      </c>
      <c r="AD2864" t="s">
        <v>38</v>
      </c>
      <c r="AE2864" t="s">
        <v>49</v>
      </c>
      <c r="AF2864" t="s">
        <v>50</v>
      </c>
      <c r="AG2864">
        <v>0</v>
      </c>
      <c r="AH2864">
        <v>0</v>
      </c>
      <c r="AI2864" t="s">
        <v>51</v>
      </c>
      <c r="AJ2864" t="s">
        <v>51</v>
      </c>
      <c r="AK2864" t="s">
        <v>51</v>
      </c>
    </row>
    <row r="2865" spans="1:37" x14ac:dyDescent="0.2">
      <c r="A2865">
        <v>57288</v>
      </c>
      <c r="B2865" t="s">
        <v>37</v>
      </c>
      <c r="C2865" t="s">
        <v>38</v>
      </c>
      <c r="D2865" t="s">
        <v>674</v>
      </c>
      <c r="E2865" t="s">
        <v>40</v>
      </c>
      <c r="G2865" s="4">
        <v>43945.505972222222</v>
      </c>
      <c r="H2865" s="4">
        <v>43945.5065625</v>
      </c>
      <c r="I2865" t="s">
        <v>2171</v>
      </c>
      <c r="J2865" s="5">
        <v>51.00000000000000000000000000000000000002</v>
      </c>
      <c r="K2865" t="s">
        <v>38</v>
      </c>
      <c r="M2865">
        <v>57289</v>
      </c>
      <c r="N2865" t="s">
        <v>705</v>
      </c>
      <c r="O2865" t="s">
        <v>706</v>
      </c>
      <c r="P2865" t="s">
        <v>38</v>
      </c>
      <c r="Q2865" t="s">
        <v>238</v>
      </c>
      <c r="R2865">
        <v>9.00000000000000000000000000000000000003</v>
      </c>
      <c r="S2865" t="s">
        <v>45</v>
      </c>
      <c r="T286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5">
        <v>57290</v>
      </c>
      <c r="V2865" t="s">
        <v>38</v>
      </c>
      <c r="W2865" t="s">
        <v>238</v>
      </c>
      <c r="X2865">
        <v>9.00000000000000000000000000000000000003</v>
      </c>
      <c r="Y2865">
        <v>0</v>
      </c>
      <c r="Z2865" t="s">
        <v>46</v>
      </c>
      <c r="AA2865">
        <v>57430</v>
      </c>
      <c r="AB2865" t="s">
        <v>2185</v>
      </c>
      <c r="AC2865" t="s">
        <v>103</v>
      </c>
      <c r="AD2865" t="s">
        <v>38</v>
      </c>
      <c r="AE2865" t="s">
        <v>49</v>
      </c>
      <c r="AF2865" t="s">
        <v>50</v>
      </c>
      <c r="AG2865">
        <v>0</v>
      </c>
      <c r="AH2865">
        <v>0</v>
      </c>
      <c r="AI2865" t="s">
        <v>51</v>
      </c>
      <c r="AJ2865" t="s">
        <v>51</v>
      </c>
      <c r="AK2865" t="s">
        <v>51</v>
      </c>
    </row>
    <row r="2866" spans="1:37" x14ac:dyDescent="0.2">
      <c r="A2866">
        <v>57288</v>
      </c>
      <c r="B2866" t="s">
        <v>37</v>
      </c>
      <c r="C2866" t="s">
        <v>38</v>
      </c>
      <c r="D2866" t="s">
        <v>674</v>
      </c>
      <c r="E2866" t="s">
        <v>40</v>
      </c>
      <c r="G2866" s="4">
        <v>43945.505972222222</v>
      </c>
      <c r="H2866" s="4">
        <v>43945.5065625</v>
      </c>
      <c r="I2866" t="s">
        <v>2171</v>
      </c>
      <c r="J2866" s="5">
        <v>51.00000000000000000000000000000000000002</v>
      </c>
      <c r="K2866" t="s">
        <v>38</v>
      </c>
      <c r="M2866">
        <v>57289</v>
      </c>
      <c r="N2866" t="s">
        <v>705</v>
      </c>
      <c r="O2866" t="s">
        <v>706</v>
      </c>
      <c r="P2866" t="s">
        <v>38</v>
      </c>
      <c r="Q2866" t="s">
        <v>238</v>
      </c>
      <c r="R2866">
        <v>9.00000000000000000000000000000000000003</v>
      </c>
      <c r="S2866" t="s">
        <v>45</v>
      </c>
      <c r="T286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6">
        <v>57290</v>
      </c>
      <c r="V2866" t="s">
        <v>38</v>
      </c>
      <c r="W2866" t="s">
        <v>238</v>
      </c>
      <c r="X2866">
        <v>9.00000000000000000000000000000000000003</v>
      </c>
      <c r="Y2866">
        <v>0</v>
      </c>
      <c r="Z2866" t="s">
        <v>46</v>
      </c>
      <c r="AA2866">
        <v>57429</v>
      </c>
      <c r="AB2866" t="s">
        <v>2186</v>
      </c>
      <c r="AC2866" t="s">
        <v>103</v>
      </c>
      <c r="AD2866" t="s">
        <v>38</v>
      </c>
      <c r="AE2866" t="s">
        <v>49</v>
      </c>
      <c r="AF2866" t="s">
        <v>50</v>
      </c>
      <c r="AG2866">
        <v>0</v>
      </c>
      <c r="AH2866">
        <v>0</v>
      </c>
      <c r="AI2866" t="s">
        <v>51</v>
      </c>
      <c r="AJ2866" t="s">
        <v>51</v>
      </c>
      <c r="AK2866" t="s">
        <v>51</v>
      </c>
    </row>
    <row r="2867" spans="1:37" x14ac:dyDescent="0.2">
      <c r="A2867">
        <v>57288</v>
      </c>
      <c r="B2867" t="s">
        <v>37</v>
      </c>
      <c r="C2867" t="s">
        <v>38</v>
      </c>
      <c r="D2867" t="s">
        <v>674</v>
      </c>
      <c r="E2867" t="s">
        <v>40</v>
      </c>
      <c r="G2867" s="4">
        <v>43945.505972222222</v>
      </c>
      <c r="H2867" s="4">
        <v>43945.5065625</v>
      </c>
      <c r="I2867" t="s">
        <v>2171</v>
      </c>
      <c r="J2867" s="5">
        <v>51.00000000000000000000000000000000000002</v>
      </c>
      <c r="K2867" t="s">
        <v>38</v>
      </c>
      <c r="M2867">
        <v>57289</v>
      </c>
      <c r="N2867" t="s">
        <v>705</v>
      </c>
      <c r="O2867" t="s">
        <v>706</v>
      </c>
      <c r="P2867" t="s">
        <v>38</v>
      </c>
      <c r="Q2867" t="s">
        <v>238</v>
      </c>
      <c r="R2867">
        <v>9.00000000000000000000000000000000000003</v>
      </c>
      <c r="S2867" t="s">
        <v>45</v>
      </c>
      <c r="T286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7">
        <v>57290</v>
      </c>
      <c r="V2867" t="s">
        <v>38</v>
      </c>
      <c r="W2867" t="s">
        <v>238</v>
      </c>
      <c r="X2867">
        <v>9.00000000000000000000000000000000000003</v>
      </c>
      <c r="Y2867">
        <v>0</v>
      </c>
      <c r="Z2867" t="s">
        <v>46</v>
      </c>
      <c r="AA2867">
        <v>57428</v>
      </c>
      <c r="AB2867" t="s">
        <v>2187</v>
      </c>
      <c r="AC2867" t="s">
        <v>103</v>
      </c>
      <c r="AD2867" t="s">
        <v>38</v>
      </c>
      <c r="AE2867" t="s">
        <v>49</v>
      </c>
      <c r="AF2867" t="s">
        <v>50</v>
      </c>
      <c r="AG2867">
        <v>0</v>
      </c>
      <c r="AH2867">
        <v>0</v>
      </c>
      <c r="AI2867" t="s">
        <v>51</v>
      </c>
      <c r="AJ2867" t="s">
        <v>51</v>
      </c>
      <c r="AK2867" t="s">
        <v>51</v>
      </c>
    </row>
    <row r="2868" spans="1:37" x14ac:dyDescent="0.2">
      <c r="A2868">
        <v>57288</v>
      </c>
      <c r="B2868" t="s">
        <v>37</v>
      </c>
      <c r="C2868" t="s">
        <v>38</v>
      </c>
      <c r="D2868" t="s">
        <v>674</v>
      </c>
      <c r="E2868" t="s">
        <v>40</v>
      </c>
      <c r="G2868" s="4">
        <v>43945.505972222222</v>
      </c>
      <c r="H2868" s="4">
        <v>43945.5065625</v>
      </c>
      <c r="I2868" t="s">
        <v>2171</v>
      </c>
      <c r="J2868" s="5">
        <v>51.00000000000000000000000000000000000002</v>
      </c>
      <c r="K2868" t="s">
        <v>38</v>
      </c>
      <c r="M2868">
        <v>57289</v>
      </c>
      <c r="N2868" t="s">
        <v>705</v>
      </c>
      <c r="O2868" t="s">
        <v>706</v>
      </c>
      <c r="P2868" t="s">
        <v>38</v>
      </c>
      <c r="Q2868" t="s">
        <v>238</v>
      </c>
      <c r="R2868">
        <v>9.00000000000000000000000000000000000003</v>
      </c>
      <c r="S2868" t="s">
        <v>45</v>
      </c>
      <c r="T286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8">
        <v>57290</v>
      </c>
      <c r="V2868" t="s">
        <v>38</v>
      </c>
      <c r="W2868" t="s">
        <v>238</v>
      </c>
      <c r="X2868">
        <v>9.00000000000000000000000000000000000003</v>
      </c>
      <c r="Y2868">
        <v>0</v>
      </c>
      <c r="Z2868" t="s">
        <v>46</v>
      </c>
      <c r="AA2868">
        <v>57427</v>
      </c>
      <c r="AB2868" t="s">
        <v>2188</v>
      </c>
      <c r="AC2868" t="s">
        <v>103</v>
      </c>
      <c r="AD2868" t="s">
        <v>38</v>
      </c>
      <c r="AE2868" t="s">
        <v>49</v>
      </c>
      <c r="AF2868" t="s">
        <v>50</v>
      </c>
      <c r="AG2868">
        <v>0</v>
      </c>
      <c r="AH2868">
        <v>0</v>
      </c>
      <c r="AI2868" t="s">
        <v>51</v>
      </c>
      <c r="AJ2868" t="s">
        <v>51</v>
      </c>
      <c r="AK2868" t="s">
        <v>51</v>
      </c>
    </row>
    <row r="2869" spans="1:37" x14ac:dyDescent="0.2">
      <c r="A2869">
        <v>57288</v>
      </c>
      <c r="B2869" t="s">
        <v>37</v>
      </c>
      <c r="C2869" t="s">
        <v>38</v>
      </c>
      <c r="D2869" t="s">
        <v>674</v>
      </c>
      <c r="E2869" t="s">
        <v>40</v>
      </c>
      <c r="G2869" s="4">
        <v>43945.505972222222</v>
      </c>
      <c r="H2869" s="4">
        <v>43945.5065625</v>
      </c>
      <c r="I2869" t="s">
        <v>2171</v>
      </c>
      <c r="J2869" s="5">
        <v>51.00000000000000000000000000000000000002</v>
      </c>
      <c r="K2869" t="s">
        <v>38</v>
      </c>
      <c r="M2869">
        <v>57289</v>
      </c>
      <c r="N2869" t="s">
        <v>705</v>
      </c>
      <c r="O2869" t="s">
        <v>706</v>
      </c>
      <c r="P2869" t="s">
        <v>38</v>
      </c>
      <c r="Q2869" t="s">
        <v>238</v>
      </c>
      <c r="R2869">
        <v>9.00000000000000000000000000000000000003</v>
      </c>
      <c r="S2869" t="s">
        <v>45</v>
      </c>
      <c r="T286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69">
        <v>57290</v>
      </c>
      <c r="V2869" t="s">
        <v>38</v>
      </c>
      <c r="W2869" t="s">
        <v>238</v>
      </c>
      <c r="X2869">
        <v>9.00000000000000000000000000000000000003</v>
      </c>
      <c r="Y2869">
        <v>0</v>
      </c>
      <c r="Z2869" t="s">
        <v>46</v>
      </c>
      <c r="AA2869">
        <v>57426</v>
      </c>
      <c r="AB2869" t="s">
        <v>2189</v>
      </c>
      <c r="AC2869" t="s">
        <v>103</v>
      </c>
      <c r="AD2869" t="s">
        <v>38</v>
      </c>
      <c r="AE2869" t="s">
        <v>49</v>
      </c>
      <c r="AF2869" t="s">
        <v>50</v>
      </c>
      <c r="AG2869">
        <v>0</v>
      </c>
      <c r="AH2869">
        <v>0</v>
      </c>
      <c r="AI2869" t="s">
        <v>51</v>
      </c>
      <c r="AJ2869" t="s">
        <v>51</v>
      </c>
      <c r="AK2869" t="s">
        <v>51</v>
      </c>
    </row>
    <row r="2870" spans="1:37" x14ac:dyDescent="0.2">
      <c r="A2870">
        <v>57288</v>
      </c>
      <c r="B2870" t="s">
        <v>37</v>
      </c>
      <c r="C2870" t="s">
        <v>38</v>
      </c>
      <c r="D2870" t="s">
        <v>674</v>
      </c>
      <c r="E2870" t="s">
        <v>40</v>
      </c>
      <c r="G2870" s="4">
        <v>43945.505972222222</v>
      </c>
      <c r="H2870" s="4">
        <v>43945.5065625</v>
      </c>
      <c r="I2870" t="s">
        <v>2171</v>
      </c>
      <c r="J2870" s="5">
        <v>51.00000000000000000000000000000000000002</v>
      </c>
      <c r="K2870" t="s">
        <v>38</v>
      </c>
      <c r="M2870">
        <v>57289</v>
      </c>
      <c r="N2870" t="s">
        <v>705</v>
      </c>
      <c r="O2870" t="s">
        <v>706</v>
      </c>
      <c r="P2870" t="s">
        <v>38</v>
      </c>
      <c r="Q2870" t="s">
        <v>238</v>
      </c>
      <c r="R2870">
        <v>9.00000000000000000000000000000000000003</v>
      </c>
      <c r="S2870" t="s">
        <v>45</v>
      </c>
      <c r="T287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0">
        <v>57290</v>
      </c>
      <c r="V2870" t="s">
        <v>38</v>
      </c>
      <c r="W2870" t="s">
        <v>238</v>
      </c>
      <c r="X2870">
        <v>9.00000000000000000000000000000000000003</v>
      </c>
      <c r="Y2870">
        <v>0</v>
      </c>
      <c r="Z2870" t="s">
        <v>46</v>
      </c>
      <c r="AA2870">
        <v>57425</v>
      </c>
      <c r="AB2870" t="s">
        <v>2190</v>
      </c>
      <c r="AC2870" t="s">
        <v>103</v>
      </c>
      <c r="AD2870" t="s">
        <v>38</v>
      </c>
      <c r="AE2870" t="s">
        <v>49</v>
      </c>
      <c r="AF2870" t="s">
        <v>50</v>
      </c>
      <c r="AG2870">
        <v>0</v>
      </c>
      <c r="AH2870">
        <v>0</v>
      </c>
      <c r="AI2870" t="s">
        <v>51</v>
      </c>
      <c r="AJ2870" t="s">
        <v>51</v>
      </c>
      <c r="AK2870" t="s">
        <v>51</v>
      </c>
    </row>
    <row r="2871" spans="1:37" x14ac:dyDescent="0.2">
      <c r="A2871">
        <v>57288</v>
      </c>
      <c r="B2871" t="s">
        <v>37</v>
      </c>
      <c r="C2871" t="s">
        <v>38</v>
      </c>
      <c r="D2871" t="s">
        <v>674</v>
      </c>
      <c r="E2871" t="s">
        <v>40</v>
      </c>
      <c r="G2871" s="4">
        <v>43945.505972222222</v>
      </c>
      <c r="H2871" s="4">
        <v>43945.5065625</v>
      </c>
      <c r="I2871" t="s">
        <v>2171</v>
      </c>
      <c r="J2871" s="5">
        <v>51.00000000000000000000000000000000000002</v>
      </c>
      <c r="K2871" t="s">
        <v>38</v>
      </c>
      <c r="M2871">
        <v>57289</v>
      </c>
      <c r="N2871" t="s">
        <v>705</v>
      </c>
      <c r="O2871" t="s">
        <v>706</v>
      </c>
      <c r="P2871" t="s">
        <v>38</v>
      </c>
      <c r="Q2871" t="s">
        <v>238</v>
      </c>
      <c r="R2871">
        <v>9.00000000000000000000000000000000000003</v>
      </c>
      <c r="S2871" t="s">
        <v>45</v>
      </c>
      <c r="T287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1">
        <v>57290</v>
      </c>
      <c r="V2871" t="s">
        <v>38</v>
      </c>
      <c r="W2871" t="s">
        <v>238</v>
      </c>
      <c r="X2871">
        <v>9.00000000000000000000000000000000000003</v>
      </c>
      <c r="Y2871">
        <v>0</v>
      </c>
      <c r="Z2871" t="s">
        <v>46</v>
      </c>
      <c r="AA2871">
        <v>57424</v>
      </c>
      <c r="AB2871" t="s">
        <v>2191</v>
      </c>
      <c r="AC2871" t="s">
        <v>103</v>
      </c>
      <c r="AD2871" t="s">
        <v>38</v>
      </c>
      <c r="AE2871" t="s">
        <v>49</v>
      </c>
      <c r="AF2871" t="s">
        <v>50</v>
      </c>
      <c r="AG2871">
        <v>0</v>
      </c>
      <c r="AH2871">
        <v>0</v>
      </c>
      <c r="AI2871" t="s">
        <v>51</v>
      </c>
      <c r="AJ2871" t="s">
        <v>51</v>
      </c>
      <c r="AK2871" t="s">
        <v>51</v>
      </c>
    </row>
    <row r="2872" spans="1:37" x14ac:dyDescent="0.2">
      <c r="A2872">
        <v>57288</v>
      </c>
      <c r="B2872" t="s">
        <v>37</v>
      </c>
      <c r="C2872" t="s">
        <v>38</v>
      </c>
      <c r="D2872" t="s">
        <v>674</v>
      </c>
      <c r="E2872" t="s">
        <v>40</v>
      </c>
      <c r="G2872" s="4">
        <v>43945.505972222222</v>
      </c>
      <c r="H2872" s="4">
        <v>43945.5065625</v>
      </c>
      <c r="I2872" t="s">
        <v>2171</v>
      </c>
      <c r="J2872" s="5">
        <v>51.00000000000000000000000000000000000002</v>
      </c>
      <c r="K2872" t="s">
        <v>38</v>
      </c>
      <c r="M2872">
        <v>57289</v>
      </c>
      <c r="N2872" t="s">
        <v>705</v>
      </c>
      <c r="O2872" t="s">
        <v>706</v>
      </c>
      <c r="P2872" t="s">
        <v>38</v>
      </c>
      <c r="Q2872" t="s">
        <v>238</v>
      </c>
      <c r="R2872">
        <v>9.00000000000000000000000000000000000003</v>
      </c>
      <c r="S2872" t="s">
        <v>45</v>
      </c>
      <c r="T287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2">
        <v>57290</v>
      </c>
      <c r="V2872" t="s">
        <v>38</v>
      </c>
      <c r="W2872" t="s">
        <v>238</v>
      </c>
      <c r="X2872">
        <v>9.00000000000000000000000000000000000003</v>
      </c>
      <c r="Y2872">
        <v>0</v>
      </c>
      <c r="Z2872" t="s">
        <v>46</v>
      </c>
      <c r="AA2872">
        <v>57423</v>
      </c>
      <c r="AB2872" t="s">
        <v>2192</v>
      </c>
      <c r="AC2872" t="s">
        <v>103</v>
      </c>
      <c r="AD2872" t="s">
        <v>38</v>
      </c>
      <c r="AE2872" t="s">
        <v>49</v>
      </c>
      <c r="AF2872" t="s">
        <v>50</v>
      </c>
      <c r="AG2872">
        <v>0</v>
      </c>
      <c r="AH2872">
        <v>0</v>
      </c>
      <c r="AI2872" t="s">
        <v>51</v>
      </c>
      <c r="AJ2872" t="s">
        <v>51</v>
      </c>
      <c r="AK2872" t="s">
        <v>51</v>
      </c>
    </row>
    <row r="2873" spans="1:37" x14ac:dyDescent="0.2">
      <c r="A2873">
        <v>57288</v>
      </c>
      <c r="B2873" t="s">
        <v>37</v>
      </c>
      <c r="C2873" t="s">
        <v>38</v>
      </c>
      <c r="D2873" t="s">
        <v>674</v>
      </c>
      <c r="E2873" t="s">
        <v>40</v>
      </c>
      <c r="G2873" s="4">
        <v>43945.505972222222</v>
      </c>
      <c r="H2873" s="4">
        <v>43945.5065625</v>
      </c>
      <c r="I2873" t="s">
        <v>2171</v>
      </c>
      <c r="J2873" s="5">
        <v>51.00000000000000000000000000000000000002</v>
      </c>
      <c r="K2873" t="s">
        <v>38</v>
      </c>
      <c r="M2873">
        <v>57289</v>
      </c>
      <c r="N2873" t="s">
        <v>705</v>
      </c>
      <c r="O2873" t="s">
        <v>706</v>
      </c>
      <c r="P2873" t="s">
        <v>38</v>
      </c>
      <c r="Q2873" t="s">
        <v>238</v>
      </c>
      <c r="R2873">
        <v>9.00000000000000000000000000000000000003</v>
      </c>
      <c r="S2873" t="s">
        <v>45</v>
      </c>
      <c r="T287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3">
        <v>57290</v>
      </c>
      <c r="V2873" t="s">
        <v>38</v>
      </c>
      <c r="W2873" t="s">
        <v>238</v>
      </c>
      <c r="X2873">
        <v>9.00000000000000000000000000000000000003</v>
      </c>
      <c r="Y2873">
        <v>0</v>
      </c>
      <c r="Z2873" t="s">
        <v>46</v>
      </c>
      <c r="AA2873">
        <v>57422</v>
      </c>
      <c r="AB2873" t="s">
        <v>2193</v>
      </c>
      <c r="AC2873" t="s">
        <v>103</v>
      </c>
      <c r="AD2873" t="s">
        <v>38</v>
      </c>
      <c r="AE2873" t="s">
        <v>49</v>
      </c>
      <c r="AF2873" t="s">
        <v>50</v>
      </c>
      <c r="AG2873">
        <v>0</v>
      </c>
      <c r="AH2873">
        <v>0</v>
      </c>
      <c r="AI2873" t="s">
        <v>51</v>
      </c>
      <c r="AJ2873" t="s">
        <v>51</v>
      </c>
      <c r="AK2873" t="s">
        <v>51</v>
      </c>
    </row>
    <row r="2874" spans="1:37" x14ac:dyDescent="0.2">
      <c r="A2874">
        <v>57288</v>
      </c>
      <c r="B2874" t="s">
        <v>37</v>
      </c>
      <c r="C2874" t="s">
        <v>38</v>
      </c>
      <c r="D2874" t="s">
        <v>674</v>
      </c>
      <c r="E2874" t="s">
        <v>40</v>
      </c>
      <c r="G2874" s="4">
        <v>43945.505972222222</v>
      </c>
      <c r="H2874" s="4">
        <v>43945.5065625</v>
      </c>
      <c r="I2874" t="s">
        <v>2171</v>
      </c>
      <c r="J2874" s="5">
        <v>51.00000000000000000000000000000000000002</v>
      </c>
      <c r="K2874" t="s">
        <v>38</v>
      </c>
      <c r="M2874">
        <v>57289</v>
      </c>
      <c r="N2874" t="s">
        <v>705</v>
      </c>
      <c r="O2874" t="s">
        <v>706</v>
      </c>
      <c r="P2874" t="s">
        <v>38</v>
      </c>
      <c r="Q2874" t="s">
        <v>238</v>
      </c>
      <c r="R2874">
        <v>9.00000000000000000000000000000000000003</v>
      </c>
      <c r="S2874" t="s">
        <v>45</v>
      </c>
      <c r="T287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4">
        <v>57290</v>
      </c>
      <c r="V2874" t="s">
        <v>38</v>
      </c>
      <c r="W2874" t="s">
        <v>238</v>
      </c>
      <c r="X2874">
        <v>9.00000000000000000000000000000000000003</v>
      </c>
      <c r="Y2874">
        <v>0</v>
      </c>
      <c r="Z2874" t="s">
        <v>46</v>
      </c>
      <c r="AA2874">
        <v>57421</v>
      </c>
      <c r="AB2874" t="s">
        <v>2194</v>
      </c>
      <c r="AC2874" t="s">
        <v>103</v>
      </c>
      <c r="AD2874" t="s">
        <v>38</v>
      </c>
      <c r="AE2874" t="s">
        <v>49</v>
      </c>
      <c r="AF2874" t="s">
        <v>50</v>
      </c>
      <c r="AG2874">
        <v>0</v>
      </c>
      <c r="AH2874">
        <v>0</v>
      </c>
      <c r="AI2874" t="s">
        <v>51</v>
      </c>
      <c r="AJ2874" t="s">
        <v>51</v>
      </c>
      <c r="AK2874" t="s">
        <v>51</v>
      </c>
    </row>
    <row r="2875" spans="1:37" x14ac:dyDescent="0.2">
      <c r="A2875">
        <v>57288</v>
      </c>
      <c r="B2875" t="s">
        <v>37</v>
      </c>
      <c r="C2875" t="s">
        <v>38</v>
      </c>
      <c r="D2875" t="s">
        <v>674</v>
      </c>
      <c r="E2875" t="s">
        <v>40</v>
      </c>
      <c r="G2875" s="4">
        <v>43945.505972222222</v>
      </c>
      <c r="H2875" s="4">
        <v>43945.5065625</v>
      </c>
      <c r="I2875" t="s">
        <v>2171</v>
      </c>
      <c r="J2875" s="5">
        <v>51.00000000000000000000000000000000000002</v>
      </c>
      <c r="K2875" t="s">
        <v>38</v>
      </c>
      <c r="M2875">
        <v>57289</v>
      </c>
      <c r="N2875" t="s">
        <v>705</v>
      </c>
      <c r="O2875" t="s">
        <v>706</v>
      </c>
      <c r="P2875" t="s">
        <v>38</v>
      </c>
      <c r="Q2875" t="s">
        <v>238</v>
      </c>
      <c r="R2875">
        <v>9.00000000000000000000000000000000000003</v>
      </c>
      <c r="S2875" t="s">
        <v>45</v>
      </c>
      <c r="T287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5">
        <v>57290</v>
      </c>
      <c r="V2875" t="s">
        <v>38</v>
      </c>
      <c r="W2875" t="s">
        <v>238</v>
      </c>
      <c r="X2875">
        <v>9.00000000000000000000000000000000000003</v>
      </c>
      <c r="Y2875">
        <v>0</v>
      </c>
      <c r="Z2875" t="s">
        <v>46</v>
      </c>
      <c r="AA2875">
        <v>57420</v>
      </c>
      <c r="AB2875" t="s">
        <v>2195</v>
      </c>
      <c r="AC2875" t="s">
        <v>103</v>
      </c>
      <c r="AD2875" t="s">
        <v>38</v>
      </c>
      <c r="AE2875" t="s">
        <v>49</v>
      </c>
      <c r="AF2875" t="s">
        <v>50</v>
      </c>
      <c r="AG2875">
        <v>0</v>
      </c>
      <c r="AH2875">
        <v>0</v>
      </c>
      <c r="AI2875" t="s">
        <v>51</v>
      </c>
      <c r="AJ2875" t="s">
        <v>51</v>
      </c>
      <c r="AK2875" t="s">
        <v>51</v>
      </c>
    </row>
    <row r="2876" spans="1:37" x14ac:dyDescent="0.2">
      <c r="A2876">
        <v>57288</v>
      </c>
      <c r="B2876" t="s">
        <v>37</v>
      </c>
      <c r="C2876" t="s">
        <v>38</v>
      </c>
      <c r="D2876" t="s">
        <v>674</v>
      </c>
      <c r="E2876" t="s">
        <v>40</v>
      </c>
      <c r="G2876" s="4">
        <v>43945.505972222222</v>
      </c>
      <c r="H2876" s="4">
        <v>43945.5065625</v>
      </c>
      <c r="I2876" t="s">
        <v>2171</v>
      </c>
      <c r="J2876" s="5">
        <v>51.00000000000000000000000000000000000002</v>
      </c>
      <c r="K2876" t="s">
        <v>38</v>
      </c>
      <c r="M2876">
        <v>57289</v>
      </c>
      <c r="N2876" t="s">
        <v>705</v>
      </c>
      <c r="O2876" t="s">
        <v>706</v>
      </c>
      <c r="P2876" t="s">
        <v>38</v>
      </c>
      <c r="Q2876" t="s">
        <v>238</v>
      </c>
      <c r="R2876">
        <v>9.00000000000000000000000000000000000003</v>
      </c>
      <c r="S2876" t="s">
        <v>45</v>
      </c>
      <c r="T287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6">
        <v>57290</v>
      </c>
      <c r="V2876" t="s">
        <v>38</v>
      </c>
      <c r="W2876" t="s">
        <v>238</v>
      </c>
      <c r="X2876">
        <v>9.00000000000000000000000000000000000003</v>
      </c>
      <c r="Y2876">
        <v>0</v>
      </c>
      <c r="Z2876" t="s">
        <v>46</v>
      </c>
      <c r="AA2876">
        <v>57419</v>
      </c>
      <c r="AB2876" t="s">
        <v>2196</v>
      </c>
      <c r="AC2876" t="s">
        <v>103</v>
      </c>
      <c r="AD2876" t="s">
        <v>38</v>
      </c>
      <c r="AE2876" t="s">
        <v>49</v>
      </c>
      <c r="AF2876" t="s">
        <v>50</v>
      </c>
      <c r="AG2876">
        <v>0</v>
      </c>
      <c r="AH2876">
        <v>0</v>
      </c>
      <c r="AI2876" t="s">
        <v>51</v>
      </c>
      <c r="AJ2876" t="s">
        <v>51</v>
      </c>
      <c r="AK2876" t="s">
        <v>51</v>
      </c>
    </row>
    <row r="2877" spans="1:37" x14ac:dyDescent="0.2">
      <c r="A2877">
        <v>57288</v>
      </c>
      <c r="B2877" t="s">
        <v>37</v>
      </c>
      <c r="C2877" t="s">
        <v>38</v>
      </c>
      <c r="D2877" t="s">
        <v>674</v>
      </c>
      <c r="E2877" t="s">
        <v>40</v>
      </c>
      <c r="G2877" s="4">
        <v>43945.505972222222</v>
      </c>
      <c r="H2877" s="4">
        <v>43945.5065625</v>
      </c>
      <c r="I2877" t="s">
        <v>2171</v>
      </c>
      <c r="J2877" s="5">
        <v>51.00000000000000000000000000000000000002</v>
      </c>
      <c r="K2877" t="s">
        <v>38</v>
      </c>
      <c r="M2877">
        <v>57289</v>
      </c>
      <c r="N2877" t="s">
        <v>705</v>
      </c>
      <c r="O2877" t="s">
        <v>706</v>
      </c>
      <c r="P2877" t="s">
        <v>38</v>
      </c>
      <c r="Q2877" t="s">
        <v>238</v>
      </c>
      <c r="R2877">
        <v>9.00000000000000000000000000000000000003</v>
      </c>
      <c r="S2877" t="s">
        <v>45</v>
      </c>
      <c r="T287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7">
        <v>57290</v>
      </c>
      <c r="V2877" t="s">
        <v>38</v>
      </c>
      <c r="W2877" t="s">
        <v>238</v>
      </c>
      <c r="X2877">
        <v>9.00000000000000000000000000000000000003</v>
      </c>
      <c r="Y2877">
        <v>0</v>
      </c>
      <c r="Z2877" t="s">
        <v>46</v>
      </c>
      <c r="AA2877">
        <v>57418</v>
      </c>
      <c r="AB2877" t="s">
        <v>2197</v>
      </c>
      <c r="AC2877" t="s">
        <v>103</v>
      </c>
      <c r="AD2877" t="s">
        <v>38</v>
      </c>
      <c r="AE2877" t="s">
        <v>49</v>
      </c>
      <c r="AF2877" t="s">
        <v>50</v>
      </c>
      <c r="AG2877">
        <v>0</v>
      </c>
      <c r="AH2877">
        <v>0</v>
      </c>
      <c r="AI2877" t="s">
        <v>51</v>
      </c>
      <c r="AJ2877" t="s">
        <v>51</v>
      </c>
      <c r="AK2877" t="s">
        <v>51</v>
      </c>
    </row>
    <row r="2878" spans="1:37" x14ac:dyDescent="0.2">
      <c r="A2878">
        <v>57288</v>
      </c>
      <c r="B2878" t="s">
        <v>37</v>
      </c>
      <c r="C2878" t="s">
        <v>38</v>
      </c>
      <c r="D2878" t="s">
        <v>674</v>
      </c>
      <c r="E2878" t="s">
        <v>40</v>
      </c>
      <c r="G2878" s="4">
        <v>43945.505972222222</v>
      </c>
      <c r="H2878" s="4">
        <v>43945.5065625</v>
      </c>
      <c r="I2878" t="s">
        <v>2171</v>
      </c>
      <c r="J2878" s="5">
        <v>51.00000000000000000000000000000000000002</v>
      </c>
      <c r="K2878" t="s">
        <v>38</v>
      </c>
      <c r="M2878">
        <v>57289</v>
      </c>
      <c r="N2878" t="s">
        <v>705</v>
      </c>
      <c r="O2878" t="s">
        <v>706</v>
      </c>
      <c r="P2878" t="s">
        <v>38</v>
      </c>
      <c r="Q2878" t="s">
        <v>238</v>
      </c>
      <c r="R2878">
        <v>9.00000000000000000000000000000000000003</v>
      </c>
      <c r="S2878" t="s">
        <v>45</v>
      </c>
      <c r="T287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8">
        <v>57290</v>
      </c>
      <c r="V2878" t="s">
        <v>38</v>
      </c>
      <c r="W2878" t="s">
        <v>238</v>
      </c>
      <c r="X2878">
        <v>9.00000000000000000000000000000000000003</v>
      </c>
      <c r="Y2878">
        <v>0</v>
      </c>
      <c r="Z2878" t="s">
        <v>46</v>
      </c>
      <c r="AA2878">
        <v>57417</v>
      </c>
      <c r="AB2878" t="s">
        <v>2198</v>
      </c>
      <c r="AC2878" t="s">
        <v>103</v>
      </c>
      <c r="AD2878" t="s">
        <v>38</v>
      </c>
      <c r="AE2878" t="s">
        <v>49</v>
      </c>
      <c r="AF2878" t="s">
        <v>50</v>
      </c>
      <c r="AG2878">
        <v>0</v>
      </c>
      <c r="AH2878">
        <v>0</v>
      </c>
      <c r="AI2878" t="s">
        <v>51</v>
      </c>
      <c r="AJ2878" t="s">
        <v>51</v>
      </c>
      <c r="AK2878" t="s">
        <v>51</v>
      </c>
    </row>
    <row r="2879" spans="1:37" x14ac:dyDescent="0.2">
      <c r="A2879">
        <v>57288</v>
      </c>
      <c r="B2879" t="s">
        <v>37</v>
      </c>
      <c r="C2879" t="s">
        <v>38</v>
      </c>
      <c r="D2879" t="s">
        <v>674</v>
      </c>
      <c r="E2879" t="s">
        <v>40</v>
      </c>
      <c r="G2879" s="4">
        <v>43945.505972222222</v>
      </c>
      <c r="H2879" s="4">
        <v>43945.5065625</v>
      </c>
      <c r="I2879" t="s">
        <v>2171</v>
      </c>
      <c r="J2879" s="5">
        <v>51.00000000000000000000000000000000000002</v>
      </c>
      <c r="K2879" t="s">
        <v>38</v>
      </c>
      <c r="M2879">
        <v>57289</v>
      </c>
      <c r="N2879" t="s">
        <v>705</v>
      </c>
      <c r="O2879" t="s">
        <v>706</v>
      </c>
      <c r="P2879" t="s">
        <v>38</v>
      </c>
      <c r="Q2879" t="s">
        <v>238</v>
      </c>
      <c r="R2879">
        <v>9.00000000000000000000000000000000000003</v>
      </c>
      <c r="S2879" t="s">
        <v>45</v>
      </c>
      <c r="T287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79">
        <v>57290</v>
      </c>
      <c r="V2879" t="s">
        <v>38</v>
      </c>
      <c r="W2879" t="s">
        <v>238</v>
      </c>
      <c r="X2879">
        <v>9.00000000000000000000000000000000000003</v>
      </c>
      <c r="Y2879">
        <v>0</v>
      </c>
      <c r="Z2879" t="s">
        <v>46</v>
      </c>
      <c r="AA2879">
        <v>57416</v>
      </c>
      <c r="AB2879" t="s">
        <v>2199</v>
      </c>
      <c r="AC2879" t="s">
        <v>103</v>
      </c>
      <c r="AD2879" t="s">
        <v>38</v>
      </c>
      <c r="AE2879" t="s">
        <v>49</v>
      </c>
      <c r="AF2879" t="s">
        <v>50</v>
      </c>
      <c r="AG2879">
        <v>0</v>
      </c>
      <c r="AH2879">
        <v>0</v>
      </c>
      <c r="AI2879" t="s">
        <v>51</v>
      </c>
      <c r="AJ2879" t="s">
        <v>51</v>
      </c>
      <c r="AK2879" t="s">
        <v>51</v>
      </c>
    </row>
    <row r="2880" spans="1:37" x14ac:dyDescent="0.2">
      <c r="A2880">
        <v>57288</v>
      </c>
      <c r="B2880" t="s">
        <v>37</v>
      </c>
      <c r="C2880" t="s">
        <v>38</v>
      </c>
      <c r="D2880" t="s">
        <v>674</v>
      </c>
      <c r="E2880" t="s">
        <v>40</v>
      </c>
      <c r="G2880" s="4">
        <v>43945.505972222222</v>
      </c>
      <c r="H2880" s="4">
        <v>43945.5065625</v>
      </c>
      <c r="I2880" t="s">
        <v>2171</v>
      </c>
      <c r="J2880" s="5">
        <v>51.00000000000000000000000000000000000002</v>
      </c>
      <c r="K2880" t="s">
        <v>38</v>
      </c>
      <c r="M2880">
        <v>57289</v>
      </c>
      <c r="N2880" t="s">
        <v>705</v>
      </c>
      <c r="O2880" t="s">
        <v>706</v>
      </c>
      <c r="P2880" t="s">
        <v>38</v>
      </c>
      <c r="Q2880" t="s">
        <v>238</v>
      </c>
      <c r="R2880">
        <v>9.00000000000000000000000000000000000003</v>
      </c>
      <c r="S2880" t="s">
        <v>45</v>
      </c>
      <c r="T288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0">
        <v>57290</v>
      </c>
      <c r="V2880" t="s">
        <v>38</v>
      </c>
      <c r="W2880" t="s">
        <v>238</v>
      </c>
      <c r="X2880">
        <v>9.00000000000000000000000000000000000003</v>
      </c>
      <c r="Y2880">
        <v>0</v>
      </c>
      <c r="Z2880" t="s">
        <v>46</v>
      </c>
      <c r="AA2880">
        <v>57415</v>
      </c>
      <c r="AB2880" t="s">
        <v>2200</v>
      </c>
      <c r="AC2880" t="s">
        <v>103</v>
      </c>
      <c r="AD2880" t="s">
        <v>38</v>
      </c>
      <c r="AE2880" t="s">
        <v>49</v>
      </c>
      <c r="AF2880" t="s">
        <v>50</v>
      </c>
      <c r="AG2880">
        <v>0</v>
      </c>
      <c r="AH2880">
        <v>0</v>
      </c>
      <c r="AI2880" t="s">
        <v>51</v>
      </c>
      <c r="AJ2880" t="s">
        <v>51</v>
      </c>
      <c r="AK2880" t="s">
        <v>51</v>
      </c>
    </row>
    <row r="2881" spans="1:37" x14ac:dyDescent="0.2">
      <c r="A2881">
        <v>57288</v>
      </c>
      <c r="B2881" t="s">
        <v>37</v>
      </c>
      <c r="C2881" t="s">
        <v>38</v>
      </c>
      <c r="D2881" t="s">
        <v>674</v>
      </c>
      <c r="E2881" t="s">
        <v>40</v>
      </c>
      <c r="G2881" s="4">
        <v>43945.505972222222</v>
      </c>
      <c r="H2881" s="4">
        <v>43945.5065625</v>
      </c>
      <c r="I2881" t="s">
        <v>2171</v>
      </c>
      <c r="J2881" s="5">
        <v>51.00000000000000000000000000000000000002</v>
      </c>
      <c r="K2881" t="s">
        <v>38</v>
      </c>
      <c r="M2881">
        <v>57289</v>
      </c>
      <c r="N2881" t="s">
        <v>705</v>
      </c>
      <c r="O2881" t="s">
        <v>706</v>
      </c>
      <c r="P2881" t="s">
        <v>38</v>
      </c>
      <c r="Q2881" t="s">
        <v>238</v>
      </c>
      <c r="R2881">
        <v>9.00000000000000000000000000000000000003</v>
      </c>
      <c r="S2881" t="s">
        <v>45</v>
      </c>
      <c r="T288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1">
        <v>57290</v>
      </c>
      <c r="V2881" t="s">
        <v>38</v>
      </c>
      <c r="W2881" t="s">
        <v>238</v>
      </c>
      <c r="X2881">
        <v>9.00000000000000000000000000000000000003</v>
      </c>
      <c r="Y2881">
        <v>0</v>
      </c>
      <c r="Z2881" t="s">
        <v>46</v>
      </c>
      <c r="AA2881">
        <v>57414</v>
      </c>
      <c r="AB2881" t="s">
        <v>2201</v>
      </c>
      <c r="AC2881" t="s">
        <v>103</v>
      </c>
      <c r="AD2881" t="s">
        <v>38</v>
      </c>
      <c r="AE2881" t="s">
        <v>49</v>
      </c>
      <c r="AF2881" t="s">
        <v>50</v>
      </c>
      <c r="AG2881">
        <v>0</v>
      </c>
      <c r="AH2881">
        <v>0</v>
      </c>
      <c r="AI2881" t="s">
        <v>51</v>
      </c>
      <c r="AJ2881" t="s">
        <v>51</v>
      </c>
      <c r="AK2881" t="s">
        <v>51</v>
      </c>
    </row>
    <row r="2882" spans="1:37" x14ac:dyDescent="0.2">
      <c r="A2882">
        <v>57288</v>
      </c>
      <c r="B2882" t="s">
        <v>37</v>
      </c>
      <c r="C2882" t="s">
        <v>38</v>
      </c>
      <c r="D2882" t="s">
        <v>674</v>
      </c>
      <c r="E2882" t="s">
        <v>40</v>
      </c>
      <c r="G2882" s="4">
        <v>43945.505972222222</v>
      </c>
      <c r="H2882" s="4">
        <v>43945.5065625</v>
      </c>
      <c r="I2882" t="s">
        <v>2171</v>
      </c>
      <c r="J2882" s="5">
        <v>51.00000000000000000000000000000000000002</v>
      </c>
      <c r="K2882" t="s">
        <v>38</v>
      </c>
      <c r="M2882">
        <v>57289</v>
      </c>
      <c r="N2882" t="s">
        <v>705</v>
      </c>
      <c r="O2882" t="s">
        <v>706</v>
      </c>
      <c r="P2882" t="s">
        <v>38</v>
      </c>
      <c r="Q2882" t="s">
        <v>238</v>
      </c>
      <c r="R2882">
        <v>9.00000000000000000000000000000000000003</v>
      </c>
      <c r="S2882" t="s">
        <v>45</v>
      </c>
      <c r="T288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2">
        <v>57290</v>
      </c>
      <c r="V2882" t="s">
        <v>38</v>
      </c>
      <c r="W2882" t="s">
        <v>238</v>
      </c>
      <c r="X2882">
        <v>9.00000000000000000000000000000000000003</v>
      </c>
      <c r="Y2882">
        <v>0</v>
      </c>
      <c r="Z2882" t="s">
        <v>46</v>
      </c>
      <c r="AA2882">
        <v>57413</v>
      </c>
      <c r="AB2882" t="s">
        <v>2202</v>
      </c>
      <c r="AC2882" t="s">
        <v>103</v>
      </c>
      <c r="AD2882" t="s">
        <v>38</v>
      </c>
      <c r="AE2882" t="s">
        <v>49</v>
      </c>
      <c r="AF2882" t="s">
        <v>50</v>
      </c>
      <c r="AG2882">
        <v>0</v>
      </c>
      <c r="AH2882">
        <v>0</v>
      </c>
      <c r="AI2882" t="s">
        <v>51</v>
      </c>
      <c r="AJ2882" t="s">
        <v>51</v>
      </c>
      <c r="AK2882" t="s">
        <v>51</v>
      </c>
    </row>
    <row r="2883" spans="1:37" x14ac:dyDescent="0.2">
      <c r="A2883">
        <v>57288</v>
      </c>
      <c r="B2883" t="s">
        <v>37</v>
      </c>
      <c r="C2883" t="s">
        <v>38</v>
      </c>
      <c r="D2883" t="s">
        <v>674</v>
      </c>
      <c r="E2883" t="s">
        <v>40</v>
      </c>
      <c r="G2883" s="4">
        <v>43945.505972222222</v>
      </c>
      <c r="H2883" s="4">
        <v>43945.5065625</v>
      </c>
      <c r="I2883" t="s">
        <v>2171</v>
      </c>
      <c r="J2883" s="5">
        <v>51.00000000000000000000000000000000000002</v>
      </c>
      <c r="K2883" t="s">
        <v>38</v>
      </c>
      <c r="M2883">
        <v>57289</v>
      </c>
      <c r="N2883" t="s">
        <v>705</v>
      </c>
      <c r="O2883" t="s">
        <v>706</v>
      </c>
      <c r="P2883" t="s">
        <v>38</v>
      </c>
      <c r="Q2883" t="s">
        <v>238</v>
      </c>
      <c r="R2883">
        <v>9.00000000000000000000000000000000000003</v>
      </c>
      <c r="S2883" t="s">
        <v>45</v>
      </c>
      <c r="T288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3">
        <v>57290</v>
      </c>
      <c r="V2883" t="s">
        <v>38</v>
      </c>
      <c r="W2883" t="s">
        <v>238</v>
      </c>
      <c r="X2883">
        <v>9.00000000000000000000000000000000000003</v>
      </c>
      <c r="Y2883">
        <v>0</v>
      </c>
      <c r="Z2883" t="s">
        <v>46</v>
      </c>
      <c r="AA2883">
        <v>57412</v>
      </c>
      <c r="AB2883" t="s">
        <v>2203</v>
      </c>
      <c r="AC2883" t="s">
        <v>103</v>
      </c>
      <c r="AD2883" t="s">
        <v>38</v>
      </c>
      <c r="AE2883" t="s">
        <v>49</v>
      </c>
      <c r="AF2883" t="s">
        <v>50</v>
      </c>
      <c r="AG2883">
        <v>0</v>
      </c>
      <c r="AH2883">
        <v>0</v>
      </c>
      <c r="AI2883" t="s">
        <v>51</v>
      </c>
      <c r="AJ2883" t="s">
        <v>51</v>
      </c>
      <c r="AK2883" t="s">
        <v>51</v>
      </c>
    </row>
    <row r="2884" spans="1:37" x14ac:dyDescent="0.2">
      <c r="A2884">
        <v>57288</v>
      </c>
      <c r="B2884" t="s">
        <v>37</v>
      </c>
      <c r="C2884" t="s">
        <v>38</v>
      </c>
      <c r="D2884" t="s">
        <v>674</v>
      </c>
      <c r="E2884" t="s">
        <v>40</v>
      </c>
      <c r="G2884" s="4">
        <v>43945.505972222222</v>
      </c>
      <c r="H2884" s="4">
        <v>43945.5065625</v>
      </c>
      <c r="I2884" t="s">
        <v>2171</v>
      </c>
      <c r="J2884" s="5">
        <v>51.00000000000000000000000000000000000002</v>
      </c>
      <c r="K2884" t="s">
        <v>38</v>
      </c>
      <c r="M2884">
        <v>57289</v>
      </c>
      <c r="N2884" t="s">
        <v>705</v>
      </c>
      <c r="O2884" t="s">
        <v>706</v>
      </c>
      <c r="P2884" t="s">
        <v>38</v>
      </c>
      <c r="Q2884" t="s">
        <v>238</v>
      </c>
      <c r="R2884">
        <v>9.00000000000000000000000000000000000003</v>
      </c>
      <c r="S2884" t="s">
        <v>45</v>
      </c>
      <c r="T288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4">
        <v>57290</v>
      </c>
      <c r="V2884" t="s">
        <v>38</v>
      </c>
      <c r="W2884" t="s">
        <v>238</v>
      </c>
      <c r="X2884">
        <v>9.00000000000000000000000000000000000003</v>
      </c>
      <c r="Y2884">
        <v>0</v>
      </c>
      <c r="Z2884" t="s">
        <v>46</v>
      </c>
      <c r="AA2884">
        <v>57411</v>
      </c>
      <c r="AB2884" t="s">
        <v>2204</v>
      </c>
      <c r="AC2884" t="s">
        <v>103</v>
      </c>
      <c r="AD2884" t="s">
        <v>38</v>
      </c>
      <c r="AE2884" t="s">
        <v>49</v>
      </c>
      <c r="AF2884" t="s">
        <v>50</v>
      </c>
      <c r="AG2884">
        <v>0</v>
      </c>
      <c r="AH2884">
        <v>0</v>
      </c>
      <c r="AI2884" t="s">
        <v>51</v>
      </c>
      <c r="AJ2884" t="s">
        <v>51</v>
      </c>
      <c r="AK2884" t="s">
        <v>51</v>
      </c>
    </row>
    <row r="2885" spans="1:37" x14ac:dyDescent="0.2">
      <c r="A2885">
        <v>57288</v>
      </c>
      <c r="B2885" t="s">
        <v>37</v>
      </c>
      <c r="C2885" t="s">
        <v>38</v>
      </c>
      <c r="D2885" t="s">
        <v>674</v>
      </c>
      <c r="E2885" t="s">
        <v>40</v>
      </c>
      <c r="G2885" s="4">
        <v>43945.505972222222</v>
      </c>
      <c r="H2885" s="4">
        <v>43945.5065625</v>
      </c>
      <c r="I2885" t="s">
        <v>2171</v>
      </c>
      <c r="J2885" s="5">
        <v>51.00000000000000000000000000000000000002</v>
      </c>
      <c r="K2885" t="s">
        <v>38</v>
      </c>
      <c r="M2885">
        <v>57289</v>
      </c>
      <c r="N2885" t="s">
        <v>705</v>
      </c>
      <c r="O2885" t="s">
        <v>706</v>
      </c>
      <c r="P2885" t="s">
        <v>38</v>
      </c>
      <c r="Q2885" t="s">
        <v>238</v>
      </c>
      <c r="R2885">
        <v>9.00000000000000000000000000000000000003</v>
      </c>
      <c r="S2885" t="s">
        <v>45</v>
      </c>
      <c r="T288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5">
        <v>57290</v>
      </c>
      <c r="V2885" t="s">
        <v>38</v>
      </c>
      <c r="W2885" t="s">
        <v>238</v>
      </c>
      <c r="X2885">
        <v>9.00000000000000000000000000000000000003</v>
      </c>
      <c r="Y2885">
        <v>0</v>
      </c>
      <c r="Z2885" t="s">
        <v>46</v>
      </c>
      <c r="AA2885">
        <v>57410</v>
      </c>
      <c r="AB2885" t="s">
        <v>2205</v>
      </c>
      <c r="AC2885" t="s">
        <v>103</v>
      </c>
      <c r="AD2885" t="s">
        <v>38</v>
      </c>
      <c r="AE2885" t="s">
        <v>49</v>
      </c>
      <c r="AF2885" t="s">
        <v>50</v>
      </c>
      <c r="AG2885">
        <v>0</v>
      </c>
      <c r="AH2885">
        <v>0</v>
      </c>
      <c r="AI2885" t="s">
        <v>51</v>
      </c>
      <c r="AJ2885" t="s">
        <v>51</v>
      </c>
      <c r="AK2885" t="s">
        <v>51</v>
      </c>
    </row>
    <row r="2886" spans="1:37" x14ac:dyDescent="0.2">
      <c r="A2886">
        <v>57288</v>
      </c>
      <c r="B2886" t="s">
        <v>37</v>
      </c>
      <c r="C2886" t="s">
        <v>38</v>
      </c>
      <c r="D2886" t="s">
        <v>674</v>
      </c>
      <c r="E2886" t="s">
        <v>40</v>
      </c>
      <c r="G2886" s="4">
        <v>43945.505972222222</v>
      </c>
      <c r="H2886" s="4">
        <v>43945.5065625</v>
      </c>
      <c r="I2886" t="s">
        <v>2171</v>
      </c>
      <c r="J2886" s="5">
        <v>51.00000000000000000000000000000000000002</v>
      </c>
      <c r="K2886" t="s">
        <v>38</v>
      </c>
      <c r="M2886">
        <v>57289</v>
      </c>
      <c r="N2886" t="s">
        <v>705</v>
      </c>
      <c r="O2886" t="s">
        <v>706</v>
      </c>
      <c r="P2886" t="s">
        <v>38</v>
      </c>
      <c r="Q2886" t="s">
        <v>238</v>
      </c>
      <c r="R2886">
        <v>9.00000000000000000000000000000000000003</v>
      </c>
      <c r="S2886" t="s">
        <v>45</v>
      </c>
      <c r="T288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6">
        <v>57290</v>
      </c>
      <c r="V2886" t="s">
        <v>38</v>
      </c>
      <c r="W2886" t="s">
        <v>238</v>
      </c>
      <c r="X2886">
        <v>9.00000000000000000000000000000000000003</v>
      </c>
      <c r="Y2886">
        <v>0</v>
      </c>
      <c r="Z2886" t="s">
        <v>46</v>
      </c>
      <c r="AA2886">
        <v>57409</v>
      </c>
      <c r="AB2886" t="s">
        <v>2206</v>
      </c>
      <c r="AC2886" t="s">
        <v>103</v>
      </c>
      <c r="AD2886" t="s">
        <v>38</v>
      </c>
      <c r="AE2886" t="s">
        <v>49</v>
      </c>
      <c r="AF2886" t="s">
        <v>50</v>
      </c>
      <c r="AG2886">
        <v>0</v>
      </c>
      <c r="AH2886">
        <v>0</v>
      </c>
      <c r="AI2886" t="s">
        <v>51</v>
      </c>
      <c r="AJ2886" t="s">
        <v>51</v>
      </c>
      <c r="AK2886" t="s">
        <v>51</v>
      </c>
    </row>
    <row r="2887" spans="1:37" x14ac:dyDescent="0.2">
      <c r="A2887">
        <v>57288</v>
      </c>
      <c r="B2887" t="s">
        <v>37</v>
      </c>
      <c r="C2887" t="s">
        <v>38</v>
      </c>
      <c r="D2887" t="s">
        <v>674</v>
      </c>
      <c r="E2887" t="s">
        <v>40</v>
      </c>
      <c r="G2887" s="4">
        <v>43945.505972222222</v>
      </c>
      <c r="H2887" s="4">
        <v>43945.5065625</v>
      </c>
      <c r="I2887" t="s">
        <v>2171</v>
      </c>
      <c r="J2887" s="5">
        <v>51.00000000000000000000000000000000000002</v>
      </c>
      <c r="K2887" t="s">
        <v>38</v>
      </c>
      <c r="M2887">
        <v>57289</v>
      </c>
      <c r="N2887" t="s">
        <v>705</v>
      </c>
      <c r="O2887" t="s">
        <v>706</v>
      </c>
      <c r="P2887" t="s">
        <v>38</v>
      </c>
      <c r="Q2887" t="s">
        <v>238</v>
      </c>
      <c r="R2887">
        <v>9.00000000000000000000000000000000000003</v>
      </c>
      <c r="S2887" t="s">
        <v>45</v>
      </c>
      <c r="T288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7">
        <v>57290</v>
      </c>
      <c r="V2887" t="s">
        <v>38</v>
      </c>
      <c r="W2887" t="s">
        <v>238</v>
      </c>
      <c r="X2887">
        <v>9.00000000000000000000000000000000000003</v>
      </c>
      <c r="Y2887">
        <v>0</v>
      </c>
      <c r="Z2887" t="s">
        <v>46</v>
      </c>
      <c r="AA2887">
        <v>57408</v>
      </c>
      <c r="AB2887" t="s">
        <v>2207</v>
      </c>
      <c r="AC2887" t="s">
        <v>103</v>
      </c>
      <c r="AD2887" t="s">
        <v>38</v>
      </c>
      <c r="AE2887" t="s">
        <v>49</v>
      </c>
      <c r="AF2887" t="s">
        <v>50</v>
      </c>
      <c r="AG2887">
        <v>0</v>
      </c>
      <c r="AH2887">
        <v>0</v>
      </c>
      <c r="AI2887" t="s">
        <v>51</v>
      </c>
      <c r="AJ2887" t="s">
        <v>51</v>
      </c>
      <c r="AK2887" t="s">
        <v>51</v>
      </c>
    </row>
    <row r="2888" spans="1:37" x14ac:dyDescent="0.2">
      <c r="A2888">
        <v>57288</v>
      </c>
      <c r="B2888" t="s">
        <v>37</v>
      </c>
      <c r="C2888" t="s">
        <v>38</v>
      </c>
      <c r="D2888" t="s">
        <v>674</v>
      </c>
      <c r="E2888" t="s">
        <v>40</v>
      </c>
      <c r="G2888" s="4">
        <v>43945.505972222222</v>
      </c>
      <c r="H2888" s="4">
        <v>43945.5065625</v>
      </c>
      <c r="I2888" t="s">
        <v>2171</v>
      </c>
      <c r="J2888" s="5">
        <v>51.00000000000000000000000000000000000002</v>
      </c>
      <c r="K2888" t="s">
        <v>38</v>
      </c>
      <c r="M2888">
        <v>57289</v>
      </c>
      <c r="N2888" t="s">
        <v>705</v>
      </c>
      <c r="O2888" t="s">
        <v>706</v>
      </c>
      <c r="P2888" t="s">
        <v>38</v>
      </c>
      <c r="Q2888" t="s">
        <v>238</v>
      </c>
      <c r="R2888">
        <v>9.00000000000000000000000000000000000003</v>
      </c>
      <c r="S2888" t="s">
        <v>45</v>
      </c>
      <c r="T288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8">
        <v>57290</v>
      </c>
      <c r="V2888" t="s">
        <v>38</v>
      </c>
      <c r="W2888" t="s">
        <v>238</v>
      </c>
      <c r="X2888">
        <v>9.00000000000000000000000000000000000003</v>
      </c>
      <c r="Y2888">
        <v>0</v>
      </c>
      <c r="Z2888" t="s">
        <v>46</v>
      </c>
      <c r="AA2888">
        <v>57407</v>
      </c>
      <c r="AB2888" t="s">
        <v>2208</v>
      </c>
      <c r="AC2888" t="s">
        <v>103</v>
      </c>
      <c r="AD2888" t="s">
        <v>38</v>
      </c>
      <c r="AE2888" t="s">
        <v>49</v>
      </c>
      <c r="AF2888" t="s">
        <v>50</v>
      </c>
      <c r="AG2888">
        <v>0</v>
      </c>
      <c r="AH2888">
        <v>0</v>
      </c>
      <c r="AI2888" t="s">
        <v>51</v>
      </c>
      <c r="AJ2888" t="s">
        <v>51</v>
      </c>
      <c r="AK2888" t="s">
        <v>51</v>
      </c>
    </row>
    <row r="2889" spans="1:37" x14ac:dyDescent="0.2">
      <c r="A2889">
        <v>57288</v>
      </c>
      <c r="B2889" t="s">
        <v>37</v>
      </c>
      <c r="C2889" t="s">
        <v>38</v>
      </c>
      <c r="D2889" t="s">
        <v>674</v>
      </c>
      <c r="E2889" t="s">
        <v>40</v>
      </c>
      <c r="G2889" s="4">
        <v>43945.505972222222</v>
      </c>
      <c r="H2889" s="4">
        <v>43945.5065625</v>
      </c>
      <c r="I2889" t="s">
        <v>2171</v>
      </c>
      <c r="J2889" s="5">
        <v>51.00000000000000000000000000000000000002</v>
      </c>
      <c r="K2889" t="s">
        <v>38</v>
      </c>
      <c r="M2889">
        <v>57289</v>
      </c>
      <c r="N2889" t="s">
        <v>705</v>
      </c>
      <c r="O2889" t="s">
        <v>706</v>
      </c>
      <c r="P2889" t="s">
        <v>38</v>
      </c>
      <c r="Q2889" t="s">
        <v>238</v>
      </c>
      <c r="R2889">
        <v>9.00000000000000000000000000000000000003</v>
      </c>
      <c r="S2889" t="s">
        <v>45</v>
      </c>
      <c r="T288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89">
        <v>57290</v>
      </c>
      <c r="V2889" t="s">
        <v>38</v>
      </c>
      <c r="W2889" t="s">
        <v>238</v>
      </c>
      <c r="X2889">
        <v>9.00000000000000000000000000000000000003</v>
      </c>
      <c r="Y2889">
        <v>0</v>
      </c>
      <c r="Z2889" t="s">
        <v>46</v>
      </c>
      <c r="AA2889">
        <v>57406</v>
      </c>
      <c r="AB2889" t="s">
        <v>2209</v>
      </c>
      <c r="AC2889" t="s">
        <v>103</v>
      </c>
      <c r="AD2889" t="s">
        <v>38</v>
      </c>
      <c r="AE2889" t="s">
        <v>49</v>
      </c>
      <c r="AF2889" t="s">
        <v>50</v>
      </c>
      <c r="AG2889">
        <v>0</v>
      </c>
      <c r="AH2889">
        <v>0</v>
      </c>
      <c r="AI2889" t="s">
        <v>51</v>
      </c>
      <c r="AJ2889" t="s">
        <v>51</v>
      </c>
      <c r="AK2889" t="s">
        <v>51</v>
      </c>
    </row>
    <row r="2890" spans="1:37" x14ac:dyDescent="0.2">
      <c r="A2890">
        <v>57288</v>
      </c>
      <c r="B2890" t="s">
        <v>37</v>
      </c>
      <c r="C2890" t="s">
        <v>38</v>
      </c>
      <c r="D2890" t="s">
        <v>674</v>
      </c>
      <c r="E2890" t="s">
        <v>40</v>
      </c>
      <c r="G2890" s="4">
        <v>43945.505972222222</v>
      </c>
      <c r="H2890" s="4">
        <v>43945.5065625</v>
      </c>
      <c r="I2890" t="s">
        <v>2171</v>
      </c>
      <c r="J2890" s="5">
        <v>51.00000000000000000000000000000000000002</v>
      </c>
      <c r="K2890" t="s">
        <v>38</v>
      </c>
      <c r="M2890">
        <v>57289</v>
      </c>
      <c r="N2890" t="s">
        <v>705</v>
      </c>
      <c r="O2890" t="s">
        <v>706</v>
      </c>
      <c r="P2890" t="s">
        <v>38</v>
      </c>
      <c r="Q2890" t="s">
        <v>238</v>
      </c>
      <c r="R2890">
        <v>9.00000000000000000000000000000000000003</v>
      </c>
      <c r="S2890" t="s">
        <v>45</v>
      </c>
      <c r="T289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0">
        <v>57290</v>
      </c>
      <c r="V2890" t="s">
        <v>38</v>
      </c>
      <c r="W2890" t="s">
        <v>238</v>
      </c>
      <c r="X2890">
        <v>9.00000000000000000000000000000000000003</v>
      </c>
      <c r="Y2890">
        <v>0</v>
      </c>
      <c r="Z2890" t="s">
        <v>46</v>
      </c>
      <c r="AA2890">
        <v>57405</v>
      </c>
      <c r="AB2890" t="s">
        <v>2210</v>
      </c>
      <c r="AC2890" t="s">
        <v>103</v>
      </c>
      <c r="AD2890" t="s">
        <v>38</v>
      </c>
      <c r="AE2890" t="s">
        <v>49</v>
      </c>
      <c r="AF2890" t="s">
        <v>50</v>
      </c>
      <c r="AG2890">
        <v>0</v>
      </c>
      <c r="AH2890">
        <v>0</v>
      </c>
      <c r="AI2890" t="s">
        <v>51</v>
      </c>
      <c r="AJ2890" t="s">
        <v>51</v>
      </c>
      <c r="AK2890" t="s">
        <v>51</v>
      </c>
    </row>
    <row r="2891" spans="1:37" x14ac:dyDescent="0.2">
      <c r="A2891">
        <v>57288</v>
      </c>
      <c r="B2891" t="s">
        <v>37</v>
      </c>
      <c r="C2891" t="s">
        <v>38</v>
      </c>
      <c r="D2891" t="s">
        <v>674</v>
      </c>
      <c r="E2891" t="s">
        <v>40</v>
      </c>
      <c r="G2891" s="4">
        <v>43945.505972222222</v>
      </c>
      <c r="H2891" s="4">
        <v>43945.5065625</v>
      </c>
      <c r="I2891" t="s">
        <v>2171</v>
      </c>
      <c r="J2891" s="5">
        <v>51.00000000000000000000000000000000000002</v>
      </c>
      <c r="K2891" t="s">
        <v>38</v>
      </c>
      <c r="M2891">
        <v>57289</v>
      </c>
      <c r="N2891" t="s">
        <v>705</v>
      </c>
      <c r="O2891" t="s">
        <v>706</v>
      </c>
      <c r="P2891" t="s">
        <v>38</v>
      </c>
      <c r="Q2891" t="s">
        <v>238</v>
      </c>
      <c r="R2891">
        <v>9.00000000000000000000000000000000000003</v>
      </c>
      <c r="S2891" t="s">
        <v>45</v>
      </c>
      <c r="T289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1">
        <v>57290</v>
      </c>
      <c r="V2891" t="s">
        <v>38</v>
      </c>
      <c r="W2891" t="s">
        <v>238</v>
      </c>
      <c r="X2891">
        <v>9.00000000000000000000000000000000000003</v>
      </c>
      <c r="Y2891">
        <v>0</v>
      </c>
      <c r="Z2891" t="s">
        <v>46</v>
      </c>
      <c r="AA2891">
        <v>57404</v>
      </c>
      <c r="AB2891" t="s">
        <v>2211</v>
      </c>
      <c r="AC2891" t="s">
        <v>103</v>
      </c>
      <c r="AD2891" t="s">
        <v>38</v>
      </c>
      <c r="AE2891" t="s">
        <v>49</v>
      </c>
      <c r="AF2891" t="s">
        <v>50</v>
      </c>
      <c r="AG2891">
        <v>0</v>
      </c>
      <c r="AH2891">
        <v>0</v>
      </c>
      <c r="AI2891" t="s">
        <v>51</v>
      </c>
      <c r="AJ2891" t="s">
        <v>51</v>
      </c>
      <c r="AK2891" t="s">
        <v>51</v>
      </c>
    </row>
    <row r="2892" spans="1:37" x14ac:dyDescent="0.2">
      <c r="A2892">
        <v>57288</v>
      </c>
      <c r="B2892" t="s">
        <v>37</v>
      </c>
      <c r="C2892" t="s">
        <v>38</v>
      </c>
      <c r="D2892" t="s">
        <v>674</v>
      </c>
      <c r="E2892" t="s">
        <v>40</v>
      </c>
      <c r="G2892" s="4">
        <v>43945.505972222222</v>
      </c>
      <c r="H2892" s="4">
        <v>43945.5065625</v>
      </c>
      <c r="I2892" t="s">
        <v>2171</v>
      </c>
      <c r="J2892" s="5">
        <v>51.00000000000000000000000000000000000002</v>
      </c>
      <c r="K2892" t="s">
        <v>38</v>
      </c>
      <c r="M2892">
        <v>57289</v>
      </c>
      <c r="N2892" t="s">
        <v>705</v>
      </c>
      <c r="O2892" t="s">
        <v>706</v>
      </c>
      <c r="P2892" t="s">
        <v>38</v>
      </c>
      <c r="Q2892" t="s">
        <v>238</v>
      </c>
      <c r="R2892">
        <v>9.00000000000000000000000000000000000003</v>
      </c>
      <c r="S2892" t="s">
        <v>45</v>
      </c>
      <c r="T289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2">
        <v>57290</v>
      </c>
      <c r="V2892" t="s">
        <v>38</v>
      </c>
      <c r="W2892" t="s">
        <v>238</v>
      </c>
      <c r="X2892">
        <v>9.00000000000000000000000000000000000003</v>
      </c>
      <c r="Y2892">
        <v>0</v>
      </c>
      <c r="Z2892" t="s">
        <v>46</v>
      </c>
      <c r="AA2892">
        <v>57403</v>
      </c>
      <c r="AB2892" t="s">
        <v>2212</v>
      </c>
      <c r="AC2892" t="s">
        <v>103</v>
      </c>
      <c r="AD2892" t="s">
        <v>38</v>
      </c>
      <c r="AE2892" t="s">
        <v>49</v>
      </c>
      <c r="AF2892" t="s">
        <v>50</v>
      </c>
      <c r="AG2892">
        <v>0</v>
      </c>
      <c r="AH2892">
        <v>0</v>
      </c>
      <c r="AI2892" t="s">
        <v>51</v>
      </c>
      <c r="AJ2892" t="s">
        <v>51</v>
      </c>
      <c r="AK2892" t="s">
        <v>51</v>
      </c>
    </row>
    <row r="2893" spans="1:37" x14ac:dyDescent="0.2">
      <c r="A2893">
        <v>57288</v>
      </c>
      <c r="B2893" t="s">
        <v>37</v>
      </c>
      <c r="C2893" t="s">
        <v>38</v>
      </c>
      <c r="D2893" t="s">
        <v>674</v>
      </c>
      <c r="E2893" t="s">
        <v>40</v>
      </c>
      <c r="G2893" s="4">
        <v>43945.505972222222</v>
      </c>
      <c r="H2893" s="4">
        <v>43945.5065625</v>
      </c>
      <c r="I2893" t="s">
        <v>2171</v>
      </c>
      <c r="J2893" s="5">
        <v>51.00000000000000000000000000000000000002</v>
      </c>
      <c r="K2893" t="s">
        <v>38</v>
      </c>
      <c r="M2893">
        <v>57289</v>
      </c>
      <c r="N2893" t="s">
        <v>705</v>
      </c>
      <c r="O2893" t="s">
        <v>706</v>
      </c>
      <c r="P2893" t="s">
        <v>38</v>
      </c>
      <c r="Q2893" t="s">
        <v>238</v>
      </c>
      <c r="R2893">
        <v>9.00000000000000000000000000000000000003</v>
      </c>
      <c r="S2893" t="s">
        <v>45</v>
      </c>
      <c r="T289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3">
        <v>57290</v>
      </c>
      <c r="V2893" t="s">
        <v>38</v>
      </c>
      <c r="W2893" t="s">
        <v>238</v>
      </c>
      <c r="X2893">
        <v>9.00000000000000000000000000000000000003</v>
      </c>
      <c r="Y2893">
        <v>0</v>
      </c>
      <c r="Z2893" t="s">
        <v>46</v>
      </c>
      <c r="AA2893">
        <v>57402</v>
      </c>
      <c r="AB2893" t="s">
        <v>2213</v>
      </c>
      <c r="AC2893" t="s">
        <v>103</v>
      </c>
      <c r="AD2893" t="s">
        <v>38</v>
      </c>
      <c r="AE2893" t="s">
        <v>49</v>
      </c>
      <c r="AF2893" t="s">
        <v>50</v>
      </c>
      <c r="AG2893">
        <v>0</v>
      </c>
      <c r="AH2893">
        <v>0</v>
      </c>
      <c r="AI2893" t="s">
        <v>51</v>
      </c>
      <c r="AJ2893" t="s">
        <v>51</v>
      </c>
      <c r="AK2893" t="s">
        <v>51</v>
      </c>
    </row>
    <row r="2894" spans="1:37" x14ac:dyDescent="0.2">
      <c r="A2894">
        <v>57288</v>
      </c>
      <c r="B2894" t="s">
        <v>37</v>
      </c>
      <c r="C2894" t="s">
        <v>38</v>
      </c>
      <c r="D2894" t="s">
        <v>674</v>
      </c>
      <c r="E2894" t="s">
        <v>40</v>
      </c>
      <c r="G2894" s="4">
        <v>43945.505972222222</v>
      </c>
      <c r="H2894" s="4">
        <v>43945.5065625</v>
      </c>
      <c r="I2894" t="s">
        <v>2171</v>
      </c>
      <c r="J2894" s="5">
        <v>51.00000000000000000000000000000000000002</v>
      </c>
      <c r="K2894" t="s">
        <v>38</v>
      </c>
      <c r="M2894">
        <v>57289</v>
      </c>
      <c r="N2894" t="s">
        <v>705</v>
      </c>
      <c r="O2894" t="s">
        <v>706</v>
      </c>
      <c r="P2894" t="s">
        <v>38</v>
      </c>
      <c r="Q2894" t="s">
        <v>238</v>
      </c>
      <c r="R2894">
        <v>9.00000000000000000000000000000000000003</v>
      </c>
      <c r="S2894" t="s">
        <v>45</v>
      </c>
      <c r="T289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4">
        <v>57290</v>
      </c>
      <c r="V2894" t="s">
        <v>38</v>
      </c>
      <c r="W2894" t="s">
        <v>238</v>
      </c>
      <c r="X2894">
        <v>9.00000000000000000000000000000000000003</v>
      </c>
      <c r="Y2894">
        <v>0</v>
      </c>
      <c r="Z2894" t="s">
        <v>46</v>
      </c>
      <c r="AA2894">
        <v>57401</v>
      </c>
      <c r="AB2894" t="s">
        <v>2214</v>
      </c>
      <c r="AC2894" t="s">
        <v>103</v>
      </c>
      <c r="AD2894" t="s">
        <v>38</v>
      </c>
      <c r="AE2894" t="s">
        <v>49</v>
      </c>
      <c r="AF2894" t="s">
        <v>50</v>
      </c>
      <c r="AG2894">
        <v>0</v>
      </c>
      <c r="AH2894">
        <v>0</v>
      </c>
      <c r="AI2894" t="s">
        <v>51</v>
      </c>
      <c r="AJ2894" t="s">
        <v>51</v>
      </c>
      <c r="AK2894" t="s">
        <v>51</v>
      </c>
    </row>
    <row r="2895" spans="1:37" x14ac:dyDescent="0.2">
      <c r="A2895">
        <v>57288</v>
      </c>
      <c r="B2895" t="s">
        <v>37</v>
      </c>
      <c r="C2895" t="s">
        <v>38</v>
      </c>
      <c r="D2895" t="s">
        <v>674</v>
      </c>
      <c r="E2895" t="s">
        <v>40</v>
      </c>
      <c r="G2895" s="4">
        <v>43945.505972222222</v>
      </c>
      <c r="H2895" s="4">
        <v>43945.5065625</v>
      </c>
      <c r="I2895" t="s">
        <v>2171</v>
      </c>
      <c r="J2895" s="5">
        <v>51.00000000000000000000000000000000000002</v>
      </c>
      <c r="K2895" t="s">
        <v>38</v>
      </c>
      <c r="M2895">
        <v>57289</v>
      </c>
      <c r="N2895" t="s">
        <v>705</v>
      </c>
      <c r="O2895" t="s">
        <v>706</v>
      </c>
      <c r="P2895" t="s">
        <v>38</v>
      </c>
      <c r="Q2895" t="s">
        <v>238</v>
      </c>
      <c r="R2895">
        <v>9.00000000000000000000000000000000000003</v>
      </c>
      <c r="S2895" t="s">
        <v>45</v>
      </c>
      <c r="T289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5">
        <v>57290</v>
      </c>
      <c r="V2895" t="s">
        <v>38</v>
      </c>
      <c r="W2895" t="s">
        <v>238</v>
      </c>
      <c r="X2895">
        <v>9.00000000000000000000000000000000000003</v>
      </c>
      <c r="Y2895">
        <v>0</v>
      </c>
      <c r="Z2895" t="s">
        <v>46</v>
      </c>
      <c r="AA2895">
        <v>57400</v>
      </c>
      <c r="AB2895" t="s">
        <v>2215</v>
      </c>
      <c r="AC2895" t="s">
        <v>103</v>
      </c>
      <c r="AD2895" t="s">
        <v>38</v>
      </c>
      <c r="AE2895" t="s">
        <v>49</v>
      </c>
      <c r="AF2895" t="s">
        <v>50</v>
      </c>
      <c r="AG2895">
        <v>0</v>
      </c>
      <c r="AH2895">
        <v>0</v>
      </c>
      <c r="AI2895" t="s">
        <v>51</v>
      </c>
      <c r="AJ2895" t="s">
        <v>51</v>
      </c>
      <c r="AK2895" t="s">
        <v>51</v>
      </c>
    </row>
    <row r="2896" spans="1:37" x14ac:dyDescent="0.2">
      <c r="A2896">
        <v>57288</v>
      </c>
      <c r="B2896" t="s">
        <v>37</v>
      </c>
      <c r="C2896" t="s">
        <v>38</v>
      </c>
      <c r="D2896" t="s">
        <v>674</v>
      </c>
      <c r="E2896" t="s">
        <v>40</v>
      </c>
      <c r="G2896" s="4">
        <v>43945.505972222222</v>
      </c>
      <c r="H2896" s="4">
        <v>43945.5065625</v>
      </c>
      <c r="I2896" t="s">
        <v>2171</v>
      </c>
      <c r="J2896" s="5">
        <v>51.00000000000000000000000000000000000002</v>
      </c>
      <c r="K2896" t="s">
        <v>38</v>
      </c>
      <c r="M2896">
        <v>57289</v>
      </c>
      <c r="N2896" t="s">
        <v>705</v>
      </c>
      <c r="O2896" t="s">
        <v>706</v>
      </c>
      <c r="P2896" t="s">
        <v>38</v>
      </c>
      <c r="Q2896" t="s">
        <v>238</v>
      </c>
      <c r="R2896">
        <v>9.00000000000000000000000000000000000003</v>
      </c>
      <c r="S2896" t="s">
        <v>45</v>
      </c>
      <c r="T289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6">
        <v>57290</v>
      </c>
      <c r="V2896" t="s">
        <v>38</v>
      </c>
      <c r="W2896" t="s">
        <v>238</v>
      </c>
      <c r="X2896">
        <v>9.00000000000000000000000000000000000003</v>
      </c>
      <c r="Y2896">
        <v>0</v>
      </c>
      <c r="Z2896" t="s">
        <v>46</v>
      </c>
      <c r="AA2896">
        <v>57399</v>
      </c>
      <c r="AB2896" t="s">
        <v>2216</v>
      </c>
      <c r="AC2896" t="s">
        <v>103</v>
      </c>
      <c r="AD2896" t="s">
        <v>38</v>
      </c>
      <c r="AE2896" t="s">
        <v>49</v>
      </c>
      <c r="AF2896" t="s">
        <v>50</v>
      </c>
      <c r="AG2896">
        <v>0</v>
      </c>
      <c r="AH2896">
        <v>0</v>
      </c>
      <c r="AI2896" t="s">
        <v>51</v>
      </c>
      <c r="AJ2896" t="s">
        <v>51</v>
      </c>
      <c r="AK2896" t="s">
        <v>51</v>
      </c>
    </row>
    <row r="2897" spans="1:37" x14ac:dyDescent="0.2">
      <c r="A2897">
        <v>57288</v>
      </c>
      <c r="B2897" t="s">
        <v>37</v>
      </c>
      <c r="C2897" t="s">
        <v>38</v>
      </c>
      <c r="D2897" t="s">
        <v>674</v>
      </c>
      <c r="E2897" t="s">
        <v>40</v>
      </c>
      <c r="G2897" s="4">
        <v>43945.505972222222</v>
      </c>
      <c r="H2897" s="4">
        <v>43945.5065625</v>
      </c>
      <c r="I2897" t="s">
        <v>2171</v>
      </c>
      <c r="J2897" s="5">
        <v>51.00000000000000000000000000000000000002</v>
      </c>
      <c r="K2897" t="s">
        <v>38</v>
      </c>
      <c r="M2897">
        <v>57289</v>
      </c>
      <c r="N2897" t="s">
        <v>705</v>
      </c>
      <c r="O2897" t="s">
        <v>706</v>
      </c>
      <c r="P2897" t="s">
        <v>38</v>
      </c>
      <c r="Q2897" t="s">
        <v>238</v>
      </c>
      <c r="R2897">
        <v>9.00000000000000000000000000000000000003</v>
      </c>
      <c r="S2897" t="s">
        <v>45</v>
      </c>
      <c r="T289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7">
        <v>57290</v>
      </c>
      <c r="V2897" t="s">
        <v>38</v>
      </c>
      <c r="W2897" t="s">
        <v>238</v>
      </c>
      <c r="X2897">
        <v>9.00000000000000000000000000000000000003</v>
      </c>
      <c r="Y2897">
        <v>0</v>
      </c>
      <c r="Z2897" t="s">
        <v>46</v>
      </c>
      <c r="AA2897">
        <v>57398</v>
      </c>
      <c r="AB2897" t="s">
        <v>2217</v>
      </c>
      <c r="AC2897" t="s">
        <v>103</v>
      </c>
      <c r="AD2897" t="s">
        <v>38</v>
      </c>
      <c r="AE2897" t="s">
        <v>49</v>
      </c>
      <c r="AF2897" t="s">
        <v>50</v>
      </c>
      <c r="AG2897">
        <v>0</v>
      </c>
      <c r="AH2897">
        <v>0</v>
      </c>
      <c r="AI2897" t="s">
        <v>51</v>
      </c>
      <c r="AJ2897" t="s">
        <v>51</v>
      </c>
      <c r="AK2897" t="s">
        <v>51</v>
      </c>
    </row>
    <row r="2898" spans="1:37" x14ac:dyDescent="0.2">
      <c r="A2898">
        <v>57288</v>
      </c>
      <c r="B2898" t="s">
        <v>37</v>
      </c>
      <c r="C2898" t="s">
        <v>38</v>
      </c>
      <c r="D2898" t="s">
        <v>674</v>
      </c>
      <c r="E2898" t="s">
        <v>40</v>
      </c>
      <c r="G2898" s="4">
        <v>43945.505972222222</v>
      </c>
      <c r="H2898" s="4">
        <v>43945.5065625</v>
      </c>
      <c r="I2898" t="s">
        <v>2171</v>
      </c>
      <c r="J2898" s="5">
        <v>51.00000000000000000000000000000000000002</v>
      </c>
      <c r="K2898" t="s">
        <v>38</v>
      </c>
      <c r="M2898">
        <v>57289</v>
      </c>
      <c r="N2898" t="s">
        <v>705</v>
      </c>
      <c r="O2898" t="s">
        <v>706</v>
      </c>
      <c r="P2898" t="s">
        <v>38</v>
      </c>
      <c r="Q2898" t="s">
        <v>238</v>
      </c>
      <c r="R2898">
        <v>9.00000000000000000000000000000000000003</v>
      </c>
      <c r="S2898" t="s">
        <v>45</v>
      </c>
      <c r="T289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8">
        <v>57290</v>
      </c>
      <c r="V2898" t="s">
        <v>38</v>
      </c>
      <c r="W2898" t="s">
        <v>238</v>
      </c>
      <c r="X2898">
        <v>9.00000000000000000000000000000000000003</v>
      </c>
      <c r="Y2898">
        <v>0</v>
      </c>
      <c r="Z2898" t="s">
        <v>46</v>
      </c>
      <c r="AA2898">
        <v>57397</v>
      </c>
      <c r="AB2898" t="s">
        <v>2218</v>
      </c>
      <c r="AC2898" t="s">
        <v>103</v>
      </c>
      <c r="AD2898" t="s">
        <v>38</v>
      </c>
      <c r="AE2898" t="s">
        <v>49</v>
      </c>
      <c r="AF2898" t="s">
        <v>50</v>
      </c>
      <c r="AG2898">
        <v>.9999999999999999999999999999999999999996</v>
      </c>
      <c r="AH2898">
        <v>0</v>
      </c>
      <c r="AI2898" t="s">
        <v>51</v>
      </c>
      <c r="AJ2898" t="s">
        <v>51</v>
      </c>
      <c r="AK2898" t="s">
        <v>51</v>
      </c>
    </row>
    <row r="2899" spans="1:37" x14ac:dyDescent="0.2">
      <c r="A2899">
        <v>57288</v>
      </c>
      <c r="B2899" t="s">
        <v>37</v>
      </c>
      <c r="C2899" t="s">
        <v>38</v>
      </c>
      <c r="D2899" t="s">
        <v>674</v>
      </c>
      <c r="E2899" t="s">
        <v>40</v>
      </c>
      <c r="G2899" s="4">
        <v>43945.505972222222</v>
      </c>
      <c r="H2899" s="4">
        <v>43945.5065625</v>
      </c>
      <c r="I2899" t="s">
        <v>2171</v>
      </c>
      <c r="J2899" s="5">
        <v>51.00000000000000000000000000000000000002</v>
      </c>
      <c r="K2899" t="s">
        <v>38</v>
      </c>
      <c r="M2899">
        <v>57289</v>
      </c>
      <c r="N2899" t="s">
        <v>705</v>
      </c>
      <c r="O2899" t="s">
        <v>706</v>
      </c>
      <c r="P2899" t="s">
        <v>38</v>
      </c>
      <c r="Q2899" t="s">
        <v>238</v>
      </c>
      <c r="R2899">
        <v>9.00000000000000000000000000000000000003</v>
      </c>
      <c r="S2899" t="s">
        <v>45</v>
      </c>
      <c r="T289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899">
        <v>57290</v>
      </c>
      <c r="V2899" t="s">
        <v>38</v>
      </c>
      <c r="W2899" t="s">
        <v>238</v>
      </c>
      <c r="X2899">
        <v>9.00000000000000000000000000000000000003</v>
      </c>
      <c r="Y2899">
        <v>0</v>
      </c>
      <c r="Z2899" t="s">
        <v>46</v>
      </c>
      <c r="AA2899">
        <v>57396</v>
      </c>
      <c r="AB2899" t="s">
        <v>2219</v>
      </c>
      <c r="AC2899" t="s">
        <v>103</v>
      </c>
      <c r="AD2899" t="s">
        <v>38</v>
      </c>
      <c r="AE2899" t="s">
        <v>49</v>
      </c>
      <c r="AF2899" t="s">
        <v>50</v>
      </c>
      <c r="AG2899">
        <v>0</v>
      </c>
      <c r="AH2899">
        <v>0</v>
      </c>
      <c r="AI2899" t="s">
        <v>51</v>
      </c>
      <c r="AJ2899" t="s">
        <v>51</v>
      </c>
      <c r="AK2899" t="s">
        <v>51</v>
      </c>
    </row>
    <row r="2900" spans="1:37" x14ac:dyDescent="0.2">
      <c r="A2900">
        <v>57288</v>
      </c>
      <c r="B2900" t="s">
        <v>37</v>
      </c>
      <c r="C2900" t="s">
        <v>38</v>
      </c>
      <c r="D2900" t="s">
        <v>674</v>
      </c>
      <c r="E2900" t="s">
        <v>40</v>
      </c>
      <c r="G2900" s="4">
        <v>43945.505972222222</v>
      </c>
      <c r="H2900" s="4">
        <v>43945.5065625</v>
      </c>
      <c r="I2900" t="s">
        <v>2171</v>
      </c>
      <c r="J2900" s="5">
        <v>51.00000000000000000000000000000000000002</v>
      </c>
      <c r="K2900" t="s">
        <v>38</v>
      </c>
      <c r="M2900">
        <v>57289</v>
      </c>
      <c r="N2900" t="s">
        <v>705</v>
      </c>
      <c r="O2900" t="s">
        <v>706</v>
      </c>
      <c r="P2900" t="s">
        <v>38</v>
      </c>
      <c r="Q2900" t="s">
        <v>238</v>
      </c>
      <c r="R2900">
        <v>9.00000000000000000000000000000000000003</v>
      </c>
      <c r="S2900" t="s">
        <v>45</v>
      </c>
      <c r="T290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0">
        <v>57290</v>
      </c>
      <c r="V2900" t="s">
        <v>38</v>
      </c>
      <c r="W2900" t="s">
        <v>238</v>
      </c>
      <c r="X2900">
        <v>9.00000000000000000000000000000000000003</v>
      </c>
      <c r="Y2900">
        <v>0</v>
      </c>
      <c r="Z2900" t="s">
        <v>46</v>
      </c>
      <c r="AA2900">
        <v>57395</v>
      </c>
      <c r="AB2900" t="s">
        <v>2220</v>
      </c>
      <c r="AC2900" t="s">
        <v>103</v>
      </c>
      <c r="AD2900" t="s">
        <v>38</v>
      </c>
      <c r="AE2900" t="s">
        <v>49</v>
      </c>
      <c r="AF2900" t="s">
        <v>50</v>
      </c>
      <c r="AG2900">
        <v>0</v>
      </c>
      <c r="AH2900">
        <v>0</v>
      </c>
      <c r="AI2900" t="s">
        <v>51</v>
      </c>
      <c r="AJ2900" t="s">
        <v>51</v>
      </c>
      <c r="AK2900" t="s">
        <v>51</v>
      </c>
    </row>
    <row r="2901" spans="1:37" x14ac:dyDescent="0.2">
      <c r="A2901">
        <v>57288</v>
      </c>
      <c r="B2901" t="s">
        <v>37</v>
      </c>
      <c r="C2901" t="s">
        <v>38</v>
      </c>
      <c r="D2901" t="s">
        <v>674</v>
      </c>
      <c r="E2901" t="s">
        <v>40</v>
      </c>
      <c r="G2901" s="4">
        <v>43945.505972222222</v>
      </c>
      <c r="H2901" s="4">
        <v>43945.5065625</v>
      </c>
      <c r="I2901" t="s">
        <v>2171</v>
      </c>
      <c r="J2901" s="5">
        <v>51.00000000000000000000000000000000000002</v>
      </c>
      <c r="K2901" t="s">
        <v>38</v>
      </c>
      <c r="M2901">
        <v>57289</v>
      </c>
      <c r="N2901" t="s">
        <v>705</v>
      </c>
      <c r="O2901" t="s">
        <v>706</v>
      </c>
      <c r="P2901" t="s">
        <v>38</v>
      </c>
      <c r="Q2901" t="s">
        <v>238</v>
      </c>
      <c r="R2901">
        <v>9.00000000000000000000000000000000000003</v>
      </c>
      <c r="S2901" t="s">
        <v>45</v>
      </c>
      <c r="T290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1">
        <v>57290</v>
      </c>
      <c r="V2901" t="s">
        <v>38</v>
      </c>
      <c r="W2901" t="s">
        <v>238</v>
      </c>
      <c r="X2901">
        <v>9.00000000000000000000000000000000000003</v>
      </c>
      <c r="Y2901">
        <v>0</v>
      </c>
      <c r="Z2901" t="s">
        <v>46</v>
      </c>
      <c r="AA2901">
        <v>57394</v>
      </c>
      <c r="AB2901" t="s">
        <v>2221</v>
      </c>
      <c r="AC2901" t="s">
        <v>103</v>
      </c>
      <c r="AD2901" t="s">
        <v>38</v>
      </c>
      <c r="AE2901" t="s">
        <v>49</v>
      </c>
      <c r="AF2901" t="s">
        <v>50</v>
      </c>
      <c r="AG2901">
        <v>0</v>
      </c>
      <c r="AH2901">
        <v>0</v>
      </c>
      <c r="AI2901" t="s">
        <v>51</v>
      </c>
      <c r="AJ2901" t="s">
        <v>51</v>
      </c>
      <c r="AK2901" t="s">
        <v>51</v>
      </c>
    </row>
    <row r="2902" spans="1:37" x14ac:dyDescent="0.2">
      <c r="A2902">
        <v>57288</v>
      </c>
      <c r="B2902" t="s">
        <v>37</v>
      </c>
      <c r="C2902" t="s">
        <v>38</v>
      </c>
      <c r="D2902" t="s">
        <v>674</v>
      </c>
      <c r="E2902" t="s">
        <v>40</v>
      </c>
      <c r="G2902" s="4">
        <v>43945.505972222222</v>
      </c>
      <c r="H2902" s="4">
        <v>43945.5065625</v>
      </c>
      <c r="I2902" t="s">
        <v>2171</v>
      </c>
      <c r="J2902" s="5">
        <v>51.00000000000000000000000000000000000002</v>
      </c>
      <c r="K2902" t="s">
        <v>38</v>
      </c>
      <c r="M2902">
        <v>57289</v>
      </c>
      <c r="N2902" t="s">
        <v>705</v>
      </c>
      <c r="O2902" t="s">
        <v>706</v>
      </c>
      <c r="P2902" t="s">
        <v>38</v>
      </c>
      <c r="Q2902" t="s">
        <v>238</v>
      </c>
      <c r="R2902">
        <v>9.00000000000000000000000000000000000003</v>
      </c>
      <c r="S2902" t="s">
        <v>45</v>
      </c>
      <c r="T290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2">
        <v>57290</v>
      </c>
      <c r="V2902" t="s">
        <v>38</v>
      </c>
      <c r="W2902" t="s">
        <v>238</v>
      </c>
      <c r="X2902">
        <v>9.00000000000000000000000000000000000003</v>
      </c>
      <c r="Y2902">
        <v>0</v>
      </c>
      <c r="Z2902" t="s">
        <v>46</v>
      </c>
      <c r="AA2902">
        <v>57393</v>
      </c>
      <c r="AB2902" t="s">
        <v>2222</v>
      </c>
      <c r="AC2902" t="s">
        <v>103</v>
      </c>
      <c r="AD2902" t="s">
        <v>38</v>
      </c>
      <c r="AE2902" t="s">
        <v>49</v>
      </c>
      <c r="AF2902" t="s">
        <v>50</v>
      </c>
      <c r="AG2902">
        <v>0</v>
      </c>
      <c r="AH2902">
        <v>0</v>
      </c>
      <c r="AI2902" t="s">
        <v>51</v>
      </c>
      <c r="AJ2902" t="s">
        <v>51</v>
      </c>
      <c r="AK2902" t="s">
        <v>51</v>
      </c>
    </row>
    <row r="2903" spans="1:37" x14ac:dyDescent="0.2">
      <c r="A2903">
        <v>57288</v>
      </c>
      <c r="B2903" t="s">
        <v>37</v>
      </c>
      <c r="C2903" t="s">
        <v>38</v>
      </c>
      <c r="D2903" t="s">
        <v>674</v>
      </c>
      <c r="E2903" t="s">
        <v>40</v>
      </c>
      <c r="G2903" s="4">
        <v>43945.505972222222</v>
      </c>
      <c r="H2903" s="4">
        <v>43945.5065625</v>
      </c>
      <c r="I2903" t="s">
        <v>2171</v>
      </c>
      <c r="J2903" s="5">
        <v>51.00000000000000000000000000000000000002</v>
      </c>
      <c r="K2903" t="s">
        <v>38</v>
      </c>
      <c r="M2903">
        <v>57289</v>
      </c>
      <c r="N2903" t="s">
        <v>705</v>
      </c>
      <c r="O2903" t="s">
        <v>706</v>
      </c>
      <c r="P2903" t="s">
        <v>38</v>
      </c>
      <c r="Q2903" t="s">
        <v>238</v>
      </c>
      <c r="R2903">
        <v>9.00000000000000000000000000000000000003</v>
      </c>
      <c r="S2903" t="s">
        <v>45</v>
      </c>
      <c r="T290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3">
        <v>57290</v>
      </c>
      <c r="V2903" t="s">
        <v>38</v>
      </c>
      <c r="W2903" t="s">
        <v>238</v>
      </c>
      <c r="X2903">
        <v>9.00000000000000000000000000000000000003</v>
      </c>
      <c r="Y2903">
        <v>0</v>
      </c>
      <c r="Z2903" t="s">
        <v>46</v>
      </c>
      <c r="AA2903">
        <v>57392</v>
      </c>
      <c r="AB2903" t="s">
        <v>2223</v>
      </c>
      <c r="AC2903" t="s">
        <v>103</v>
      </c>
      <c r="AD2903" t="s">
        <v>38</v>
      </c>
      <c r="AE2903" t="s">
        <v>49</v>
      </c>
      <c r="AF2903" t="s">
        <v>50</v>
      </c>
      <c r="AG2903">
        <v>0</v>
      </c>
      <c r="AH2903">
        <v>0</v>
      </c>
      <c r="AI2903" t="s">
        <v>51</v>
      </c>
      <c r="AJ2903" t="s">
        <v>51</v>
      </c>
      <c r="AK2903" t="s">
        <v>51</v>
      </c>
    </row>
    <row r="2904" spans="1:37" x14ac:dyDescent="0.2">
      <c r="A2904">
        <v>57288</v>
      </c>
      <c r="B2904" t="s">
        <v>37</v>
      </c>
      <c r="C2904" t="s">
        <v>38</v>
      </c>
      <c r="D2904" t="s">
        <v>674</v>
      </c>
      <c r="E2904" t="s">
        <v>40</v>
      </c>
      <c r="G2904" s="4">
        <v>43945.505972222222</v>
      </c>
      <c r="H2904" s="4">
        <v>43945.5065625</v>
      </c>
      <c r="I2904" t="s">
        <v>2171</v>
      </c>
      <c r="J2904" s="5">
        <v>51.00000000000000000000000000000000000002</v>
      </c>
      <c r="K2904" t="s">
        <v>38</v>
      </c>
      <c r="M2904">
        <v>57289</v>
      </c>
      <c r="N2904" t="s">
        <v>705</v>
      </c>
      <c r="O2904" t="s">
        <v>706</v>
      </c>
      <c r="P2904" t="s">
        <v>38</v>
      </c>
      <c r="Q2904" t="s">
        <v>238</v>
      </c>
      <c r="R2904">
        <v>9.00000000000000000000000000000000000003</v>
      </c>
      <c r="S2904" t="s">
        <v>45</v>
      </c>
      <c r="T290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4">
        <v>57290</v>
      </c>
      <c r="V2904" t="s">
        <v>38</v>
      </c>
      <c r="W2904" t="s">
        <v>238</v>
      </c>
      <c r="X2904">
        <v>9.00000000000000000000000000000000000003</v>
      </c>
      <c r="Y2904">
        <v>0</v>
      </c>
      <c r="Z2904" t="s">
        <v>46</v>
      </c>
      <c r="AA2904">
        <v>57391</v>
      </c>
      <c r="AB2904" t="s">
        <v>2224</v>
      </c>
      <c r="AC2904" t="s">
        <v>103</v>
      </c>
      <c r="AD2904" t="s">
        <v>38</v>
      </c>
      <c r="AE2904" t="s">
        <v>49</v>
      </c>
      <c r="AF2904" t="s">
        <v>50</v>
      </c>
      <c r="AG2904">
        <v>0</v>
      </c>
      <c r="AH2904">
        <v>0</v>
      </c>
      <c r="AI2904" t="s">
        <v>51</v>
      </c>
      <c r="AJ2904" t="s">
        <v>51</v>
      </c>
      <c r="AK2904" t="s">
        <v>51</v>
      </c>
    </row>
    <row r="2905" spans="1:37" x14ac:dyDescent="0.2">
      <c r="A2905">
        <v>57288</v>
      </c>
      <c r="B2905" t="s">
        <v>37</v>
      </c>
      <c r="C2905" t="s">
        <v>38</v>
      </c>
      <c r="D2905" t="s">
        <v>674</v>
      </c>
      <c r="E2905" t="s">
        <v>40</v>
      </c>
      <c r="G2905" s="4">
        <v>43945.505972222222</v>
      </c>
      <c r="H2905" s="4">
        <v>43945.5065625</v>
      </c>
      <c r="I2905" t="s">
        <v>2171</v>
      </c>
      <c r="J2905" s="5">
        <v>51.00000000000000000000000000000000000002</v>
      </c>
      <c r="K2905" t="s">
        <v>38</v>
      </c>
      <c r="M2905">
        <v>57289</v>
      </c>
      <c r="N2905" t="s">
        <v>705</v>
      </c>
      <c r="O2905" t="s">
        <v>706</v>
      </c>
      <c r="P2905" t="s">
        <v>38</v>
      </c>
      <c r="Q2905" t="s">
        <v>238</v>
      </c>
      <c r="R2905">
        <v>9.00000000000000000000000000000000000003</v>
      </c>
      <c r="S2905" t="s">
        <v>45</v>
      </c>
      <c r="T290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5">
        <v>57290</v>
      </c>
      <c r="V2905" t="s">
        <v>38</v>
      </c>
      <c r="W2905" t="s">
        <v>238</v>
      </c>
      <c r="X2905">
        <v>9.00000000000000000000000000000000000003</v>
      </c>
      <c r="Y2905">
        <v>0</v>
      </c>
      <c r="Z2905" t="s">
        <v>46</v>
      </c>
      <c r="AA2905">
        <v>57390</v>
      </c>
      <c r="AB2905" t="s">
        <v>2225</v>
      </c>
      <c r="AC2905" t="s">
        <v>103</v>
      </c>
      <c r="AD2905" t="s">
        <v>38</v>
      </c>
      <c r="AE2905" t="s">
        <v>49</v>
      </c>
      <c r="AF2905" t="s">
        <v>50</v>
      </c>
      <c r="AG2905">
        <v>0</v>
      </c>
      <c r="AH2905">
        <v>0</v>
      </c>
      <c r="AI2905" t="s">
        <v>51</v>
      </c>
      <c r="AJ2905" t="s">
        <v>51</v>
      </c>
      <c r="AK2905" t="s">
        <v>51</v>
      </c>
    </row>
    <row r="2906" spans="1:37" x14ac:dyDescent="0.2">
      <c r="A2906">
        <v>57288</v>
      </c>
      <c r="B2906" t="s">
        <v>37</v>
      </c>
      <c r="C2906" t="s">
        <v>38</v>
      </c>
      <c r="D2906" t="s">
        <v>674</v>
      </c>
      <c r="E2906" t="s">
        <v>40</v>
      </c>
      <c r="G2906" s="4">
        <v>43945.505972222222</v>
      </c>
      <c r="H2906" s="4">
        <v>43945.5065625</v>
      </c>
      <c r="I2906" t="s">
        <v>2171</v>
      </c>
      <c r="J2906" s="5">
        <v>51.00000000000000000000000000000000000002</v>
      </c>
      <c r="K2906" t="s">
        <v>38</v>
      </c>
      <c r="M2906">
        <v>57289</v>
      </c>
      <c r="N2906" t="s">
        <v>705</v>
      </c>
      <c r="O2906" t="s">
        <v>706</v>
      </c>
      <c r="P2906" t="s">
        <v>38</v>
      </c>
      <c r="Q2906" t="s">
        <v>238</v>
      </c>
      <c r="R2906">
        <v>9.00000000000000000000000000000000000003</v>
      </c>
      <c r="S2906" t="s">
        <v>45</v>
      </c>
      <c r="T290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6">
        <v>57290</v>
      </c>
      <c r="V2906" t="s">
        <v>38</v>
      </c>
      <c r="W2906" t="s">
        <v>238</v>
      </c>
      <c r="X2906">
        <v>9.00000000000000000000000000000000000003</v>
      </c>
      <c r="Y2906">
        <v>0</v>
      </c>
      <c r="Z2906" t="s">
        <v>46</v>
      </c>
      <c r="AA2906">
        <v>57389</v>
      </c>
      <c r="AB2906" t="s">
        <v>2226</v>
      </c>
      <c r="AC2906" t="s">
        <v>103</v>
      </c>
      <c r="AD2906" t="s">
        <v>38</v>
      </c>
      <c r="AE2906" t="s">
        <v>49</v>
      </c>
      <c r="AF2906" t="s">
        <v>50</v>
      </c>
      <c r="AG2906">
        <v>0</v>
      </c>
      <c r="AH2906">
        <v>0</v>
      </c>
      <c r="AI2906" t="s">
        <v>51</v>
      </c>
      <c r="AJ2906" t="s">
        <v>51</v>
      </c>
      <c r="AK2906" t="s">
        <v>51</v>
      </c>
    </row>
    <row r="2907" spans="1:37" x14ac:dyDescent="0.2">
      <c r="A2907">
        <v>57288</v>
      </c>
      <c r="B2907" t="s">
        <v>37</v>
      </c>
      <c r="C2907" t="s">
        <v>38</v>
      </c>
      <c r="D2907" t="s">
        <v>674</v>
      </c>
      <c r="E2907" t="s">
        <v>40</v>
      </c>
      <c r="G2907" s="4">
        <v>43945.505972222222</v>
      </c>
      <c r="H2907" s="4">
        <v>43945.5065625</v>
      </c>
      <c r="I2907" t="s">
        <v>2171</v>
      </c>
      <c r="J2907" s="5">
        <v>51.00000000000000000000000000000000000002</v>
      </c>
      <c r="K2907" t="s">
        <v>38</v>
      </c>
      <c r="M2907">
        <v>57289</v>
      </c>
      <c r="N2907" t="s">
        <v>705</v>
      </c>
      <c r="O2907" t="s">
        <v>706</v>
      </c>
      <c r="P2907" t="s">
        <v>38</v>
      </c>
      <c r="Q2907" t="s">
        <v>238</v>
      </c>
      <c r="R2907">
        <v>9.00000000000000000000000000000000000003</v>
      </c>
      <c r="S2907" t="s">
        <v>45</v>
      </c>
      <c r="T290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7">
        <v>57290</v>
      </c>
      <c r="V2907" t="s">
        <v>38</v>
      </c>
      <c r="W2907" t="s">
        <v>238</v>
      </c>
      <c r="X2907">
        <v>9.00000000000000000000000000000000000003</v>
      </c>
      <c r="Y2907">
        <v>0</v>
      </c>
      <c r="Z2907" t="s">
        <v>46</v>
      </c>
      <c r="AA2907">
        <v>57388</v>
      </c>
      <c r="AB2907" t="s">
        <v>2227</v>
      </c>
      <c r="AC2907" t="s">
        <v>103</v>
      </c>
      <c r="AD2907" t="s">
        <v>38</v>
      </c>
      <c r="AE2907" t="s">
        <v>49</v>
      </c>
      <c r="AF2907" t="s">
        <v>50</v>
      </c>
      <c r="AG2907">
        <v>0</v>
      </c>
      <c r="AH2907">
        <v>0</v>
      </c>
      <c r="AI2907" t="s">
        <v>51</v>
      </c>
      <c r="AJ2907" t="s">
        <v>51</v>
      </c>
      <c r="AK2907" t="s">
        <v>51</v>
      </c>
    </row>
    <row r="2908" spans="1:37" x14ac:dyDescent="0.2">
      <c r="A2908">
        <v>57288</v>
      </c>
      <c r="B2908" t="s">
        <v>37</v>
      </c>
      <c r="C2908" t="s">
        <v>38</v>
      </c>
      <c r="D2908" t="s">
        <v>674</v>
      </c>
      <c r="E2908" t="s">
        <v>40</v>
      </c>
      <c r="G2908" s="4">
        <v>43945.505972222222</v>
      </c>
      <c r="H2908" s="4">
        <v>43945.5065625</v>
      </c>
      <c r="I2908" t="s">
        <v>2171</v>
      </c>
      <c r="J2908" s="5">
        <v>51.00000000000000000000000000000000000002</v>
      </c>
      <c r="K2908" t="s">
        <v>38</v>
      </c>
      <c r="M2908">
        <v>57289</v>
      </c>
      <c r="N2908" t="s">
        <v>705</v>
      </c>
      <c r="O2908" t="s">
        <v>706</v>
      </c>
      <c r="P2908" t="s">
        <v>38</v>
      </c>
      <c r="Q2908" t="s">
        <v>238</v>
      </c>
      <c r="R2908">
        <v>9.00000000000000000000000000000000000003</v>
      </c>
      <c r="S2908" t="s">
        <v>45</v>
      </c>
      <c r="T290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8">
        <v>57290</v>
      </c>
      <c r="V2908" t="s">
        <v>38</v>
      </c>
      <c r="W2908" t="s">
        <v>238</v>
      </c>
      <c r="X2908">
        <v>9.00000000000000000000000000000000000003</v>
      </c>
      <c r="Y2908">
        <v>0</v>
      </c>
      <c r="Z2908" t="s">
        <v>46</v>
      </c>
      <c r="AA2908">
        <v>57387</v>
      </c>
      <c r="AB2908" t="s">
        <v>2228</v>
      </c>
      <c r="AC2908" t="s">
        <v>103</v>
      </c>
      <c r="AD2908" t="s">
        <v>38</v>
      </c>
      <c r="AE2908" t="s">
        <v>49</v>
      </c>
      <c r="AF2908" t="s">
        <v>50</v>
      </c>
      <c r="AG2908">
        <v>0</v>
      </c>
      <c r="AH2908">
        <v>0</v>
      </c>
      <c r="AI2908" t="s">
        <v>51</v>
      </c>
      <c r="AJ2908" t="s">
        <v>51</v>
      </c>
      <c r="AK2908" t="s">
        <v>51</v>
      </c>
    </row>
    <row r="2909" spans="1:37" x14ac:dyDescent="0.2">
      <c r="A2909">
        <v>57288</v>
      </c>
      <c r="B2909" t="s">
        <v>37</v>
      </c>
      <c r="C2909" t="s">
        <v>38</v>
      </c>
      <c r="D2909" t="s">
        <v>674</v>
      </c>
      <c r="E2909" t="s">
        <v>40</v>
      </c>
      <c r="G2909" s="4">
        <v>43945.505972222222</v>
      </c>
      <c r="H2909" s="4">
        <v>43945.5065625</v>
      </c>
      <c r="I2909" t="s">
        <v>2171</v>
      </c>
      <c r="J2909" s="5">
        <v>51.00000000000000000000000000000000000002</v>
      </c>
      <c r="K2909" t="s">
        <v>38</v>
      </c>
      <c r="M2909">
        <v>57289</v>
      </c>
      <c r="N2909" t="s">
        <v>705</v>
      </c>
      <c r="O2909" t="s">
        <v>706</v>
      </c>
      <c r="P2909" t="s">
        <v>38</v>
      </c>
      <c r="Q2909" t="s">
        <v>238</v>
      </c>
      <c r="R2909">
        <v>9.00000000000000000000000000000000000003</v>
      </c>
      <c r="S2909" t="s">
        <v>45</v>
      </c>
      <c r="T290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09">
        <v>57290</v>
      </c>
      <c r="V2909" t="s">
        <v>38</v>
      </c>
      <c r="W2909" t="s">
        <v>238</v>
      </c>
      <c r="X2909">
        <v>9.00000000000000000000000000000000000003</v>
      </c>
      <c r="Y2909">
        <v>0</v>
      </c>
      <c r="Z2909" t="s">
        <v>46</v>
      </c>
      <c r="AA2909">
        <v>57386</v>
      </c>
      <c r="AB2909" t="s">
        <v>2229</v>
      </c>
      <c r="AC2909" t="s">
        <v>103</v>
      </c>
      <c r="AD2909" t="s">
        <v>38</v>
      </c>
      <c r="AE2909" t="s">
        <v>49</v>
      </c>
      <c r="AF2909" t="s">
        <v>50</v>
      </c>
      <c r="AG2909">
        <v>0</v>
      </c>
      <c r="AH2909">
        <v>0</v>
      </c>
      <c r="AI2909" t="s">
        <v>51</v>
      </c>
      <c r="AJ2909" t="s">
        <v>51</v>
      </c>
      <c r="AK2909" t="s">
        <v>51</v>
      </c>
    </row>
    <row r="2910" spans="1:37" x14ac:dyDescent="0.2">
      <c r="A2910">
        <v>57288</v>
      </c>
      <c r="B2910" t="s">
        <v>37</v>
      </c>
      <c r="C2910" t="s">
        <v>38</v>
      </c>
      <c r="D2910" t="s">
        <v>674</v>
      </c>
      <c r="E2910" t="s">
        <v>40</v>
      </c>
      <c r="G2910" s="4">
        <v>43945.505972222222</v>
      </c>
      <c r="H2910" s="4">
        <v>43945.5065625</v>
      </c>
      <c r="I2910" t="s">
        <v>2171</v>
      </c>
      <c r="J2910" s="5">
        <v>51.00000000000000000000000000000000000002</v>
      </c>
      <c r="K2910" t="s">
        <v>38</v>
      </c>
      <c r="M2910">
        <v>57289</v>
      </c>
      <c r="N2910" t="s">
        <v>705</v>
      </c>
      <c r="O2910" t="s">
        <v>706</v>
      </c>
      <c r="P2910" t="s">
        <v>38</v>
      </c>
      <c r="Q2910" t="s">
        <v>238</v>
      </c>
      <c r="R2910">
        <v>9.00000000000000000000000000000000000003</v>
      </c>
      <c r="S2910" t="s">
        <v>45</v>
      </c>
      <c r="T291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0">
        <v>57290</v>
      </c>
      <c r="V2910" t="s">
        <v>38</v>
      </c>
      <c r="W2910" t="s">
        <v>238</v>
      </c>
      <c r="X2910">
        <v>9.00000000000000000000000000000000000003</v>
      </c>
      <c r="Y2910">
        <v>0</v>
      </c>
      <c r="Z2910" t="s">
        <v>46</v>
      </c>
      <c r="AA2910">
        <v>57385</v>
      </c>
      <c r="AB2910" t="s">
        <v>2230</v>
      </c>
      <c r="AC2910" t="s">
        <v>103</v>
      </c>
      <c r="AD2910" t="s">
        <v>38</v>
      </c>
      <c r="AE2910" t="s">
        <v>49</v>
      </c>
      <c r="AF2910" t="s">
        <v>50</v>
      </c>
      <c r="AG2910">
        <v>0</v>
      </c>
      <c r="AH2910">
        <v>0</v>
      </c>
      <c r="AI2910" t="s">
        <v>51</v>
      </c>
      <c r="AJ2910" t="s">
        <v>51</v>
      </c>
      <c r="AK2910" t="s">
        <v>51</v>
      </c>
    </row>
    <row r="2911" spans="1:37" x14ac:dyDescent="0.2">
      <c r="A2911">
        <v>57288</v>
      </c>
      <c r="B2911" t="s">
        <v>37</v>
      </c>
      <c r="C2911" t="s">
        <v>38</v>
      </c>
      <c r="D2911" t="s">
        <v>674</v>
      </c>
      <c r="E2911" t="s">
        <v>40</v>
      </c>
      <c r="G2911" s="4">
        <v>43945.505972222222</v>
      </c>
      <c r="H2911" s="4">
        <v>43945.5065625</v>
      </c>
      <c r="I2911" t="s">
        <v>2171</v>
      </c>
      <c r="J2911" s="5">
        <v>51.00000000000000000000000000000000000002</v>
      </c>
      <c r="K2911" t="s">
        <v>38</v>
      </c>
      <c r="M2911">
        <v>57289</v>
      </c>
      <c r="N2911" t="s">
        <v>705</v>
      </c>
      <c r="O2911" t="s">
        <v>706</v>
      </c>
      <c r="P2911" t="s">
        <v>38</v>
      </c>
      <c r="Q2911" t="s">
        <v>238</v>
      </c>
      <c r="R2911">
        <v>9.00000000000000000000000000000000000003</v>
      </c>
      <c r="S2911" t="s">
        <v>45</v>
      </c>
      <c r="T291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1">
        <v>57290</v>
      </c>
      <c r="V2911" t="s">
        <v>38</v>
      </c>
      <c r="W2911" t="s">
        <v>238</v>
      </c>
      <c r="X2911">
        <v>9.00000000000000000000000000000000000003</v>
      </c>
      <c r="Y2911">
        <v>0</v>
      </c>
      <c r="Z2911" t="s">
        <v>46</v>
      </c>
      <c r="AA2911">
        <v>57384</v>
      </c>
      <c r="AB2911" t="s">
        <v>2231</v>
      </c>
      <c r="AC2911" t="s">
        <v>103</v>
      </c>
      <c r="AD2911" t="s">
        <v>38</v>
      </c>
      <c r="AE2911" t="s">
        <v>49</v>
      </c>
      <c r="AF2911" t="s">
        <v>50</v>
      </c>
      <c r="AG2911">
        <v>0</v>
      </c>
      <c r="AH2911">
        <v>0</v>
      </c>
      <c r="AI2911" t="s">
        <v>51</v>
      </c>
      <c r="AJ2911" t="s">
        <v>51</v>
      </c>
      <c r="AK2911" t="s">
        <v>51</v>
      </c>
    </row>
    <row r="2912" spans="1:37" x14ac:dyDescent="0.2">
      <c r="A2912">
        <v>57288</v>
      </c>
      <c r="B2912" t="s">
        <v>37</v>
      </c>
      <c r="C2912" t="s">
        <v>38</v>
      </c>
      <c r="D2912" t="s">
        <v>674</v>
      </c>
      <c r="E2912" t="s">
        <v>40</v>
      </c>
      <c r="G2912" s="4">
        <v>43945.505972222222</v>
      </c>
      <c r="H2912" s="4">
        <v>43945.5065625</v>
      </c>
      <c r="I2912" t="s">
        <v>2171</v>
      </c>
      <c r="J2912" s="5">
        <v>51.00000000000000000000000000000000000002</v>
      </c>
      <c r="K2912" t="s">
        <v>38</v>
      </c>
      <c r="M2912">
        <v>57289</v>
      </c>
      <c r="N2912" t="s">
        <v>705</v>
      </c>
      <c r="O2912" t="s">
        <v>706</v>
      </c>
      <c r="P2912" t="s">
        <v>38</v>
      </c>
      <c r="Q2912" t="s">
        <v>238</v>
      </c>
      <c r="R2912">
        <v>9.00000000000000000000000000000000000003</v>
      </c>
      <c r="S2912" t="s">
        <v>45</v>
      </c>
      <c r="T291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2">
        <v>57290</v>
      </c>
      <c r="V2912" t="s">
        <v>38</v>
      </c>
      <c r="W2912" t="s">
        <v>238</v>
      </c>
      <c r="X2912">
        <v>9.00000000000000000000000000000000000003</v>
      </c>
      <c r="Y2912">
        <v>0</v>
      </c>
      <c r="Z2912" t="s">
        <v>46</v>
      </c>
      <c r="AA2912">
        <v>57383</v>
      </c>
      <c r="AB2912" t="s">
        <v>2232</v>
      </c>
      <c r="AC2912" t="s">
        <v>103</v>
      </c>
      <c r="AD2912" t="s">
        <v>38</v>
      </c>
      <c r="AE2912" t="s">
        <v>49</v>
      </c>
      <c r="AF2912" t="s">
        <v>50</v>
      </c>
      <c r="AG2912">
        <v>0</v>
      </c>
      <c r="AH2912">
        <v>0</v>
      </c>
      <c r="AI2912" t="s">
        <v>51</v>
      </c>
      <c r="AJ2912" t="s">
        <v>51</v>
      </c>
      <c r="AK2912" t="s">
        <v>51</v>
      </c>
    </row>
    <row r="2913" spans="1:37" x14ac:dyDescent="0.2">
      <c r="A2913">
        <v>57288</v>
      </c>
      <c r="B2913" t="s">
        <v>37</v>
      </c>
      <c r="C2913" t="s">
        <v>38</v>
      </c>
      <c r="D2913" t="s">
        <v>674</v>
      </c>
      <c r="E2913" t="s">
        <v>40</v>
      </c>
      <c r="G2913" s="4">
        <v>43945.505972222222</v>
      </c>
      <c r="H2913" s="4">
        <v>43945.5065625</v>
      </c>
      <c r="I2913" t="s">
        <v>2171</v>
      </c>
      <c r="J2913" s="5">
        <v>51.00000000000000000000000000000000000002</v>
      </c>
      <c r="K2913" t="s">
        <v>38</v>
      </c>
      <c r="M2913">
        <v>57289</v>
      </c>
      <c r="N2913" t="s">
        <v>705</v>
      </c>
      <c r="O2913" t="s">
        <v>706</v>
      </c>
      <c r="P2913" t="s">
        <v>38</v>
      </c>
      <c r="Q2913" t="s">
        <v>238</v>
      </c>
      <c r="R2913">
        <v>9.00000000000000000000000000000000000003</v>
      </c>
      <c r="S2913" t="s">
        <v>45</v>
      </c>
      <c r="T291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3">
        <v>57290</v>
      </c>
      <c r="V2913" t="s">
        <v>38</v>
      </c>
      <c r="W2913" t="s">
        <v>238</v>
      </c>
      <c r="X2913">
        <v>9.00000000000000000000000000000000000003</v>
      </c>
      <c r="Y2913">
        <v>0</v>
      </c>
      <c r="Z2913" t="s">
        <v>46</v>
      </c>
      <c r="AA2913">
        <v>57382</v>
      </c>
      <c r="AB2913" t="s">
        <v>2233</v>
      </c>
      <c r="AC2913" t="s">
        <v>103</v>
      </c>
      <c r="AD2913" t="s">
        <v>38</v>
      </c>
      <c r="AE2913" t="s">
        <v>49</v>
      </c>
      <c r="AF2913" t="s">
        <v>50</v>
      </c>
      <c r="AG2913">
        <v>0</v>
      </c>
      <c r="AH2913">
        <v>0</v>
      </c>
      <c r="AI2913" t="s">
        <v>51</v>
      </c>
      <c r="AJ2913" t="s">
        <v>51</v>
      </c>
      <c r="AK2913" t="s">
        <v>51</v>
      </c>
    </row>
    <row r="2914" spans="1:37" x14ac:dyDescent="0.2">
      <c r="A2914">
        <v>57288</v>
      </c>
      <c r="B2914" t="s">
        <v>37</v>
      </c>
      <c r="C2914" t="s">
        <v>38</v>
      </c>
      <c r="D2914" t="s">
        <v>674</v>
      </c>
      <c r="E2914" t="s">
        <v>40</v>
      </c>
      <c r="G2914" s="4">
        <v>43945.505972222222</v>
      </c>
      <c r="H2914" s="4">
        <v>43945.5065625</v>
      </c>
      <c r="I2914" t="s">
        <v>2171</v>
      </c>
      <c r="J2914" s="5">
        <v>51.00000000000000000000000000000000000002</v>
      </c>
      <c r="K2914" t="s">
        <v>38</v>
      </c>
      <c r="M2914">
        <v>57289</v>
      </c>
      <c r="N2914" t="s">
        <v>705</v>
      </c>
      <c r="O2914" t="s">
        <v>706</v>
      </c>
      <c r="P2914" t="s">
        <v>38</v>
      </c>
      <c r="Q2914" t="s">
        <v>238</v>
      </c>
      <c r="R2914">
        <v>9.00000000000000000000000000000000000003</v>
      </c>
      <c r="S2914" t="s">
        <v>45</v>
      </c>
      <c r="T291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4">
        <v>57290</v>
      </c>
      <c r="V2914" t="s">
        <v>38</v>
      </c>
      <c r="W2914" t="s">
        <v>238</v>
      </c>
      <c r="X2914">
        <v>9.00000000000000000000000000000000000003</v>
      </c>
      <c r="Y2914">
        <v>0</v>
      </c>
      <c r="Z2914" t="s">
        <v>46</v>
      </c>
      <c r="AA2914">
        <v>57381</v>
      </c>
      <c r="AB2914" t="s">
        <v>2234</v>
      </c>
      <c r="AC2914" t="s">
        <v>103</v>
      </c>
      <c r="AD2914" t="s">
        <v>38</v>
      </c>
      <c r="AE2914" t="s">
        <v>49</v>
      </c>
      <c r="AF2914" t="s">
        <v>50</v>
      </c>
      <c r="AG2914">
        <v>0</v>
      </c>
      <c r="AH2914">
        <v>0</v>
      </c>
      <c r="AI2914" t="s">
        <v>51</v>
      </c>
      <c r="AJ2914" t="s">
        <v>51</v>
      </c>
      <c r="AK2914" t="s">
        <v>51</v>
      </c>
    </row>
    <row r="2915" spans="1:37" x14ac:dyDescent="0.2">
      <c r="A2915">
        <v>57288</v>
      </c>
      <c r="B2915" t="s">
        <v>37</v>
      </c>
      <c r="C2915" t="s">
        <v>38</v>
      </c>
      <c r="D2915" t="s">
        <v>674</v>
      </c>
      <c r="E2915" t="s">
        <v>40</v>
      </c>
      <c r="G2915" s="4">
        <v>43945.505972222222</v>
      </c>
      <c r="H2915" s="4">
        <v>43945.5065625</v>
      </c>
      <c r="I2915" t="s">
        <v>2171</v>
      </c>
      <c r="J2915" s="5">
        <v>51.00000000000000000000000000000000000002</v>
      </c>
      <c r="K2915" t="s">
        <v>38</v>
      </c>
      <c r="M2915">
        <v>57289</v>
      </c>
      <c r="N2915" t="s">
        <v>705</v>
      </c>
      <c r="O2915" t="s">
        <v>706</v>
      </c>
      <c r="P2915" t="s">
        <v>38</v>
      </c>
      <c r="Q2915" t="s">
        <v>238</v>
      </c>
      <c r="R2915">
        <v>9.00000000000000000000000000000000000003</v>
      </c>
      <c r="S2915" t="s">
        <v>45</v>
      </c>
      <c r="T291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5">
        <v>57290</v>
      </c>
      <c r="V2915" t="s">
        <v>38</v>
      </c>
      <c r="W2915" t="s">
        <v>238</v>
      </c>
      <c r="X2915">
        <v>9.00000000000000000000000000000000000003</v>
      </c>
      <c r="Y2915">
        <v>0</v>
      </c>
      <c r="Z2915" t="s">
        <v>46</v>
      </c>
      <c r="AA2915">
        <v>57380</v>
      </c>
      <c r="AB2915" t="s">
        <v>2235</v>
      </c>
      <c r="AC2915" t="s">
        <v>103</v>
      </c>
      <c r="AD2915" t="s">
        <v>38</v>
      </c>
      <c r="AE2915" t="s">
        <v>49</v>
      </c>
      <c r="AF2915" t="s">
        <v>50</v>
      </c>
      <c r="AG2915">
        <v>0</v>
      </c>
      <c r="AH2915">
        <v>0</v>
      </c>
      <c r="AI2915" t="s">
        <v>51</v>
      </c>
      <c r="AJ2915" t="s">
        <v>51</v>
      </c>
      <c r="AK2915" t="s">
        <v>51</v>
      </c>
    </row>
    <row r="2916" spans="1:37" x14ac:dyDescent="0.2">
      <c r="A2916">
        <v>57288</v>
      </c>
      <c r="B2916" t="s">
        <v>37</v>
      </c>
      <c r="C2916" t="s">
        <v>38</v>
      </c>
      <c r="D2916" t="s">
        <v>674</v>
      </c>
      <c r="E2916" t="s">
        <v>40</v>
      </c>
      <c r="G2916" s="4">
        <v>43945.505972222222</v>
      </c>
      <c r="H2916" s="4">
        <v>43945.5065625</v>
      </c>
      <c r="I2916" t="s">
        <v>2171</v>
      </c>
      <c r="J2916" s="5">
        <v>51.00000000000000000000000000000000000002</v>
      </c>
      <c r="K2916" t="s">
        <v>38</v>
      </c>
      <c r="M2916">
        <v>57289</v>
      </c>
      <c r="N2916" t="s">
        <v>705</v>
      </c>
      <c r="O2916" t="s">
        <v>706</v>
      </c>
      <c r="P2916" t="s">
        <v>38</v>
      </c>
      <c r="Q2916" t="s">
        <v>238</v>
      </c>
      <c r="R2916">
        <v>9.00000000000000000000000000000000000003</v>
      </c>
      <c r="S2916" t="s">
        <v>45</v>
      </c>
      <c r="T291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6">
        <v>57290</v>
      </c>
      <c r="V2916" t="s">
        <v>38</v>
      </c>
      <c r="W2916" t="s">
        <v>238</v>
      </c>
      <c r="X2916">
        <v>9.00000000000000000000000000000000000003</v>
      </c>
      <c r="Y2916">
        <v>0</v>
      </c>
      <c r="Z2916" t="s">
        <v>46</v>
      </c>
      <c r="AA2916">
        <v>57379</v>
      </c>
      <c r="AB2916" t="s">
        <v>2236</v>
      </c>
      <c r="AC2916" t="s">
        <v>103</v>
      </c>
      <c r="AD2916" t="s">
        <v>38</v>
      </c>
      <c r="AE2916" t="s">
        <v>49</v>
      </c>
      <c r="AF2916" t="s">
        <v>50</v>
      </c>
      <c r="AG2916">
        <v>0</v>
      </c>
      <c r="AH2916">
        <v>0</v>
      </c>
      <c r="AI2916" t="s">
        <v>51</v>
      </c>
      <c r="AJ2916" t="s">
        <v>51</v>
      </c>
      <c r="AK2916" t="s">
        <v>51</v>
      </c>
    </row>
    <row r="2917" spans="1:37" x14ac:dyDescent="0.2">
      <c r="A2917">
        <v>57288</v>
      </c>
      <c r="B2917" t="s">
        <v>37</v>
      </c>
      <c r="C2917" t="s">
        <v>38</v>
      </c>
      <c r="D2917" t="s">
        <v>674</v>
      </c>
      <c r="E2917" t="s">
        <v>40</v>
      </c>
      <c r="G2917" s="4">
        <v>43945.505972222222</v>
      </c>
      <c r="H2917" s="4">
        <v>43945.5065625</v>
      </c>
      <c r="I2917" t="s">
        <v>2171</v>
      </c>
      <c r="J2917" s="5">
        <v>51.00000000000000000000000000000000000002</v>
      </c>
      <c r="K2917" t="s">
        <v>38</v>
      </c>
      <c r="M2917">
        <v>57289</v>
      </c>
      <c r="N2917" t="s">
        <v>705</v>
      </c>
      <c r="O2917" t="s">
        <v>706</v>
      </c>
      <c r="P2917" t="s">
        <v>38</v>
      </c>
      <c r="Q2917" t="s">
        <v>238</v>
      </c>
      <c r="R2917">
        <v>9.00000000000000000000000000000000000003</v>
      </c>
      <c r="S2917" t="s">
        <v>45</v>
      </c>
      <c r="T291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7">
        <v>57290</v>
      </c>
      <c r="V2917" t="s">
        <v>38</v>
      </c>
      <c r="W2917" t="s">
        <v>238</v>
      </c>
      <c r="X2917">
        <v>9.00000000000000000000000000000000000003</v>
      </c>
      <c r="Y2917">
        <v>0</v>
      </c>
      <c r="Z2917" t="s">
        <v>46</v>
      </c>
      <c r="AA2917">
        <v>57378</v>
      </c>
      <c r="AB2917" t="s">
        <v>2237</v>
      </c>
      <c r="AC2917" t="s">
        <v>103</v>
      </c>
      <c r="AD2917" t="s">
        <v>38</v>
      </c>
      <c r="AE2917" t="s">
        <v>49</v>
      </c>
      <c r="AF2917" t="s">
        <v>50</v>
      </c>
      <c r="AG2917">
        <v>0</v>
      </c>
      <c r="AH2917">
        <v>0</v>
      </c>
      <c r="AI2917" t="s">
        <v>51</v>
      </c>
      <c r="AJ2917" t="s">
        <v>51</v>
      </c>
      <c r="AK2917" t="s">
        <v>51</v>
      </c>
    </row>
    <row r="2918" spans="1:37" x14ac:dyDescent="0.2">
      <c r="A2918">
        <v>57288</v>
      </c>
      <c r="B2918" t="s">
        <v>37</v>
      </c>
      <c r="C2918" t="s">
        <v>38</v>
      </c>
      <c r="D2918" t="s">
        <v>674</v>
      </c>
      <c r="E2918" t="s">
        <v>40</v>
      </c>
      <c r="G2918" s="4">
        <v>43945.505972222222</v>
      </c>
      <c r="H2918" s="4">
        <v>43945.5065625</v>
      </c>
      <c r="I2918" t="s">
        <v>2171</v>
      </c>
      <c r="J2918" s="5">
        <v>51.00000000000000000000000000000000000002</v>
      </c>
      <c r="K2918" t="s">
        <v>38</v>
      </c>
      <c r="M2918">
        <v>57289</v>
      </c>
      <c r="N2918" t="s">
        <v>705</v>
      </c>
      <c r="O2918" t="s">
        <v>706</v>
      </c>
      <c r="P2918" t="s">
        <v>38</v>
      </c>
      <c r="Q2918" t="s">
        <v>238</v>
      </c>
      <c r="R2918">
        <v>9.00000000000000000000000000000000000003</v>
      </c>
      <c r="S2918" t="s">
        <v>45</v>
      </c>
      <c r="T291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8">
        <v>57290</v>
      </c>
      <c r="V2918" t="s">
        <v>38</v>
      </c>
      <c r="W2918" t="s">
        <v>238</v>
      </c>
      <c r="X2918">
        <v>9.00000000000000000000000000000000000003</v>
      </c>
      <c r="Y2918">
        <v>0</v>
      </c>
      <c r="Z2918" t="s">
        <v>46</v>
      </c>
      <c r="AA2918">
        <v>57377</v>
      </c>
      <c r="AB2918" t="s">
        <v>2238</v>
      </c>
      <c r="AC2918" t="s">
        <v>103</v>
      </c>
      <c r="AD2918" t="s">
        <v>38</v>
      </c>
      <c r="AE2918" t="s">
        <v>49</v>
      </c>
      <c r="AF2918" t="s">
        <v>50</v>
      </c>
      <c r="AG2918">
        <v>0</v>
      </c>
      <c r="AH2918">
        <v>0</v>
      </c>
      <c r="AI2918" t="s">
        <v>51</v>
      </c>
      <c r="AJ2918" t="s">
        <v>51</v>
      </c>
      <c r="AK2918" t="s">
        <v>51</v>
      </c>
    </row>
    <row r="2919" spans="1:37" x14ac:dyDescent="0.2">
      <c r="A2919">
        <v>57288</v>
      </c>
      <c r="B2919" t="s">
        <v>37</v>
      </c>
      <c r="C2919" t="s">
        <v>38</v>
      </c>
      <c r="D2919" t="s">
        <v>674</v>
      </c>
      <c r="E2919" t="s">
        <v>40</v>
      </c>
      <c r="G2919" s="4">
        <v>43945.505972222222</v>
      </c>
      <c r="H2919" s="4">
        <v>43945.5065625</v>
      </c>
      <c r="I2919" t="s">
        <v>2171</v>
      </c>
      <c r="J2919" s="5">
        <v>51.00000000000000000000000000000000000002</v>
      </c>
      <c r="K2919" t="s">
        <v>38</v>
      </c>
      <c r="M2919">
        <v>57289</v>
      </c>
      <c r="N2919" t="s">
        <v>705</v>
      </c>
      <c r="O2919" t="s">
        <v>706</v>
      </c>
      <c r="P2919" t="s">
        <v>38</v>
      </c>
      <c r="Q2919" t="s">
        <v>238</v>
      </c>
      <c r="R2919">
        <v>9.00000000000000000000000000000000000003</v>
      </c>
      <c r="S2919" t="s">
        <v>45</v>
      </c>
      <c r="T291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19">
        <v>57290</v>
      </c>
      <c r="V2919" t="s">
        <v>38</v>
      </c>
      <c r="W2919" t="s">
        <v>238</v>
      </c>
      <c r="X2919">
        <v>9.00000000000000000000000000000000000003</v>
      </c>
      <c r="Y2919">
        <v>0</v>
      </c>
      <c r="Z2919" t="s">
        <v>46</v>
      </c>
      <c r="AA2919">
        <v>57376</v>
      </c>
      <c r="AB2919" t="s">
        <v>2239</v>
      </c>
      <c r="AC2919" t="s">
        <v>103</v>
      </c>
      <c r="AD2919" t="s">
        <v>38</v>
      </c>
      <c r="AE2919" t="s">
        <v>49</v>
      </c>
      <c r="AF2919" t="s">
        <v>50</v>
      </c>
      <c r="AG2919">
        <v>0</v>
      </c>
      <c r="AH2919">
        <v>0</v>
      </c>
      <c r="AI2919" t="s">
        <v>51</v>
      </c>
      <c r="AJ2919" t="s">
        <v>51</v>
      </c>
      <c r="AK2919" t="s">
        <v>51</v>
      </c>
    </row>
    <row r="2920" spans="1:37" x14ac:dyDescent="0.2">
      <c r="A2920">
        <v>57288</v>
      </c>
      <c r="B2920" t="s">
        <v>37</v>
      </c>
      <c r="C2920" t="s">
        <v>38</v>
      </c>
      <c r="D2920" t="s">
        <v>674</v>
      </c>
      <c r="E2920" t="s">
        <v>40</v>
      </c>
      <c r="G2920" s="4">
        <v>43945.505972222222</v>
      </c>
      <c r="H2920" s="4">
        <v>43945.5065625</v>
      </c>
      <c r="I2920" t="s">
        <v>2171</v>
      </c>
      <c r="J2920" s="5">
        <v>51.00000000000000000000000000000000000002</v>
      </c>
      <c r="K2920" t="s">
        <v>38</v>
      </c>
      <c r="M2920">
        <v>57289</v>
      </c>
      <c r="N2920" t="s">
        <v>705</v>
      </c>
      <c r="O2920" t="s">
        <v>706</v>
      </c>
      <c r="P2920" t="s">
        <v>38</v>
      </c>
      <c r="Q2920" t="s">
        <v>238</v>
      </c>
      <c r="R2920">
        <v>9.00000000000000000000000000000000000003</v>
      </c>
      <c r="S2920" t="s">
        <v>45</v>
      </c>
      <c r="T292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0">
        <v>57290</v>
      </c>
      <c r="V2920" t="s">
        <v>38</v>
      </c>
      <c r="W2920" t="s">
        <v>238</v>
      </c>
      <c r="X2920">
        <v>9.00000000000000000000000000000000000003</v>
      </c>
      <c r="Y2920">
        <v>0</v>
      </c>
      <c r="Z2920" t="s">
        <v>46</v>
      </c>
      <c r="AA2920">
        <v>57375</v>
      </c>
      <c r="AB2920" t="s">
        <v>2240</v>
      </c>
      <c r="AC2920" t="s">
        <v>103</v>
      </c>
      <c r="AD2920" t="s">
        <v>38</v>
      </c>
      <c r="AE2920" t="s">
        <v>49</v>
      </c>
      <c r="AF2920" t="s">
        <v>50</v>
      </c>
      <c r="AG2920">
        <v>0</v>
      </c>
      <c r="AH2920">
        <v>0</v>
      </c>
      <c r="AI2920" t="s">
        <v>51</v>
      </c>
      <c r="AJ2920" t="s">
        <v>51</v>
      </c>
      <c r="AK2920" t="s">
        <v>51</v>
      </c>
    </row>
    <row r="2921" spans="1:37" x14ac:dyDescent="0.2">
      <c r="A2921">
        <v>57288</v>
      </c>
      <c r="B2921" t="s">
        <v>37</v>
      </c>
      <c r="C2921" t="s">
        <v>38</v>
      </c>
      <c r="D2921" t="s">
        <v>674</v>
      </c>
      <c r="E2921" t="s">
        <v>40</v>
      </c>
      <c r="G2921" s="4">
        <v>43945.505972222222</v>
      </c>
      <c r="H2921" s="4">
        <v>43945.5065625</v>
      </c>
      <c r="I2921" t="s">
        <v>2171</v>
      </c>
      <c r="J2921" s="5">
        <v>51.00000000000000000000000000000000000002</v>
      </c>
      <c r="K2921" t="s">
        <v>38</v>
      </c>
      <c r="M2921">
        <v>57289</v>
      </c>
      <c r="N2921" t="s">
        <v>705</v>
      </c>
      <c r="O2921" t="s">
        <v>706</v>
      </c>
      <c r="P2921" t="s">
        <v>38</v>
      </c>
      <c r="Q2921" t="s">
        <v>238</v>
      </c>
      <c r="R2921">
        <v>9.00000000000000000000000000000000000003</v>
      </c>
      <c r="S2921" t="s">
        <v>45</v>
      </c>
      <c r="T292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1">
        <v>57290</v>
      </c>
      <c r="V2921" t="s">
        <v>38</v>
      </c>
      <c r="W2921" t="s">
        <v>238</v>
      </c>
      <c r="X2921">
        <v>9.00000000000000000000000000000000000003</v>
      </c>
      <c r="Y2921">
        <v>0</v>
      </c>
      <c r="Z2921" t="s">
        <v>46</v>
      </c>
      <c r="AA2921">
        <v>57374</v>
      </c>
      <c r="AB2921" t="s">
        <v>2241</v>
      </c>
      <c r="AC2921" t="s">
        <v>103</v>
      </c>
      <c r="AD2921" t="s">
        <v>38</v>
      </c>
      <c r="AE2921" t="s">
        <v>49</v>
      </c>
      <c r="AF2921" t="s">
        <v>50</v>
      </c>
      <c r="AG2921">
        <v>0</v>
      </c>
      <c r="AH2921">
        <v>0</v>
      </c>
      <c r="AI2921" t="s">
        <v>51</v>
      </c>
      <c r="AJ2921" t="s">
        <v>51</v>
      </c>
      <c r="AK2921" t="s">
        <v>51</v>
      </c>
    </row>
    <row r="2922" spans="1:37" x14ac:dyDescent="0.2">
      <c r="A2922">
        <v>57288</v>
      </c>
      <c r="B2922" t="s">
        <v>37</v>
      </c>
      <c r="C2922" t="s">
        <v>38</v>
      </c>
      <c r="D2922" t="s">
        <v>674</v>
      </c>
      <c r="E2922" t="s">
        <v>40</v>
      </c>
      <c r="G2922" s="4">
        <v>43945.505972222222</v>
      </c>
      <c r="H2922" s="4">
        <v>43945.5065625</v>
      </c>
      <c r="I2922" t="s">
        <v>2171</v>
      </c>
      <c r="J2922" s="5">
        <v>51.00000000000000000000000000000000000002</v>
      </c>
      <c r="K2922" t="s">
        <v>38</v>
      </c>
      <c r="M2922">
        <v>57289</v>
      </c>
      <c r="N2922" t="s">
        <v>705</v>
      </c>
      <c r="O2922" t="s">
        <v>706</v>
      </c>
      <c r="P2922" t="s">
        <v>38</v>
      </c>
      <c r="Q2922" t="s">
        <v>238</v>
      </c>
      <c r="R2922">
        <v>9.00000000000000000000000000000000000003</v>
      </c>
      <c r="S2922" t="s">
        <v>45</v>
      </c>
      <c r="T292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2">
        <v>57290</v>
      </c>
      <c r="V2922" t="s">
        <v>38</v>
      </c>
      <c r="W2922" t="s">
        <v>238</v>
      </c>
      <c r="X2922">
        <v>9.00000000000000000000000000000000000003</v>
      </c>
      <c r="Y2922">
        <v>0</v>
      </c>
      <c r="Z2922" t="s">
        <v>46</v>
      </c>
      <c r="AA2922">
        <v>57373</v>
      </c>
      <c r="AB2922" t="s">
        <v>2242</v>
      </c>
      <c r="AC2922" t="s">
        <v>103</v>
      </c>
      <c r="AD2922" t="s">
        <v>38</v>
      </c>
      <c r="AE2922" t="s">
        <v>49</v>
      </c>
      <c r="AF2922" t="s">
        <v>50</v>
      </c>
      <c r="AG2922">
        <v>0</v>
      </c>
      <c r="AH2922">
        <v>0</v>
      </c>
      <c r="AI2922" t="s">
        <v>51</v>
      </c>
      <c r="AJ2922" t="s">
        <v>51</v>
      </c>
      <c r="AK2922" t="s">
        <v>51</v>
      </c>
    </row>
    <row r="2923" spans="1:37" x14ac:dyDescent="0.2">
      <c r="A2923">
        <v>57288</v>
      </c>
      <c r="B2923" t="s">
        <v>37</v>
      </c>
      <c r="C2923" t="s">
        <v>38</v>
      </c>
      <c r="D2923" t="s">
        <v>674</v>
      </c>
      <c r="E2923" t="s">
        <v>40</v>
      </c>
      <c r="G2923" s="4">
        <v>43945.505972222222</v>
      </c>
      <c r="H2923" s="4">
        <v>43945.5065625</v>
      </c>
      <c r="I2923" t="s">
        <v>2171</v>
      </c>
      <c r="J2923" s="5">
        <v>51.00000000000000000000000000000000000002</v>
      </c>
      <c r="K2923" t="s">
        <v>38</v>
      </c>
      <c r="M2923">
        <v>57289</v>
      </c>
      <c r="N2923" t="s">
        <v>705</v>
      </c>
      <c r="O2923" t="s">
        <v>706</v>
      </c>
      <c r="P2923" t="s">
        <v>38</v>
      </c>
      <c r="Q2923" t="s">
        <v>238</v>
      </c>
      <c r="R2923">
        <v>9.00000000000000000000000000000000000003</v>
      </c>
      <c r="S2923" t="s">
        <v>45</v>
      </c>
      <c r="T292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3">
        <v>57290</v>
      </c>
      <c r="V2923" t="s">
        <v>38</v>
      </c>
      <c r="W2923" t="s">
        <v>238</v>
      </c>
      <c r="X2923">
        <v>9.00000000000000000000000000000000000003</v>
      </c>
      <c r="Y2923">
        <v>0</v>
      </c>
      <c r="Z2923" t="s">
        <v>46</v>
      </c>
      <c r="AA2923">
        <v>57372</v>
      </c>
      <c r="AB2923" t="s">
        <v>2243</v>
      </c>
      <c r="AC2923" t="s">
        <v>103</v>
      </c>
      <c r="AD2923" t="s">
        <v>38</v>
      </c>
      <c r="AE2923" t="s">
        <v>49</v>
      </c>
      <c r="AF2923" t="s">
        <v>50</v>
      </c>
      <c r="AG2923">
        <v>0</v>
      </c>
      <c r="AH2923">
        <v>0</v>
      </c>
      <c r="AI2923" t="s">
        <v>51</v>
      </c>
      <c r="AJ2923" t="s">
        <v>51</v>
      </c>
      <c r="AK2923" t="s">
        <v>51</v>
      </c>
    </row>
    <row r="2924" spans="1:37" x14ac:dyDescent="0.2">
      <c r="A2924">
        <v>57288</v>
      </c>
      <c r="B2924" t="s">
        <v>37</v>
      </c>
      <c r="C2924" t="s">
        <v>38</v>
      </c>
      <c r="D2924" t="s">
        <v>674</v>
      </c>
      <c r="E2924" t="s">
        <v>40</v>
      </c>
      <c r="G2924" s="4">
        <v>43945.505972222222</v>
      </c>
      <c r="H2924" s="4">
        <v>43945.5065625</v>
      </c>
      <c r="I2924" t="s">
        <v>2171</v>
      </c>
      <c r="J2924" s="5">
        <v>51.00000000000000000000000000000000000002</v>
      </c>
      <c r="K2924" t="s">
        <v>38</v>
      </c>
      <c r="M2924">
        <v>57289</v>
      </c>
      <c r="N2924" t="s">
        <v>705</v>
      </c>
      <c r="O2924" t="s">
        <v>706</v>
      </c>
      <c r="P2924" t="s">
        <v>38</v>
      </c>
      <c r="Q2924" t="s">
        <v>238</v>
      </c>
      <c r="R2924">
        <v>9.00000000000000000000000000000000000003</v>
      </c>
      <c r="S2924" t="s">
        <v>45</v>
      </c>
      <c r="T292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4">
        <v>57290</v>
      </c>
      <c r="V2924" t="s">
        <v>38</v>
      </c>
      <c r="W2924" t="s">
        <v>238</v>
      </c>
      <c r="X2924">
        <v>9.00000000000000000000000000000000000003</v>
      </c>
      <c r="Y2924">
        <v>0</v>
      </c>
      <c r="Z2924" t="s">
        <v>46</v>
      </c>
      <c r="AA2924">
        <v>57371</v>
      </c>
      <c r="AB2924" t="s">
        <v>2244</v>
      </c>
      <c r="AC2924" t="s">
        <v>103</v>
      </c>
      <c r="AD2924" t="s">
        <v>38</v>
      </c>
      <c r="AE2924" t="s">
        <v>49</v>
      </c>
      <c r="AF2924" t="s">
        <v>50</v>
      </c>
      <c r="AG2924">
        <v>0</v>
      </c>
      <c r="AH2924">
        <v>0</v>
      </c>
      <c r="AI2924" t="s">
        <v>51</v>
      </c>
      <c r="AJ2924" t="s">
        <v>51</v>
      </c>
      <c r="AK2924" t="s">
        <v>51</v>
      </c>
    </row>
    <row r="2925" spans="1:37" x14ac:dyDescent="0.2">
      <c r="A2925">
        <v>57288</v>
      </c>
      <c r="B2925" t="s">
        <v>37</v>
      </c>
      <c r="C2925" t="s">
        <v>38</v>
      </c>
      <c r="D2925" t="s">
        <v>674</v>
      </c>
      <c r="E2925" t="s">
        <v>40</v>
      </c>
      <c r="G2925" s="4">
        <v>43945.505972222222</v>
      </c>
      <c r="H2925" s="4">
        <v>43945.5065625</v>
      </c>
      <c r="I2925" t="s">
        <v>2171</v>
      </c>
      <c r="J2925" s="5">
        <v>51.00000000000000000000000000000000000002</v>
      </c>
      <c r="K2925" t="s">
        <v>38</v>
      </c>
      <c r="M2925">
        <v>57289</v>
      </c>
      <c r="N2925" t="s">
        <v>705</v>
      </c>
      <c r="O2925" t="s">
        <v>706</v>
      </c>
      <c r="P2925" t="s">
        <v>38</v>
      </c>
      <c r="Q2925" t="s">
        <v>238</v>
      </c>
      <c r="R2925">
        <v>9.00000000000000000000000000000000000003</v>
      </c>
      <c r="S2925" t="s">
        <v>45</v>
      </c>
      <c r="T292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5">
        <v>57290</v>
      </c>
      <c r="V2925" t="s">
        <v>38</v>
      </c>
      <c r="W2925" t="s">
        <v>238</v>
      </c>
      <c r="X2925">
        <v>9.00000000000000000000000000000000000003</v>
      </c>
      <c r="Y2925">
        <v>0</v>
      </c>
      <c r="Z2925" t="s">
        <v>46</v>
      </c>
      <c r="AA2925">
        <v>57370</v>
      </c>
      <c r="AB2925" t="s">
        <v>2245</v>
      </c>
      <c r="AC2925" t="s">
        <v>103</v>
      </c>
      <c r="AD2925" t="s">
        <v>38</v>
      </c>
      <c r="AE2925" t="s">
        <v>49</v>
      </c>
      <c r="AF2925" t="s">
        <v>50</v>
      </c>
      <c r="AG2925">
        <v>0</v>
      </c>
      <c r="AH2925">
        <v>0</v>
      </c>
      <c r="AI2925" t="s">
        <v>51</v>
      </c>
      <c r="AJ2925" t="s">
        <v>51</v>
      </c>
      <c r="AK2925" t="s">
        <v>51</v>
      </c>
    </row>
    <row r="2926" spans="1:37" x14ac:dyDescent="0.2">
      <c r="A2926">
        <v>57288</v>
      </c>
      <c r="B2926" t="s">
        <v>37</v>
      </c>
      <c r="C2926" t="s">
        <v>38</v>
      </c>
      <c r="D2926" t="s">
        <v>674</v>
      </c>
      <c r="E2926" t="s">
        <v>40</v>
      </c>
      <c r="G2926" s="4">
        <v>43945.505972222222</v>
      </c>
      <c r="H2926" s="4">
        <v>43945.5065625</v>
      </c>
      <c r="I2926" t="s">
        <v>2171</v>
      </c>
      <c r="J2926" s="5">
        <v>51.00000000000000000000000000000000000002</v>
      </c>
      <c r="K2926" t="s">
        <v>38</v>
      </c>
      <c r="M2926">
        <v>57289</v>
      </c>
      <c r="N2926" t="s">
        <v>705</v>
      </c>
      <c r="O2926" t="s">
        <v>706</v>
      </c>
      <c r="P2926" t="s">
        <v>38</v>
      </c>
      <c r="Q2926" t="s">
        <v>238</v>
      </c>
      <c r="R2926">
        <v>9.00000000000000000000000000000000000003</v>
      </c>
      <c r="S2926" t="s">
        <v>45</v>
      </c>
      <c r="T292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6">
        <v>57290</v>
      </c>
      <c r="V2926" t="s">
        <v>38</v>
      </c>
      <c r="W2926" t="s">
        <v>238</v>
      </c>
      <c r="X2926">
        <v>9.00000000000000000000000000000000000003</v>
      </c>
      <c r="Y2926">
        <v>0</v>
      </c>
      <c r="Z2926" t="s">
        <v>46</v>
      </c>
      <c r="AA2926">
        <v>57369</v>
      </c>
      <c r="AB2926" t="s">
        <v>2246</v>
      </c>
      <c r="AC2926" t="s">
        <v>103</v>
      </c>
      <c r="AD2926" t="s">
        <v>38</v>
      </c>
      <c r="AE2926" t="s">
        <v>49</v>
      </c>
      <c r="AF2926" t="s">
        <v>50</v>
      </c>
      <c r="AG2926">
        <v>0</v>
      </c>
      <c r="AH2926">
        <v>0</v>
      </c>
      <c r="AI2926" t="s">
        <v>51</v>
      </c>
      <c r="AJ2926" t="s">
        <v>51</v>
      </c>
      <c r="AK2926" t="s">
        <v>51</v>
      </c>
    </row>
    <row r="2927" spans="1:37" x14ac:dyDescent="0.2">
      <c r="A2927">
        <v>57288</v>
      </c>
      <c r="B2927" t="s">
        <v>37</v>
      </c>
      <c r="C2927" t="s">
        <v>38</v>
      </c>
      <c r="D2927" t="s">
        <v>674</v>
      </c>
      <c r="E2927" t="s">
        <v>40</v>
      </c>
      <c r="G2927" s="4">
        <v>43945.505972222222</v>
      </c>
      <c r="H2927" s="4">
        <v>43945.5065625</v>
      </c>
      <c r="I2927" t="s">
        <v>2171</v>
      </c>
      <c r="J2927" s="5">
        <v>51.00000000000000000000000000000000000002</v>
      </c>
      <c r="K2927" t="s">
        <v>38</v>
      </c>
      <c r="M2927">
        <v>57289</v>
      </c>
      <c r="N2927" t="s">
        <v>705</v>
      </c>
      <c r="O2927" t="s">
        <v>706</v>
      </c>
      <c r="P2927" t="s">
        <v>38</v>
      </c>
      <c r="Q2927" t="s">
        <v>238</v>
      </c>
      <c r="R2927">
        <v>9.00000000000000000000000000000000000003</v>
      </c>
      <c r="S2927" t="s">
        <v>45</v>
      </c>
      <c r="T292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7">
        <v>57290</v>
      </c>
      <c r="V2927" t="s">
        <v>38</v>
      </c>
      <c r="W2927" t="s">
        <v>238</v>
      </c>
      <c r="X2927">
        <v>9.00000000000000000000000000000000000003</v>
      </c>
      <c r="Y2927">
        <v>0</v>
      </c>
      <c r="Z2927" t="s">
        <v>46</v>
      </c>
      <c r="AA2927">
        <v>57368</v>
      </c>
      <c r="AB2927" t="s">
        <v>2247</v>
      </c>
      <c r="AC2927" t="s">
        <v>103</v>
      </c>
      <c r="AD2927" t="s">
        <v>38</v>
      </c>
      <c r="AE2927" t="s">
        <v>49</v>
      </c>
      <c r="AF2927" t="s">
        <v>50</v>
      </c>
      <c r="AG2927">
        <v>0</v>
      </c>
      <c r="AH2927">
        <v>0</v>
      </c>
      <c r="AI2927" t="s">
        <v>51</v>
      </c>
      <c r="AJ2927" t="s">
        <v>51</v>
      </c>
      <c r="AK2927" t="s">
        <v>51</v>
      </c>
    </row>
    <row r="2928" spans="1:37" x14ac:dyDescent="0.2">
      <c r="A2928">
        <v>57288</v>
      </c>
      <c r="B2928" t="s">
        <v>37</v>
      </c>
      <c r="C2928" t="s">
        <v>38</v>
      </c>
      <c r="D2928" t="s">
        <v>674</v>
      </c>
      <c r="E2928" t="s">
        <v>40</v>
      </c>
      <c r="G2928" s="4">
        <v>43945.505972222222</v>
      </c>
      <c r="H2928" s="4">
        <v>43945.5065625</v>
      </c>
      <c r="I2928" t="s">
        <v>2171</v>
      </c>
      <c r="J2928" s="5">
        <v>51.00000000000000000000000000000000000002</v>
      </c>
      <c r="K2928" t="s">
        <v>38</v>
      </c>
      <c r="M2928">
        <v>57289</v>
      </c>
      <c r="N2928" t="s">
        <v>705</v>
      </c>
      <c r="O2928" t="s">
        <v>706</v>
      </c>
      <c r="P2928" t="s">
        <v>38</v>
      </c>
      <c r="Q2928" t="s">
        <v>238</v>
      </c>
      <c r="R2928">
        <v>9.00000000000000000000000000000000000003</v>
      </c>
      <c r="S2928" t="s">
        <v>45</v>
      </c>
      <c r="T292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8">
        <v>57290</v>
      </c>
      <c r="V2928" t="s">
        <v>38</v>
      </c>
      <c r="W2928" t="s">
        <v>238</v>
      </c>
      <c r="X2928">
        <v>9.00000000000000000000000000000000000003</v>
      </c>
      <c r="Y2928">
        <v>0</v>
      </c>
      <c r="Z2928" t="s">
        <v>46</v>
      </c>
      <c r="AA2928">
        <v>57367</v>
      </c>
      <c r="AB2928" t="s">
        <v>2248</v>
      </c>
      <c r="AC2928" t="s">
        <v>103</v>
      </c>
      <c r="AD2928" t="s">
        <v>38</v>
      </c>
      <c r="AE2928" t="s">
        <v>49</v>
      </c>
      <c r="AF2928" t="s">
        <v>50</v>
      </c>
      <c r="AG2928">
        <v>0</v>
      </c>
      <c r="AH2928">
        <v>0</v>
      </c>
      <c r="AI2928" t="s">
        <v>51</v>
      </c>
      <c r="AJ2928" t="s">
        <v>51</v>
      </c>
      <c r="AK2928" t="s">
        <v>51</v>
      </c>
    </row>
    <row r="2929" spans="1:37" x14ac:dyDescent="0.2">
      <c r="A2929">
        <v>57288</v>
      </c>
      <c r="B2929" t="s">
        <v>37</v>
      </c>
      <c r="C2929" t="s">
        <v>38</v>
      </c>
      <c r="D2929" t="s">
        <v>674</v>
      </c>
      <c r="E2929" t="s">
        <v>40</v>
      </c>
      <c r="G2929" s="4">
        <v>43945.505972222222</v>
      </c>
      <c r="H2929" s="4">
        <v>43945.5065625</v>
      </c>
      <c r="I2929" t="s">
        <v>2171</v>
      </c>
      <c r="J2929" s="5">
        <v>51.00000000000000000000000000000000000002</v>
      </c>
      <c r="K2929" t="s">
        <v>38</v>
      </c>
      <c r="M2929">
        <v>57289</v>
      </c>
      <c r="N2929" t="s">
        <v>705</v>
      </c>
      <c r="O2929" t="s">
        <v>706</v>
      </c>
      <c r="P2929" t="s">
        <v>38</v>
      </c>
      <c r="Q2929" t="s">
        <v>238</v>
      </c>
      <c r="R2929">
        <v>9.00000000000000000000000000000000000003</v>
      </c>
      <c r="S2929" t="s">
        <v>45</v>
      </c>
      <c r="T292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29">
        <v>57290</v>
      </c>
      <c r="V2929" t="s">
        <v>38</v>
      </c>
      <c r="W2929" t="s">
        <v>238</v>
      </c>
      <c r="X2929">
        <v>9.00000000000000000000000000000000000003</v>
      </c>
      <c r="Y2929">
        <v>0</v>
      </c>
      <c r="Z2929" t="s">
        <v>46</v>
      </c>
      <c r="AA2929">
        <v>57366</v>
      </c>
      <c r="AB2929" t="s">
        <v>2249</v>
      </c>
      <c r="AC2929" t="s">
        <v>103</v>
      </c>
      <c r="AD2929" t="s">
        <v>38</v>
      </c>
      <c r="AE2929" t="s">
        <v>49</v>
      </c>
      <c r="AF2929" t="s">
        <v>50</v>
      </c>
      <c r="AG2929">
        <v>0</v>
      </c>
      <c r="AH2929">
        <v>0</v>
      </c>
      <c r="AI2929" t="s">
        <v>51</v>
      </c>
      <c r="AJ2929" t="s">
        <v>51</v>
      </c>
      <c r="AK2929" t="s">
        <v>51</v>
      </c>
    </row>
    <row r="2930" spans="1:37" x14ac:dyDescent="0.2">
      <c r="A2930">
        <v>57288</v>
      </c>
      <c r="B2930" t="s">
        <v>37</v>
      </c>
      <c r="C2930" t="s">
        <v>38</v>
      </c>
      <c r="D2930" t="s">
        <v>674</v>
      </c>
      <c r="E2930" t="s">
        <v>40</v>
      </c>
      <c r="G2930" s="4">
        <v>43945.505972222222</v>
      </c>
      <c r="H2930" s="4">
        <v>43945.5065625</v>
      </c>
      <c r="I2930" t="s">
        <v>2171</v>
      </c>
      <c r="J2930" s="5">
        <v>51.00000000000000000000000000000000000002</v>
      </c>
      <c r="K2930" t="s">
        <v>38</v>
      </c>
      <c r="M2930">
        <v>57289</v>
      </c>
      <c r="N2930" t="s">
        <v>705</v>
      </c>
      <c r="O2930" t="s">
        <v>706</v>
      </c>
      <c r="P2930" t="s">
        <v>38</v>
      </c>
      <c r="Q2930" t="s">
        <v>238</v>
      </c>
      <c r="R2930">
        <v>9.00000000000000000000000000000000000003</v>
      </c>
      <c r="S2930" t="s">
        <v>45</v>
      </c>
      <c r="T293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0">
        <v>57290</v>
      </c>
      <c r="V2930" t="s">
        <v>38</v>
      </c>
      <c r="W2930" t="s">
        <v>238</v>
      </c>
      <c r="X2930">
        <v>9.00000000000000000000000000000000000003</v>
      </c>
      <c r="Y2930">
        <v>0</v>
      </c>
      <c r="Z2930" t="s">
        <v>46</v>
      </c>
      <c r="AA2930">
        <v>57365</v>
      </c>
      <c r="AB2930" t="s">
        <v>2250</v>
      </c>
      <c r="AC2930" t="s">
        <v>103</v>
      </c>
      <c r="AD2930" t="s">
        <v>38</v>
      </c>
      <c r="AE2930" t="s">
        <v>49</v>
      </c>
      <c r="AF2930" t="s">
        <v>50</v>
      </c>
      <c r="AG2930">
        <v>0</v>
      </c>
      <c r="AH2930">
        <v>0</v>
      </c>
      <c r="AI2930" t="s">
        <v>51</v>
      </c>
      <c r="AJ2930" t="s">
        <v>51</v>
      </c>
      <c r="AK2930" t="s">
        <v>51</v>
      </c>
    </row>
    <row r="2931" spans="1:37" x14ac:dyDescent="0.2">
      <c r="A2931">
        <v>57288</v>
      </c>
      <c r="B2931" t="s">
        <v>37</v>
      </c>
      <c r="C2931" t="s">
        <v>38</v>
      </c>
      <c r="D2931" t="s">
        <v>674</v>
      </c>
      <c r="E2931" t="s">
        <v>40</v>
      </c>
      <c r="G2931" s="4">
        <v>43945.505972222222</v>
      </c>
      <c r="H2931" s="4">
        <v>43945.5065625</v>
      </c>
      <c r="I2931" t="s">
        <v>2171</v>
      </c>
      <c r="J2931" s="5">
        <v>51.00000000000000000000000000000000000002</v>
      </c>
      <c r="K2931" t="s">
        <v>38</v>
      </c>
      <c r="M2931">
        <v>57289</v>
      </c>
      <c r="N2931" t="s">
        <v>705</v>
      </c>
      <c r="O2931" t="s">
        <v>706</v>
      </c>
      <c r="P2931" t="s">
        <v>38</v>
      </c>
      <c r="Q2931" t="s">
        <v>238</v>
      </c>
      <c r="R2931">
        <v>9.00000000000000000000000000000000000003</v>
      </c>
      <c r="S2931" t="s">
        <v>45</v>
      </c>
      <c r="T293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1">
        <v>57290</v>
      </c>
      <c r="V2931" t="s">
        <v>38</v>
      </c>
      <c r="W2931" t="s">
        <v>238</v>
      </c>
      <c r="X2931">
        <v>9.00000000000000000000000000000000000003</v>
      </c>
      <c r="Y2931">
        <v>0</v>
      </c>
      <c r="Z2931" t="s">
        <v>46</v>
      </c>
      <c r="AA2931">
        <v>57364</v>
      </c>
      <c r="AB2931" t="s">
        <v>2251</v>
      </c>
      <c r="AC2931" t="s">
        <v>103</v>
      </c>
      <c r="AD2931" t="s">
        <v>38</v>
      </c>
      <c r="AE2931" t="s">
        <v>49</v>
      </c>
      <c r="AF2931" t="s">
        <v>50</v>
      </c>
      <c r="AG2931">
        <v>0</v>
      </c>
      <c r="AH2931">
        <v>0</v>
      </c>
      <c r="AI2931" t="s">
        <v>51</v>
      </c>
      <c r="AJ2931" t="s">
        <v>51</v>
      </c>
      <c r="AK2931" t="s">
        <v>51</v>
      </c>
    </row>
    <row r="2932" spans="1:37" x14ac:dyDescent="0.2">
      <c r="A2932">
        <v>57288</v>
      </c>
      <c r="B2932" t="s">
        <v>37</v>
      </c>
      <c r="C2932" t="s">
        <v>38</v>
      </c>
      <c r="D2932" t="s">
        <v>674</v>
      </c>
      <c r="E2932" t="s">
        <v>40</v>
      </c>
      <c r="G2932" s="4">
        <v>43945.505972222222</v>
      </c>
      <c r="H2932" s="4">
        <v>43945.5065625</v>
      </c>
      <c r="I2932" t="s">
        <v>2171</v>
      </c>
      <c r="J2932" s="5">
        <v>51.00000000000000000000000000000000000002</v>
      </c>
      <c r="K2932" t="s">
        <v>38</v>
      </c>
      <c r="M2932">
        <v>57289</v>
      </c>
      <c r="N2932" t="s">
        <v>705</v>
      </c>
      <c r="O2932" t="s">
        <v>706</v>
      </c>
      <c r="P2932" t="s">
        <v>38</v>
      </c>
      <c r="Q2932" t="s">
        <v>238</v>
      </c>
      <c r="R2932">
        <v>9.00000000000000000000000000000000000003</v>
      </c>
      <c r="S2932" t="s">
        <v>45</v>
      </c>
      <c r="T293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2">
        <v>57290</v>
      </c>
      <c r="V2932" t="s">
        <v>38</v>
      </c>
      <c r="W2932" t="s">
        <v>238</v>
      </c>
      <c r="X2932">
        <v>9.00000000000000000000000000000000000003</v>
      </c>
      <c r="Y2932">
        <v>0</v>
      </c>
      <c r="Z2932" t="s">
        <v>46</v>
      </c>
      <c r="AA2932">
        <v>57363</v>
      </c>
      <c r="AB2932" t="s">
        <v>2252</v>
      </c>
      <c r="AC2932" t="s">
        <v>103</v>
      </c>
      <c r="AD2932" t="s">
        <v>38</v>
      </c>
      <c r="AE2932" t="s">
        <v>49</v>
      </c>
      <c r="AF2932" t="s">
        <v>50</v>
      </c>
      <c r="AG2932">
        <v>0</v>
      </c>
      <c r="AH2932">
        <v>0</v>
      </c>
      <c r="AI2932" t="s">
        <v>51</v>
      </c>
      <c r="AJ2932" t="s">
        <v>51</v>
      </c>
      <c r="AK2932" t="s">
        <v>51</v>
      </c>
    </row>
    <row r="2933" spans="1:37" x14ac:dyDescent="0.2">
      <c r="A2933">
        <v>57288</v>
      </c>
      <c r="B2933" t="s">
        <v>37</v>
      </c>
      <c r="C2933" t="s">
        <v>38</v>
      </c>
      <c r="D2933" t="s">
        <v>674</v>
      </c>
      <c r="E2933" t="s">
        <v>40</v>
      </c>
      <c r="G2933" s="4">
        <v>43945.505972222222</v>
      </c>
      <c r="H2933" s="4">
        <v>43945.5065625</v>
      </c>
      <c r="I2933" t="s">
        <v>2171</v>
      </c>
      <c r="J2933" s="5">
        <v>51.00000000000000000000000000000000000002</v>
      </c>
      <c r="K2933" t="s">
        <v>38</v>
      </c>
      <c r="M2933">
        <v>57289</v>
      </c>
      <c r="N2933" t="s">
        <v>705</v>
      </c>
      <c r="O2933" t="s">
        <v>706</v>
      </c>
      <c r="P2933" t="s">
        <v>38</v>
      </c>
      <c r="Q2933" t="s">
        <v>238</v>
      </c>
      <c r="R2933">
        <v>9.00000000000000000000000000000000000003</v>
      </c>
      <c r="S2933" t="s">
        <v>45</v>
      </c>
      <c r="T293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3">
        <v>57290</v>
      </c>
      <c r="V2933" t="s">
        <v>38</v>
      </c>
      <c r="W2933" t="s">
        <v>238</v>
      </c>
      <c r="X2933">
        <v>9.00000000000000000000000000000000000003</v>
      </c>
      <c r="Y2933">
        <v>0</v>
      </c>
      <c r="Z2933" t="s">
        <v>46</v>
      </c>
      <c r="AA2933">
        <v>57362</v>
      </c>
      <c r="AB2933" t="s">
        <v>2253</v>
      </c>
      <c r="AC2933" t="s">
        <v>103</v>
      </c>
      <c r="AD2933" t="s">
        <v>38</v>
      </c>
      <c r="AE2933" t="s">
        <v>49</v>
      </c>
      <c r="AF2933" t="s">
        <v>50</v>
      </c>
      <c r="AG2933">
        <v>0</v>
      </c>
      <c r="AH2933">
        <v>0</v>
      </c>
      <c r="AI2933" t="s">
        <v>51</v>
      </c>
      <c r="AJ2933" t="s">
        <v>51</v>
      </c>
      <c r="AK2933" t="s">
        <v>51</v>
      </c>
    </row>
    <row r="2934" spans="1:37" x14ac:dyDescent="0.2">
      <c r="A2934">
        <v>57288</v>
      </c>
      <c r="B2934" t="s">
        <v>37</v>
      </c>
      <c r="C2934" t="s">
        <v>38</v>
      </c>
      <c r="D2934" t="s">
        <v>674</v>
      </c>
      <c r="E2934" t="s">
        <v>40</v>
      </c>
      <c r="G2934" s="4">
        <v>43945.505972222222</v>
      </c>
      <c r="H2934" s="4">
        <v>43945.5065625</v>
      </c>
      <c r="I2934" t="s">
        <v>2171</v>
      </c>
      <c r="J2934" s="5">
        <v>51.00000000000000000000000000000000000002</v>
      </c>
      <c r="K2934" t="s">
        <v>38</v>
      </c>
      <c r="M2934">
        <v>57289</v>
      </c>
      <c r="N2934" t="s">
        <v>705</v>
      </c>
      <c r="O2934" t="s">
        <v>706</v>
      </c>
      <c r="P2934" t="s">
        <v>38</v>
      </c>
      <c r="Q2934" t="s">
        <v>238</v>
      </c>
      <c r="R2934">
        <v>9.00000000000000000000000000000000000003</v>
      </c>
      <c r="S2934" t="s">
        <v>45</v>
      </c>
      <c r="T293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4">
        <v>57290</v>
      </c>
      <c r="V2934" t="s">
        <v>38</v>
      </c>
      <c r="W2934" t="s">
        <v>238</v>
      </c>
      <c r="X2934">
        <v>9.00000000000000000000000000000000000003</v>
      </c>
      <c r="Y2934">
        <v>0</v>
      </c>
      <c r="Z2934" t="s">
        <v>46</v>
      </c>
      <c r="AA2934">
        <v>57361</v>
      </c>
      <c r="AB2934" t="s">
        <v>2254</v>
      </c>
      <c r="AC2934" t="s">
        <v>103</v>
      </c>
      <c r="AD2934" t="s">
        <v>38</v>
      </c>
      <c r="AE2934" t="s">
        <v>49</v>
      </c>
      <c r="AF2934" t="s">
        <v>50</v>
      </c>
      <c r="AG2934">
        <v>0</v>
      </c>
      <c r="AH2934">
        <v>0</v>
      </c>
      <c r="AI2934" t="s">
        <v>51</v>
      </c>
      <c r="AJ2934" t="s">
        <v>51</v>
      </c>
      <c r="AK2934" t="s">
        <v>51</v>
      </c>
    </row>
    <row r="2935" spans="1:37" x14ac:dyDescent="0.2">
      <c r="A2935">
        <v>57288</v>
      </c>
      <c r="B2935" t="s">
        <v>37</v>
      </c>
      <c r="C2935" t="s">
        <v>38</v>
      </c>
      <c r="D2935" t="s">
        <v>674</v>
      </c>
      <c r="E2935" t="s">
        <v>40</v>
      </c>
      <c r="G2935" s="4">
        <v>43945.505972222222</v>
      </c>
      <c r="H2935" s="4">
        <v>43945.5065625</v>
      </c>
      <c r="I2935" t="s">
        <v>2171</v>
      </c>
      <c r="J2935" s="5">
        <v>51.00000000000000000000000000000000000002</v>
      </c>
      <c r="K2935" t="s">
        <v>38</v>
      </c>
      <c r="M2935">
        <v>57289</v>
      </c>
      <c r="N2935" t="s">
        <v>705</v>
      </c>
      <c r="O2935" t="s">
        <v>706</v>
      </c>
      <c r="P2935" t="s">
        <v>38</v>
      </c>
      <c r="Q2935" t="s">
        <v>238</v>
      </c>
      <c r="R2935">
        <v>9.00000000000000000000000000000000000003</v>
      </c>
      <c r="S2935" t="s">
        <v>45</v>
      </c>
      <c r="T293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5">
        <v>57290</v>
      </c>
      <c r="V2935" t="s">
        <v>38</v>
      </c>
      <c r="W2935" t="s">
        <v>238</v>
      </c>
      <c r="X2935">
        <v>9.00000000000000000000000000000000000003</v>
      </c>
      <c r="Y2935">
        <v>0</v>
      </c>
      <c r="Z2935" t="s">
        <v>46</v>
      </c>
      <c r="AA2935">
        <v>57360</v>
      </c>
      <c r="AB2935" t="s">
        <v>2255</v>
      </c>
      <c r="AC2935" t="s">
        <v>103</v>
      </c>
      <c r="AD2935" t="s">
        <v>38</v>
      </c>
      <c r="AE2935" t="s">
        <v>49</v>
      </c>
      <c r="AF2935" t="s">
        <v>50</v>
      </c>
      <c r="AG2935">
        <v>0</v>
      </c>
      <c r="AH2935">
        <v>0</v>
      </c>
      <c r="AI2935" t="s">
        <v>51</v>
      </c>
      <c r="AJ2935" t="s">
        <v>51</v>
      </c>
      <c r="AK2935" t="s">
        <v>51</v>
      </c>
    </row>
    <row r="2936" spans="1:37" x14ac:dyDescent="0.2">
      <c r="A2936">
        <v>57288</v>
      </c>
      <c r="B2936" t="s">
        <v>37</v>
      </c>
      <c r="C2936" t="s">
        <v>38</v>
      </c>
      <c r="D2936" t="s">
        <v>674</v>
      </c>
      <c r="E2936" t="s">
        <v>40</v>
      </c>
      <c r="G2936" s="4">
        <v>43945.505972222222</v>
      </c>
      <c r="H2936" s="4">
        <v>43945.5065625</v>
      </c>
      <c r="I2936" t="s">
        <v>2171</v>
      </c>
      <c r="J2936" s="5">
        <v>51.00000000000000000000000000000000000002</v>
      </c>
      <c r="K2936" t="s">
        <v>38</v>
      </c>
      <c r="M2936">
        <v>57289</v>
      </c>
      <c r="N2936" t="s">
        <v>705</v>
      </c>
      <c r="O2936" t="s">
        <v>706</v>
      </c>
      <c r="P2936" t="s">
        <v>38</v>
      </c>
      <c r="Q2936" t="s">
        <v>238</v>
      </c>
      <c r="R2936">
        <v>9.00000000000000000000000000000000000003</v>
      </c>
      <c r="S2936" t="s">
        <v>45</v>
      </c>
      <c r="T293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6">
        <v>57290</v>
      </c>
      <c r="V2936" t="s">
        <v>38</v>
      </c>
      <c r="W2936" t="s">
        <v>238</v>
      </c>
      <c r="X2936">
        <v>9.00000000000000000000000000000000000003</v>
      </c>
      <c r="Y2936">
        <v>0</v>
      </c>
      <c r="Z2936" t="s">
        <v>46</v>
      </c>
      <c r="AA2936">
        <v>57359</v>
      </c>
      <c r="AB2936" t="s">
        <v>2256</v>
      </c>
      <c r="AC2936" t="s">
        <v>103</v>
      </c>
      <c r="AD2936" t="s">
        <v>38</v>
      </c>
      <c r="AE2936" t="s">
        <v>49</v>
      </c>
      <c r="AF2936" t="s">
        <v>50</v>
      </c>
      <c r="AG2936">
        <v>0</v>
      </c>
      <c r="AH2936">
        <v>0</v>
      </c>
      <c r="AI2936" t="s">
        <v>51</v>
      </c>
      <c r="AJ2936" t="s">
        <v>51</v>
      </c>
      <c r="AK2936" t="s">
        <v>51</v>
      </c>
    </row>
    <row r="2937" spans="1:37" x14ac:dyDescent="0.2">
      <c r="A2937">
        <v>57288</v>
      </c>
      <c r="B2937" t="s">
        <v>37</v>
      </c>
      <c r="C2937" t="s">
        <v>38</v>
      </c>
      <c r="D2937" t="s">
        <v>674</v>
      </c>
      <c r="E2937" t="s">
        <v>40</v>
      </c>
      <c r="G2937" s="4">
        <v>43945.505972222222</v>
      </c>
      <c r="H2937" s="4">
        <v>43945.5065625</v>
      </c>
      <c r="I2937" t="s">
        <v>2171</v>
      </c>
      <c r="J2937" s="5">
        <v>51.00000000000000000000000000000000000002</v>
      </c>
      <c r="K2937" t="s">
        <v>38</v>
      </c>
      <c r="M2937">
        <v>57289</v>
      </c>
      <c r="N2937" t="s">
        <v>705</v>
      </c>
      <c r="O2937" t="s">
        <v>706</v>
      </c>
      <c r="P2937" t="s">
        <v>38</v>
      </c>
      <c r="Q2937" t="s">
        <v>238</v>
      </c>
      <c r="R2937">
        <v>9.00000000000000000000000000000000000003</v>
      </c>
      <c r="S2937" t="s">
        <v>45</v>
      </c>
      <c r="T293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7">
        <v>57290</v>
      </c>
      <c r="V2937" t="s">
        <v>38</v>
      </c>
      <c r="W2937" t="s">
        <v>238</v>
      </c>
      <c r="X2937">
        <v>9.00000000000000000000000000000000000003</v>
      </c>
      <c r="Y2937">
        <v>0</v>
      </c>
      <c r="Z2937" t="s">
        <v>46</v>
      </c>
      <c r="AA2937">
        <v>57358</v>
      </c>
      <c r="AB2937" t="s">
        <v>2257</v>
      </c>
      <c r="AC2937" t="s">
        <v>103</v>
      </c>
      <c r="AD2937" t="s">
        <v>38</v>
      </c>
      <c r="AE2937" t="s">
        <v>49</v>
      </c>
      <c r="AF2937" t="s">
        <v>50</v>
      </c>
      <c r="AG2937">
        <v>0</v>
      </c>
      <c r="AH2937">
        <v>0</v>
      </c>
      <c r="AI2937" t="s">
        <v>51</v>
      </c>
      <c r="AJ2937" t="s">
        <v>51</v>
      </c>
      <c r="AK2937" t="s">
        <v>51</v>
      </c>
    </row>
    <row r="2938" spans="1:37" x14ac:dyDescent="0.2">
      <c r="A2938">
        <v>57288</v>
      </c>
      <c r="B2938" t="s">
        <v>37</v>
      </c>
      <c r="C2938" t="s">
        <v>38</v>
      </c>
      <c r="D2938" t="s">
        <v>674</v>
      </c>
      <c r="E2938" t="s">
        <v>40</v>
      </c>
      <c r="G2938" s="4">
        <v>43945.505972222222</v>
      </c>
      <c r="H2938" s="4">
        <v>43945.5065625</v>
      </c>
      <c r="I2938" t="s">
        <v>2171</v>
      </c>
      <c r="J2938" s="5">
        <v>51.00000000000000000000000000000000000002</v>
      </c>
      <c r="K2938" t="s">
        <v>38</v>
      </c>
      <c r="M2938">
        <v>57289</v>
      </c>
      <c r="N2938" t="s">
        <v>705</v>
      </c>
      <c r="O2938" t="s">
        <v>706</v>
      </c>
      <c r="P2938" t="s">
        <v>38</v>
      </c>
      <c r="Q2938" t="s">
        <v>238</v>
      </c>
      <c r="R2938">
        <v>9.00000000000000000000000000000000000003</v>
      </c>
      <c r="S2938" t="s">
        <v>45</v>
      </c>
      <c r="T293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8">
        <v>57290</v>
      </c>
      <c r="V2938" t="s">
        <v>38</v>
      </c>
      <c r="W2938" t="s">
        <v>238</v>
      </c>
      <c r="X2938">
        <v>9.00000000000000000000000000000000000003</v>
      </c>
      <c r="Y2938">
        <v>0</v>
      </c>
      <c r="Z2938" t="s">
        <v>46</v>
      </c>
      <c r="AA2938">
        <v>57357</v>
      </c>
      <c r="AB2938" t="s">
        <v>2258</v>
      </c>
      <c r="AC2938" t="s">
        <v>103</v>
      </c>
      <c r="AD2938" t="s">
        <v>38</v>
      </c>
      <c r="AE2938" t="s">
        <v>49</v>
      </c>
      <c r="AF2938" t="s">
        <v>50</v>
      </c>
      <c r="AG2938">
        <v>0</v>
      </c>
      <c r="AH2938">
        <v>0</v>
      </c>
      <c r="AI2938" t="s">
        <v>51</v>
      </c>
      <c r="AJ2938" t="s">
        <v>51</v>
      </c>
      <c r="AK2938" t="s">
        <v>51</v>
      </c>
    </row>
    <row r="2939" spans="1:37" x14ac:dyDescent="0.2">
      <c r="A2939">
        <v>57288</v>
      </c>
      <c r="B2939" t="s">
        <v>37</v>
      </c>
      <c r="C2939" t="s">
        <v>38</v>
      </c>
      <c r="D2939" t="s">
        <v>674</v>
      </c>
      <c r="E2939" t="s">
        <v>40</v>
      </c>
      <c r="G2939" s="4">
        <v>43945.505972222222</v>
      </c>
      <c r="H2939" s="4">
        <v>43945.5065625</v>
      </c>
      <c r="I2939" t="s">
        <v>2171</v>
      </c>
      <c r="J2939" s="5">
        <v>51.00000000000000000000000000000000000002</v>
      </c>
      <c r="K2939" t="s">
        <v>38</v>
      </c>
      <c r="M2939">
        <v>57289</v>
      </c>
      <c r="N2939" t="s">
        <v>705</v>
      </c>
      <c r="O2939" t="s">
        <v>706</v>
      </c>
      <c r="P2939" t="s">
        <v>38</v>
      </c>
      <c r="Q2939" t="s">
        <v>238</v>
      </c>
      <c r="R2939">
        <v>9.00000000000000000000000000000000000003</v>
      </c>
      <c r="S2939" t="s">
        <v>45</v>
      </c>
      <c r="T293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39">
        <v>57290</v>
      </c>
      <c r="V2939" t="s">
        <v>38</v>
      </c>
      <c r="W2939" t="s">
        <v>238</v>
      </c>
      <c r="X2939">
        <v>9.00000000000000000000000000000000000003</v>
      </c>
      <c r="Y2939">
        <v>0</v>
      </c>
      <c r="Z2939" t="s">
        <v>46</v>
      </c>
      <c r="AA2939">
        <v>57356</v>
      </c>
      <c r="AB2939" t="s">
        <v>2259</v>
      </c>
      <c r="AC2939" t="s">
        <v>103</v>
      </c>
      <c r="AD2939" t="s">
        <v>38</v>
      </c>
      <c r="AE2939" t="s">
        <v>49</v>
      </c>
      <c r="AF2939" t="s">
        <v>50</v>
      </c>
      <c r="AG2939">
        <v>0</v>
      </c>
      <c r="AH2939">
        <v>0</v>
      </c>
      <c r="AI2939" t="s">
        <v>51</v>
      </c>
      <c r="AJ2939" t="s">
        <v>51</v>
      </c>
      <c r="AK2939" t="s">
        <v>51</v>
      </c>
    </row>
    <row r="2940" spans="1:37" x14ac:dyDescent="0.2">
      <c r="A2940">
        <v>57288</v>
      </c>
      <c r="B2940" t="s">
        <v>37</v>
      </c>
      <c r="C2940" t="s">
        <v>38</v>
      </c>
      <c r="D2940" t="s">
        <v>674</v>
      </c>
      <c r="E2940" t="s">
        <v>40</v>
      </c>
      <c r="G2940" s="4">
        <v>43945.505972222222</v>
      </c>
      <c r="H2940" s="4">
        <v>43945.5065625</v>
      </c>
      <c r="I2940" t="s">
        <v>2171</v>
      </c>
      <c r="J2940" s="5">
        <v>51.00000000000000000000000000000000000002</v>
      </c>
      <c r="K2940" t="s">
        <v>38</v>
      </c>
      <c r="M2940">
        <v>57289</v>
      </c>
      <c r="N2940" t="s">
        <v>705</v>
      </c>
      <c r="O2940" t="s">
        <v>706</v>
      </c>
      <c r="P2940" t="s">
        <v>38</v>
      </c>
      <c r="Q2940" t="s">
        <v>238</v>
      </c>
      <c r="R2940">
        <v>9.00000000000000000000000000000000000003</v>
      </c>
      <c r="S2940" t="s">
        <v>45</v>
      </c>
      <c r="T294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0">
        <v>57290</v>
      </c>
      <c r="V2940" t="s">
        <v>38</v>
      </c>
      <c r="W2940" t="s">
        <v>238</v>
      </c>
      <c r="X2940">
        <v>9.00000000000000000000000000000000000003</v>
      </c>
      <c r="Y2940">
        <v>0</v>
      </c>
      <c r="Z2940" t="s">
        <v>46</v>
      </c>
      <c r="AA2940">
        <v>57355</v>
      </c>
      <c r="AB2940" t="s">
        <v>2260</v>
      </c>
      <c r="AC2940" t="s">
        <v>103</v>
      </c>
      <c r="AD2940" t="s">
        <v>38</v>
      </c>
      <c r="AE2940" t="s">
        <v>49</v>
      </c>
      <c r="AF2940" t="s">
        <v>50</v>
      </c>
      <c r="AG2940">
        <v>0</v>
      </c>
      <c r="AH2940">
        <v>0</v>
      </c>
      <c r="AI2940" t="s">
        <v>51</v>
      </c>
      <c r="AJ2940" t="s">
        <v>51</v>
      </c>
      <c r="AK2940" t="s">
        <v>51</v>
      </c>
    </row>
    <row r="2941" spans="1:37" x14ac:dyDescent="0.2">
      <c r="A2941">
        <v>57288</v>
      </c>
      <c r="B2941" t="s">
        <v>37</v>
      </c>
      <c r="C2941" t="s">
        <v>38</v>
      </c>
      <c r="D2941" t="s">
        <v>674</v>
      </c>
      <c r="E2941" t="s">
        <v>40</v>
      </c>
      <c r="G2941" s="4">
        <v>43945.505972222222</v>
      </c>
      <c r="H2941" s="4">
        <v>43945.5065625</v>
      </c>
      <c r="I2941" t="s">
        <v>2171</v>
      </c>
      <c r="J2941" s="5">
        <v>51.00000000000000000000000000000000000002</v>
      </c>
      <c r="K2941" t="s">
        <v>38</v>
      </c>
      <c r="M2941">
        <v>57289</v>
      </c>
      <c r="N2941" t="s">
        <v>705</v>
      </c>
      <c r="O2941" t="s">
        <v>706</v>
      </c>
      <c r="P2941" t="s">
        <v>38</v>
      </c>
      <c r="Q2941" t="s">
        <v>238</v>
      </c>
      <c r="R2941">
        <v>9.00000000000000000000000000000000000003</v>
      </c>
      <c r="S2941" t="s">
        <v>45</v>
      </c>
      <c r="T294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1">
        <v>57290</v>
      </c>
      <c r="V2941" t="s">
        <v>38</v>
      </c>
      <c r="W2941" t="s">
        <v>238</v>
      </c>
      <c r="X2941">
        <v>9.00000000000000000000000000000000000003</v>
      </c>
      <c r="Y2941">
        <v>0</v>
      </c>
      <c r="Z2941" t="s">
        <v>46</v>
      </c>
      <c r="AA2941">
        <v>57354</v>
      </c>
      <c r="AB2941" t="s">
        <v>2261</v>
      </c>
      <c r="AC2941" t="s">
        <v>103</v>
      </c>
      <c r="AD2941" t="s">
        <v>38</v>
      </c>
      <c r="AE2941" t="s">
        <v>49</v>
      </c>
      <c r="AF2941" t="s">
        <v>50</v>
      </c>
      <c r="AG2941">
        <v>0</v>
      </c>
      <c r="AH2941">
        <v>0</v>
      </c>
      <c r="AI2941" t="s">
        <v>51</v>
      </c>
      <c r="AJ2941" t="s">
        <v>51</v>
      </c>
      <c r="AK2941" t="s">
        <v>51</v>
      </c>
    </row>
    <row r="2942" spans="1:37" x14ac:dyDescent="0.2">
      <c r="A2942">
        <v>57288</v>
      </c>
      <c r="B2942" t="s">
        <v>37</v>
      </c>
      <c r="C2942" t="s">
        <v>38</v>
      </c>
      <c r="D2942" t="s">
        <v>674</v>
      </c>
      <c r="E2942" t="s">
        <v>40</v>
      </c>
      <c r="G2942" s="4">
        <v>43945.505972222222</v>
      </c>
      <c r="H2942" s="4">
        <v>43945.5065625</v>
      </c>
      <c r="I2942" t="s">
        <v>2171</v>
      </c>
      <c r="J2942" s="5">
        <v>51.00000000000000000000000000000000000002</v>
      </c>
      <c r="K2942" t="s">
        <v>38</v>
      </c>
      <c r="M2942">
        <v>57289</v>
      </c>
      <c r="N2942" t="s">
        <v>705</v>
      </c>
      <c r="O2942" t="s">
        <v>706</v>
      </c>
      <c r="P2942" t="s">
        <v>38</v>
      </c>
      <c r="Q2942" t="s">
        <v>238</v>
      </c>
      <c r="R2942">
        <v>9.00000000000000000000000000000000000003</v>
      </c>
      <c r="S2942" t="s">
        <v>45</v>
      </c>
      <c r="T294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2">
        <v>57290</v>
      </c>
      <c r="V2942" t="s">
        <v>38</v>
      </c>
      <c r="W2942" t="s">
        <v>238</v>
      </c>
      <c r="X2942">
        <v>9.00000000000000000000000000000000000003</v>
      </c>
      <c r="Y2942">
        <v>0</v>
      </c>
      <c r="Z2942" t="s">
        <v>46</v>
      </c>
      <c r="AA2942">
        <v>57353</v>
      </c>
      <c r="AB2942" t="s">
        <v>2262</v>
      </c>
      <c r="AC2942" t="s">
        <v>103</v>
      </c>
      <c r="AD2942" t="s">
        <v>38</v>
      </c>
      <c r="AE2942" t="s">
        <v>49</v>
      </c>
      <c r="AF2942" t="s">
        <v>50</v>
      </c>
      <c r="AG2942">
        <v>0</v>
      </c>
      <c r="AH2942">
        <v>0</v>
      </c>
      <c r="AI2942" t="s">
        <v>51</v>
      </c>
      <c r="AJ2942" t="s">
        <v>51</v>
      </c>
      <c r="AK2942" t="s">
        <v>51</v>
      </c>
    </row>
    <row r="2943" spans="1:37" x14ac:dyDescent="0.2">
      <c r="A2943">
        <v>57288</v>
      </c>
      <c r="B2943" t="s">
        <v>37</v>
      </c>
      <c r="C2943" t="s">
        <v>38</v>
      </c>
      <c r="D2943" t="s">
        <v>674</v>
      </c>
      <c r="E2943" t="s">
        <v>40</v>
      </c>
      <c r="G2943" s="4">
        <v>43945.505972222222</v>
      </c>
      <c r="H2943" s="4">
        <v>43945.5065625</v>
      </c>
      <c r="I2943" t="s">
        <v>2171</v>
      </c>
      <c r="J2943" s="5">
        <v>51.00000000000000000000000000000000000002</v>
      </c>
      <c r="K2943" t="s">
        <v>38</v>
      </c>
      <c r="M2943">
        <v>57289</v>
      </c>
      <c r="N2943" t="s">
        <v>705</v>
      </c>
      <c r="O2943" t="s">
        <v>706</v>
      </c>
      <c r="P2943" t="s">
        <v>38</v>
      </c>
      <c r="Q2943" t="s">
        <v>238</v>
      </c>
      <c r="R2943">
        <v>9.00000000000000000000000000000000000003</v>
      </c>
      <c r="S2943" t="s">
        <v>45</v>
      </c>
      <c r="T294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3">
        <v>57290</v>
      </c>
      <c r="V2943" t="s">
        <v>38</v>
      </c>
      <c r="W2943" t="s">
        <v>238</v>
      </c>
      <c r="X2943">
        <v>9.00000000000000000000000000000000000003</v>
      </c>
      <c r="Y2943">
        <v>0</v>
      </c>
      <c r="Z2943" t="s">
        <v>46</v>
      </c>
      <c r="AA2943">
        <v>57352</v>
      </c>
      <c r="AB2943" t="s">
        <v>2263</v>
      </c>
      <c r="AC2943" t="s">
        <v>103</v>
      </c>
      <c r="AD2943" t="s">
        <v>38</v>
      </c>
      <c r="AE2943" t="s">
        <v>49</v>
      </c>
      <c r="AF2943" t="s">
        <v>50</v>
      </c>
      <c r="AG2943">
        <v>0</v>
      </c>
      <c r="AH2943">
        <v>0</v>
      </c>
      <c r="AI2943" t="s">
        <v>51</v>
      </c>
      <c r="AJ2943" t="s">
        <v>51</v>
      </c>
      <c r="AK2943" t="s">
        <v>51</v>
      </c>
    </row>
    <row r="2944" spans="1:37" x14ac:dyDescent="0.2">
      <c r="A2944">
        <v>57288</v>
      </c>
      <c r="B2944" t="s">
        <v>37</v>
      </c>
      <c r="C2944" t="s">
        <v>38</v>
      </c>
      <c r="D2944" t="s">
        <v>674</v>
      </c>
      <c r="E2944" t="s">
        <v>40</v>
      </c>
      <c r="G2944" s="4">
        <v>43945.505972222222</v>
      </c>
      <c r="H2944" s="4">
        <v>43945.5065625</v>
      </c>
      <c r="I2944" t="s">
        <v>2171</v>
      </c>
      <c r="J2944" s="5">
        <v>51.00000000000000000000000000000000000002</v>
      </c>
      <c r="K2944" t="s">
        <v>38</v>
      </c>
      <c r="M2944">
        <v>57289</v>
      </c>
      <c r="N2944" t="s">
        <v>705</v>
      </c>
      <c r="O2944" t="s">
        <v>706</v>
      </c>
      <c r="P2944" t="s">
        <v>38</v>
      </c>
      <c r="Q2944" t="s">
        <v>238</v>
      </c>
      <c r="R2944">
        <v>9.00000000000000000000000000000000000003</v>
      </c>
      <c r="S2944" t="s">
        <v>45</v>
      </c>
      <c r="T294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4">
        <v>57290</v>
      </c>
      <c r="V2944" t="s">
        <v>38</v>
      </c>
      <c r="W2944" t="s">
        <v>238</v>
      </c>
      <c r="X2944">
        <v>9.00000000000000000000000000000000000003</v>
      </c>
      <c r="Y2944">
        <v>0</v>
      </c>
      <c r="Z2944" t="s">
        <v>46</v>
      </c>
      <c r="AA2944">
        <v>57351</v>
      </c>
      <c r="AB2944" t="s">
        <v>2264</v>
      </c>
      <c r="AC2944" t="s">
        <v>103</v>
      </c>
      <c r="AD2944" t="s">
        <v>38</v>
      </c>
      <c r="AE2944" t="s">
        <v>49</v>
      </c>
      <c r="AF2944" t="s">
        <v>50</v>
      </c>
      <c r="AG2944">
        <v>0</v>
      </c>
      <c r="AH2944">
        <v>0</v>
      </c>
      <c r="AI2944" t="s">
        <v>51</v>
      </c>
      <c r="AJ2944" t="s">
        <v>51</v>
      </c>
      <c r="AK2944" t="s">
        <v>51</v>
      </c>
    </row>
    <row r="2945" spans="1:37" x14ac:dyDescent="0.2">
      <c r="A2945">
        <v>57288</v>
      </c>
      <c r="B2945" t="s">
        <v>37</v>
      </c>
      <c r="C2945" t="s">
        <v>38</v>
      </c>
      <c r="D2945" t="s">
        <v>674</v>
      </c>
      <c r="E2945" t="s">
        <v>40</v>
      </c>
      <c r="G2945" s="4">
        <v>43945.505972222222</v>
      </c>
      <c r="H2945" s="4">
        <v>43945.5065625</v>
      </c>
      <c r="I2945" t="s">
        <v>2171</v>
      </c>
      <c r="J2945" s="5">
        <v>51.00000000000000000000000000000000000002</v>
      </c>
      <c r="K2945" t="s">
        <v>38</v>
      </c>
      <c r="M2945">
        <v>57289</v>
      </c>
      <c r="N2945" t="s">
        <v>705</v>
      </c>
      <c r="O2945" t="s">
        <v>706</v>
      </c>
      <c r="P2945" t="s">
        <v>38</v>
      </c>
      <c r="Q2945" t="s">
        <v>238</v>
      </c>
      <c r="R2945">
        <v>9.00000000000000000000000000000000000003</v>
      </c>
      <c r="S2945" t="s">
        <v>45</v>
      </c>
      <c r="T294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5">
        <v>57290</v>
      </c>
      <c r="V2945" t="s">
        <v>38</v>
      </c>
      <c r="W2945" t="s">
        <v>238</v>
      </c>
      <c r="X2945">
        <v>9.00000000000000000000000000000000000003</v>
      </c>
      <c r="Y2945">
        <v>0</v>
      </c>
      <c r="Z2945" t="s">
        <v>46</v>
      </c>
      <c r="AA2945">
        <v>57350</v>
      </c>
      <c r="AB2945" t="s">
        <v>2265</v>
      </c>
      <c r="AC2945" t="s">
        <v>103</v>
      </c>
      <c r="AD2945" t="s">
        <v>38</v>
      </c>
      <c r="AE2945" t="s">
        <v>49</v>
      </c>
      <c r="AF2945" t="s">
        <v>50</v>
      </c>
      <c r="AG2945">
        <v>0</v>
      </c>
      <c r="AH2945">
        <v>0</v>
      </c>
      <c r="AI2945" t="s">
        <v>51</v>
      </c>
      <c r="AJ2945" t="s">
        <v>51</v>
      </c>
      <c r="AK2945" t="s">
        <v>51</v>
      </c>
    </row>
    <row r="2946" spans="1:37" x14ac:dyDescent="0.2">
      <c r="A2946">
        <v>57288</v>
      </c>
      <c r="B2946" t="s">
        <v>37</v>
      </c>
      <c r="C2946" t="s">
        <v>38</v>
      </c>
      <c r="D2946" t="s">
        <v>674</v>
      </c>
      <c r="E2946" t="s">
        <v>40</v>
      </c>
      <c r="G2946" s="4">
        <v>43945.505972222222</v>
      </c>
      <c r="H2946" s="4">
        <v>43945.5065625</v>
      </c>
      <c r="I2946" t="s">
        <v>2171</v>
      </c>
      <c r="J2946" s="5">
        <v>51.00000000000000000000000000000000000002</v>
      </c>
      <c r="K2946" t="s">
        <v>38</v>
      </c>
      <c r="M2946">
        <v>57289</v>
      </c>
      <c r="N2946" t="s">
        <v>705</v>
      </c>
      <c r="O2946" t="s">
        <v>706</v>
      </c>
      <c r="P2946" t="s">
        <v>38</v>
      </c>
      <c r="Q2946" t="s">
        <v>238</v>
      </c>
      <c r="R2946">
        <v>9.00000000000000000000000000000000000003</v>
      </c>
      <c r="S2946" t="s">
        <v>45</v>
      </c>
      <c r="T294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6">
        <v>57290</v>
      </c>
      <c r="V2946" t="s">
        <v>38</v>
      </c>
      <c r="W2946" t="s">
        <v>238</v>
      </c>
      <c r="X2946">
        <v>9.00000000000000000000000000000000000003</v>
      </c>
      <c r="Y2946">
        <v>0</v>
      </c>
      <c r="Z2946" t="s">
        <v>46</v>
      </c>
      <c r="AA2946">
        <v>57349</v>
      </c>
      <c r="AB2946" t="s">
        <v>2266</v>
      </c>
      <c r="AC2946" t="s">
        <v>103</v>
      </c>
      <c r="AD2946" t="s">
        <v>38</v>
      </c>
      <c r="AE2946" t="s">
        <v>49</v>
      </c>
      <c r="AF2946" t="s">
        <v>50</v>
      </c>
      <c r="AG2946">
        <v>0</v>
      </c>
      <c r="AH2946">
        <v>0</v>
      </c>
      <c r="AI2946" t="s">
        <v>51</v>
      </c>
      <c r="AJ2946" t="s">
        <v>51</v>
      </c>
      <c r="AK2946" t="s">
        <v>51</v>
      </c>
    </row>
    <row r="2947" spans="1:37" x14ac:dyDescent="0.2">
      <c r="A2947">
        <v>57288</v>
      </c>
      <c r="B2947" t="s">
        <v>37</v>
      </c>
      <c r="C2947" t="s">
        <v>38</v>
      </c>
      <c r="D2947" t="s">
        <v>674</v>
      </c>
      <c r="E2947" t="s">
        <v>40</v>
      </c>
      <c r="G2947" s="4">
        <v>43945.505972222222</v>
      </c>
      <c r="H2947" s="4">
        <v>43945.5065625</v>
      </c>
      <c r="I2947" t="s">
        <v>2171</v>
      </c>
      <c r="J2947" s="5">
        <v>51.00000000000000000000000000000000000002</v>
      </c>
      <c r="K2947" t="s">
        <v>38</v>
      </c>
      <c r="M2947">
        <v>57289</v>
      </c>
      <c r="N2947" t="s">
        <v>705</v>
      </c>
      <c r="O2947" t="s">
        <v>706</v>
      </c>
      <c r="P2947" t="s">
        <v>38</v>
      </c>
      <c r="Q2947" t="s">
        <v>238</v>
      </c>
      <c r="R2947">
        <v>9.00000000000000000000000000000000000003</v>
      </c>
      <c r="S2947" t="s">
        <v>45</v>
      </c>
      <c r="T294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7">
        <v>57290</v>
      </c>
      <c r="V2947" t="s">
        <v>38</v>
      </c>
      <c r="W2947" t="s">
        <v>238</v>
      </c>
      <c r="X2947">
        <v>9.00000000000000000000000000000000000003</v>
      </c>
      <c r="Y2947">
        <v>0</v>
      </c>
      <c r="Z2947" t="s">
        <v>46</v>
      </c>
      <c r="AA2947">
        <v>57348</v>
      </c>
      <c r="AB2947" t="s">
        <v>2267</v>
      </c>
      <c r="AC2947" t="s">
        <v>103</v>
      </c>
      <c r="AD2947" t="s">
        <v>38</v>
      </c>
      <c r="AE2947" t="s">
        <v>49</v>
      </c>
      <c r="AF2947" t="s">
        <v>50</v>
      </c>
      <c r="AG2947">
        <v>0</v>
      </c>
      <c r="AH2947">
        <v>0</v>
      </c>
      <c r="AI2947" t="s">
        <v>51</v>
      </c>
      <c r="AJ2947" t="s">
        <v>51</v>
      </c>
      <c r="AK2947" t="s">
        <v>51</v>
      </c>
    </row>
    <row r="2948" spans="1:37" x14ac:dyDescent="0.2">
      <c r="A2948">
        <v>57288</v>
      </c>
      <c r="B2948" t="s">
        <v>37</v>
      </c>
      <c r="C2948" t="s">
        <v>38</v>
      </c>
      <c r="D2948" t="s">
        <v>674</v>
      </c>
      <c r="E2948" t="s">
        <v>40</v>
      </c>
      <c r="G2948" s="4">
        <v>43945.505972222222</v>
      </c>
      <c r="H2948" s="4">
        <v>43945.5065625</v>
      </c>
      <c r="I2948" t="s">
        <v>2171</v>
      </c>
      <c r="J2948" s="5">
        <v>51.00000000000000000000000000000000000002</v>
      </c>
      <c r="K2948" t="s">
        <v>38</v>
      </c>
      <c r="M2948">
        <v>57289</v>
      </c>
      <c r="N2948" t="s">
        <v>705</v>
      </c>
      <c r="O2948" t="s">
        <v>706</v>
      </c>
      <c r="P2948" t="s">
        <v>38</v>
      </c>
      <c r="Q2948" t="s">
        <v>238</v>
      </c>
      <c r="R2948">
        <v>9.00000000000000000000000000000000000003</v>
      </c>
      <c r="S2948" t="s">
        <v>45</v>
      </c>
      <c r="T294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8">
        <v>57290</v>
      </c>
      <c r="V2948" t="s">
        <v>38</v>
      </c>
      <c r="W2948" t="s">
        <v>238</v>
      </c>
      <c r="X2948">
        <v>9.00000000000000000000000000000000000003</v>
      </c>
      <c r="Y2948">
        <v>0</v>
      </c>
      <c r="Z2948" t="s">
        <v>46</v>
      </c>
      <c r="AA2948">
        <v>57347</v>
      </c>
      <c r="AB2948" t="s">
        <v>2268</v>
      </c>
      <c r="AC2948" t="s">
        <v>103</v>
      </c>
      <c r="AD2948" t="s">
        <v>38</v>
      </c>
      <c r="AE2948" t="s">
        <v>49</v>
      </c>
      <c r="AF2948" t="s">
        <v>50</v>
      </c>
      <c r="AG2948">
        <v>.9999999999999999999999999999999999999996</v>
      </c>
      <c r="AH2948">
        <v>0</v>
      </c>
      <c r="AI2948" t="s">
        <v>51</v>
      </c>
      <c r="AJ2948" t="s">
        <v>51</v>
      </c>
      <c r="AK2948" t="s">
        <v>51</v>
      </c>
    </row>
    <row r="2949" spans="1:37" x14ac:dyDescent="0.2">
      <c r="A2949">
        <v>57288</v>
      </c>
      <c r="B2949" t="s">
        <v>37</v>
      </c>
      <c r="C2949" t="s">
        <v>38</v>
      </c>
      <c r="D2949" t="s">
        <v>674</v>
      </c>
      <c r="E2949" t="s">
        <v>40</v>
      </c>
      <c r="G2949" s="4">
        <v>43945.505972222222</v>
      </c>
      <c r="H2949" s="4">
        <v>43945.5065625</v>
      </c>
      <c r="I2949" t="s">
        <v>2171</v>
      </c>
      <c r="J2949" s="5">
        <v>51.00000000000000000000000000000000000002</v>
      </c>
      <c r="K2949" t="s">
        <v>38</v>
      </c>
      <c r="M2949">
        <v>57289</v>
      </c>
      <c r="N2949" t="s">
        <v>705</v>
      </c>
      <c r="O2949" t="s">
        <v>706</v>
      </c>
      <c r="P2949" t="s">
        <v>38</v>
      </c>
      <c r="Q2949" t="s">
        <v>238</v>
      </c>
      <c r="R2949">
        <v>9.00000000000000000000000000000000000003</v>
      </c>
      <c r="S2949" t="s">
        <v>45</v>
      </c>
      <c r="T294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49">
        <v>57290</v>
      </c>
      <c r="V2949" t="s">
        <v>38</v>
      </c>
      <c r="W2949" t="s">
        <v>238</v>
      </c>
      <c r="X2949">
        <v>9.00000000000000000000000000000000000003</v>
      </c>
      <c r="Y2949">
        <v>0</v>
      </c>
      <c r="Z2949" t="s">
        <v>46</v>
      </c>
      <c r="AA2949">
        <v>57346</v>
      </c>
      <c r="AB2949" t="s">
        <v>2269</v>
      </c>
      <c r="AC2949" t="s">
        <v>103</v>
      </c>
      <c r="AD2949" t="s">
        <v>38</v>
      </c>
      <c r="AE2949" t="s">
        <v>49</v>
      </c>
      <c r="AF2949" t="s">
        <v>50</v>
      </c>
      <c r="AG2949">
        <v>0</v>
      </c>
      <c r="AH2949">
        <v>0</v>
      </c>
      <c r="AI2949" t="s">
        <v>51</v>
      </c>
      <c r="AJ2949" t="s">
        <v>51</v>
      </c>
      <c r="AK2949" t="s">
        <v>51</v>
      </c>
    </row>
    <row r="2950" spans="1:37" x14ac:dyDescent="0.2">
      <c r="A2950">
        <v>57288</v>
      </c>
      <c r="B2950" t="s">
        <v>37</v>
      </c>
      <c r="C2950" t="s">
        <v>38</v>
      </c>
      <c r="D2950" t="s">
        <v>674</v>
      </c>
      <c r="E2950" t="s">
        <v>40</v>
      </c>
      <c r="G2950" s="4">
        <v>43945.505972222222</v>
      </c>
      <c r="H2950" s="4">
        <v>43945.5065625</v>
      </c>
      <c r="I2950" t="s">
        <v>2171</v>
      </c>
      <c r="J2950" s="5">
        <v>51.00000000000000000000000000000000000002</v>
      </c>
      <c r="K2950" t="s">
        <v>38</v>
      </c>
      <c r="M2950">
        <v>57289</v>
      </c>
      <c r="N2950" t="s">
        <v>705</v>
      </c>
      <c r="O2950" t="s">
        <v>706</v>
      </c>
      <c r="P2950" t="s">
        <v>38</v>
      </c>
      <c r="Q2950" t="s">
        <v>238</v>
      </c>
      <c r="R2950">
        <v>9.00000000000000000000000000000000000003</v>
      </c>
      <c r="S2950" t="s">
        <v>45</v>
      </c>
      <c r="T295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0">
        <v>57290</v>
      </c>
      <c r="V2950" t="s">
        <v>38</v>
      </c>
      <c r="W2950" t="s">
        <v>238</v>
      </c>
      <c r="X2950">
        <v>9.00000000000000000000000000000000000003</v>
      </c>
      <c r="Y2950">
        <v>0</v>
      </c>
      <c r="Z2950" t="s">
        <v>46</v>
      </c>
      <c r="AA2950">
        <v>57345</v>
      </c>
      <c r="AB2950" t="s">
        <v>2270</v>
      </c>
      <c r="AC2950" t="s">
        <v>103</v>
      </c>
      <c r="AD2950" t="s">
        <v>38</v>
      </c>
      <c r="AE2950" t="s">
        <v>49</v>
      </c>
      <c r="AF2950" t="s">
        <v>50</v>
      </c>
      <c r="AG2950">
        <v>0</v>
      </c>
      <c r="AH2950">
        <v>0</v>
      </c>
      <c r="AI2950" t="s">
        <v>51</v>
      </c>
      <c r="AJ2950" t="s">
        <v>51</v>
      </c>
      <c r="AK2950" t="s">
        <v>51</v>
      </c>
    </row>
    <row r="2951" spans="1:37" x14ac:dyDescent="0.2">
      <c r="A2951">
        <v>57288</v>
      </c>
      <c r="B2951" t="s">
        <v>37</v>
      </c>
      <c r="C2951" t="s">
        <v>38</v>
      </c>
      <c r="D2951" t="s">
        <v>674</v>
      </c>
      <c r="E2951" t="s">
        <v>40</v>
      </c>
      <c r="G2951" s="4">
        <v>43945.505972222222</v>
      </c>
      <c r="H2951" s="4">
        <v>43945.5065625</v>
      </c>
      <c r="I2951" t="s">
        <v>2171</v>
      </c>
      <c r="J2951" s="5">
        <v>51.00000000000000000000000000000000000002</v>
      </c>
      <c r="K2951" t="s">
        <v>38</v>
      </c>
      <c r="M2951">
        <v>57289</v>
      </c>
      <c r="N2951" t="s">
        <v>705</v>
      </c>
      <c r="O2951" t="s">
        <v>706</v>
      </c>
      <c r="P2951" t="s">
        <v>38</v>
      </c>
      <c r="Q2951" t="s">
        <v>238</v>
      </c>
      <c r="R2951">
        <v>9.00000000000000000000000000000000000003</v>
      </c>
      <c r="S2951" t="s">
        <v>45</v>
      </c>
      <c r="T295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1">
        <v>57290</v>
      </c>
      <c r="V2951" t="s">
        <v>38</v>
      </c>
      <c r="W2951" t="s">
        <v>238</v>
      </c>
      <c r="X2951">
        <v>9.00000000000000000000000000000000000003</v>
      </c>
      <c r="Y2951">
        <v>0</v>
      </c>
      <c r="Z2951" t="s">
        <v>46</v>
      </c>
      <c r="AA2951">
        <v>57344</v>
      </c>
      <c r="AB2951" t="s">
        <v>2271</v>
      </c>
      <c r="AC2951" t="s">
        <v>103</v>
      </c>
      <c r="AD2951" t="s">
        <v>38</v>
      </c>
      <c r="AE2951" t="s">
        <v>49</v>
      </c>
      <c r="AF2951" t="s">
        <v>50</v>
      </c>
      <c r="AG2951">
        <v>0</v>
      </c>
      <c r="AH2951">
        <v>0</v>
      </c>
      <c r="AI2951" t="s">
        <v>51</v>
      </c>
      <c r="AJ2951" t="s">
        <v>51</v>
      </c>
      <c r="AK2951" t="s">
        <v>51</v>
      </c>
    </row>
    <row r="2952" spans="1:37" x14ac:dyDescent="0.2">
      <c r="A2952">
        <v>57288</v>
      </c>
      <c r="B2952" t="s">
        <v>37</v>
      </c>
      <c r="C2952" t="s">
        <v>38</v>
      </c>
      <c r="D2952" t="s">
        <v>674</v>
      </c>
      <c r="E2952" t="s">
        <v>40</v>
      </c>
      <c r="G2952" s="4">
        <v>43945.505972222222</v>
      </c>
      <c r="H2952" s="4">
        <v>43945.5065625</v>
      </c>
      <c r="I2952" t="s">
        <v>2171</v>
      </c>
      <c r="J2952" s="5">
        <v>51.00000000000000000000000000000000000002</v>
      </c>
      <c r="K2952" t="s">
        <v>38</v>
      </c>
      <c r="M2952">
        <v>57289</v>
      </c>
      <c r="N2952" t="s">
        <v>705</v>
      </c>
      <c r="O2952" t="s">
        <v>706</v>
      </c>
      <c r="P2952" t="s">
        <v>38</v>
      </c>
      <c r="Q2952" t="s">
        <v>238</v>
      </c>
      <c r="R2952">
        <v>9.00000000000000000000000000000000000003</v>
      </c>
      <c r="S2952" t="s">
        <v>45</v>
      </c>
      <c r="T295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2">
        <v>57290</v>
      </c>
      <c r="V2952" t="s">
        <v>38</v>
      </c>
      <c r="W2952" t="s">
        <v>238</v>
      </c>
      <c r="X2952">
        <v>9.00000000000000000000000000000000000003</v>
      </c>
      <c r="Y2952">
        <v>0</v>
      </c>
      <c r="Z2952" t="s">
        <v>46</v>
      </c>
      <c r="AA2952">
        <v>57343</v>
      </c>
      <c r="AB2952" t="s">
        <v>2272</v>
      </c>
      <c r="AC2952" t="s">
        <v>103</v>
      </c>
      <c r="AD2952" t="s">
        <v>38</v>
      </c>
      <c r="AE2952" t="s">
        <v>49</v>
      </c>
      <c r="AF2952" t="s">
        <v>50</v>
      </c>
      <c r="AG2952">
        <v>0</v>
      </c>
      <c r="AH2952">
        <v>0</v>
      </c>
      <c r="AI2952" t="s">
        <v>51</v>
      </c>
      <c r="AJ2952" t="s">
        <v>51</v>
      </c>
      <c r="AK2952" t="s">
        <v>51</v>
      </c>
    </row>
    <row r="2953" spans="1:37" x14ac:dyDescent="0.2">
      <c r="A2953">
        <v>57288</v>
      </c>
      <c r="B2953" t="s">
        <v>37</v>
      </c>
      <c r="C2953" t="s">
        <v>38</v>
      </c>
      <c r="D2953" t="s">
        <v>674</v>
      </c>
      <c r="E2953" t="s">
        <v>40</v>
      </c>
      <c r="G2953" s="4">
        <v>43945.505972222222</v>
      </c>
      <c r="H2953" s="4">
        <v>43945.5065625</v>
      </c>
      <c r="I2953" t="s">
        <v>2171</v>
      </c>
      <c r="J2953" s="5">
        <v>51.00000000000000000000000000000000000002</v>
      </c>
      <c r="K2953" t="s">
        <v>38</v>
      </c>
      <c r="M2953">
        <v>57289</v>
      </c>
      <c r="N2953" t="s">
        <v>705</v>
      </c>
      <c r="O2953" t="s">
        <v>706</v>
      </c>
      <c r="P2953" t="s">
        <v>38</v>
      </c>
      <c r="Q2953" t="s">
        <v>238</v>
      </c>
      <c r="R2953">
        <v>9.00000000000000000000000000000000000003</v>
      </c>
      <c r="S2953" t="s">
        <v>45</v>
      </c>
      <c r="T295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3">
        <v>57290</v>
      </c>
      <c r="V2953" t="s">
        <v>38</v>
      </c>
      <c r="W2953" t="s">
        <v>238</v>
      </c>
      <c r="X2953">
        <v>9.00000000000000000000000000000000000003</v>
      </c>
      <c r="Y2953">
        <v>0</v>
      </c>
      <c r="Z2953" t="s">
        <v>46</v>
      </c>
      <c r="AA2953">
        <v>57342</v>
      </c>
      <c r="AB2953" t="s">
        <v>2273</v>
      </c>
      <c r="AC2953" t="s">
        <v>103</v>
      </c>
      <c r="AD2953" t="s">
        <v>38</v>
      </c>
      <c r="AE2953" t="s">
        <v>49</v>
      </c>
      <c r="AF2953" t="s">
        <v>50</v>
      </c>
      <c r="AG2953">
        <v>0</v>
      </c>
      <c r="AH2953">
        <v>0</v>
      </c>
      <c r="AI2953" t="s">
        <v>51</v>
      </c>
      <c r="AJ2953" t="s">
        <v>51</v>
      </c>
      <c r="AK2953" t="s">
        <v>51</v>
      </c>
    </row>
    <row r="2954" spans="1:37" x14ac:dyDescent="0.2">
      <c r="A2954">
        <v>57288</v>
      </c>
      <c r="B2954" t="s">
        <v>37</v>
      </c>
      <c r="C2954" t="s">
        <v>38</v>
      </c>
      <c r="D2954" t="s">
        <v>674</v>
      </c>
      <c r="E2954" t="s">
        <v>40</v>
      </c>
      <c r="G2954" s="4">
        <v>43945.505972222222</v>
      </c>
      <c r="H2954" s="4">
        <v>43945.5065625</v>
      </c>
      <c r="I2954" t="s">
        <v>2171</v>
      </c>
      <c r="J2954" s="5">
        <v>51.00000000000000000000000000000000000002</v>
      </c>
      <c r="K2954" t="s">
        <v>38</v>
      </c>
      <c r="M2954">
        <v>57289</v>
      </c>
      <c r="N2954" t="s">
        <v>705</v>
      </c>
      <c r="O2954" t="s">
        <v>706</v>
      </c>
      <c r="P2954" t="s">
        <v>38</v>
      </c>
      <c r="Q2954" t="s">
        <v>238</v>
      </c>
      <c r="R2954">
        <v>9.00000000000000000000000000000000000003</v>
      </c>
      <c r="S2954" t="s">
        <v>45</v>
      </c>
      <c r="T295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4">
        <v>57290</v>
      </c>
      <c r="V2954" t="s">
        <v>38</v>
      </c>
      <c r="W2954" t="s">
        <v>238</v>
      </c>
      <c r="X2954">
        <v>9.00000000000000000000000000000000000003</v>
      </c>
      <c r="Y2954">
        <v>0</v>
      </c>
      <c r="Z2954" t="s">
        <v>46</v>
      </c>
      <c r="AA2954">
        <v>57341</v>
      </c>
      <c r="AB2954" t="s">
        <v>2274</v>
      </c>
      <c r="AC2954" t="s">
        <v>103</v>
      </c>
      <c r="AD2954" t="s">
        <v>38</v>
      </c>
      <c r="AE2954" t="s">
        <v>49</v>
      </c>
      <c r="AF2954" t="s">
        <v>50</v>
      </c>
      <c r="AG2954">
        <v>0</v>
      </c>
      <c r="AH2954">
        <v>0</v>
      </c>
      <c r="AI2954" t="s">
        <v>51</v>
      </c>
      <c r="AJ2954" t="s">
        <v>51</v>
      </c>
      <c r="AK2954" t="s">
        <v>51</v>
      </c>
    </row>
    <row r="2955" spans="1:37" x14ac:dyDescent="0.2">
      <c r="A2955">
        <v>57288</v>
      </c>
      <c r="B2955" t="s">
        <v>37</v>
      </c>
      <c r="C2955" t="s">
        <v>38</v>
      </c>
      <c r="D2955" t="s">
        <v>674</v>
      </c>
      <c r="E2955" t="s">
        <v>40</v>
      </c>
      <c r="G2955" s="4">
        <v>43945.505972222222</v>
      </c>
      <c r="H2955" s="4">
        <v>43945.5065625</v>
      </c>
      <c r="I2955" t="s">
        <v>2171</v>
      </c>
      <c r="J2955" s="5">
        <v>51.00000000000000000000000000000000000002</v>
      </c>
      <c r="K2955" t="s">
        <v>38</v>
      </c>
      <c r="M2955">
        <v>57289</v>
      </c>
      <c r="N2955" t="s">
        <v>705</v>
      </c>
      <c r="O2955" t="s">
        <v>706</v>
      </c>
      <c r="P2955" t="s">
        <v>38</v>
      </c>
      <c r="Q2955" t="s">
        <v>238</v>
      </c>
      <c r="R2955">
        <v>9.00000000000000000000000000000000000003</v>
      </c>
      <c r="S2955" t="s">
        <v>45</v>
      </c>
      <c r="T295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5">
        <v>57290</v>
      </c>
      <c r="V2955" t="s">
        <v>38</v>
      </c>
      <c r="W2955" t="s">
        <v>238</v>
      </c>
      <c r="X2955">
        <v>9.00000000000000000000000000000000000003</v>
      </c>
      <c r="Y2955">
        <v>0</v>
      </c>
      <c r="Z2955" t="s">
        <v>46</v>
      </c>
      <c r="AA2955">
        <v>57340</v>
      </c>
      <c r="AB2955" t="s">
        <v>2275</v>
      </c>
      <c r="AC2955" t="s">
        <v>103</v>
      </c>
      <c r="AD2955" t="s">
        <v>38</v>
      </c>
      <c r="AE2955" t="s">
        <v>49</v>
      </c>
      <c r="AF2955" t="s">
        <v>50</v>
      </c>
      <c r="AG2955">
        <v>0</v>
      </c>
      <c r="AH2955">
        <v>0</v>
      </c>
      <c r="AI2955" t="s">
        <v>51</v>
      </c>
      <c r="AJ2955" t="s">
        <v>51</v>
      </c>
      <c r="AK2955" t="s">
        <v>51</v>
      </c>
    </row>
    <row r="2956" spans="1:37" x14ac:dyDescent="0.2">
      <c r="A2956">
        <v>57288</v>
      </c>
      <c r="B2956" t="s">
        <v>37</v>
      </c>
      <c r="C2956" t="s">
        <v>38</v>
      </c>
      <c r="D2956" t="s">
        <v>674</v>
      </c>
      <c r="E2956" t="s">
        <v>40</v>
      </c>
      <c r="G2956" s="4">
        <v>43945.505972222222</v>
      </c>
      <c r="H2956" s="4">
        <v>43945.5065625</v>
      </c>
      <c r="I2956" t="s">
        <v>2171</v>
      </c>
      <c r="J2956" s="5">
        <v>51.00000000000000000000000000000000000002</v>
      </c>
      <c r="K2956" t="s">
        <v>38</v>
      </c>
      <c r="M2956">
        <v>57289</v>
      </c>
      <c r="N2956" t="s">
        <v>705</v>
      </c>
      <c r="O2956" t="s">
        <v>706</v>
      </c>
      <c r="P2956" t="s">
        <v>38</v>
      </c>
      <c r="Q2956" t="s">
        <v>238</v>
      </c>
      <c r="R2956">
        <v>9.00000000000000000000000000000000000003</v>
      </c>
      <c r="S2956" t="s">
        <v>45</v>
      </c>
      <c r="T295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6">
        <v>57290</v>
      </c>
      <c r="V2956" t="s">
        <v>38</v>
      </c>
      <c r="W2956" t="s">
        <v>238</v>
      </c>
      <c r="X2956">
        <v>9.00000000000000000000000000000000000003</v>
      </c>
      <c r="Y2956">
        <v>0</v>
      </c>
      <c r="Z2956" t="s">
        <v>46</v>
      </c>
      <c r="AA2956">
        <v>57339</v>
      </c>
      <c r="AB2956" t="s">
        <v>2276</v>
      </c>
      <c r="AC2956" t="s">
        <v>103</v>
      </c>
      <c r="AD2956" t="s">
        <v>38</v>
      </c>
      <c r="AE2956" t="s">
        <v>49</v>
      </c>
      <c r="AF2956" t="s">
        <v>50</v>
      </c>
      <c r="AG2956">
        <v>0</v>
      </c>
      <c r="AH2956">
        <v>0</v>
      </c>
      <c r="AI2956" t="s">
        <v>51</v>
      </c>
      <c r="AJ2956" t="s">
        <v>51</v>
      </c>
      <c r="AK2956" t="s">
        <v>51</v>
      </c>
    </row>
    <row r="2957" spans="1:37" x14ac:dyDescent="0.2">
      <c r="A2957">
        <v>57288</v>
      </c>
      <c r="B2957" t="s">
        <v>37</v>
      </c>
      <c r="C2957" t="s">
        <v>38</v>
      </c>
      <c r="D2957" t="s">
        <v>674</v>
      </c>
      <c r="E2957" t="s">
        <v>40</v>
      </c>
      <c r="G2957" s="4">
        <v>43945.505972222222</v>
      </c>
      <c r="H2957" s="4">
        <v>43945.5065625</v>
      </c>
      <c r="I2957" t="s">
        <v>2171</v>
      </c>
      <c r="J2957" s="5">
        <v>51.00000000000000000000000000000000000002</v>
      </c>
      <c r="K2957" t="s">
        <v>38</v>
      </c>
      <c r="M2957">
        <v>57289</v>
      </c>
      <c r="N2957" t="s">
        <v>705</v>
      </c>
      <c r="O2957" t="s">
        <v>706</v>
      </c>
      <c r="P2957" t="s">
        <v>38</v>
      </c>
      <c r="Q2957" t="s">
        <v>238</v>
      </c>
      <c r="R2957">
        <v>9.00000000000000000000000000000000000003</v>
      </c>
      <c r="S2957" t="s">
        <v>45</v>
      </c>
      <c r="T295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7">
        <v>57290</v>
      </c>
      <c r="V2957" t="s">
        <v>38</v>
      </c>
      <c r="W2957" t="s">
        <v>238</v>
      </c>
      <c r="X2957">
        <v>9.00000000000000000000000000000000000003</v>
      </c>
      <c r="Y2957">
        <v>0</v>
      </c>
      <c r="Z2957" t="s">
        <v>46</v>
      </c>
      <c r="AA2957">
        <v>57338</v>
      </c>
      <c r="AB2957" t="s">
        <v>2277</v>
      </c>
      <c r="AC2957" t="s">
        <v>103</v>
      </c>
      <c r="AD2957" t="s">
        <v>38</v>
      </c>
      <c r="AE2957" t="s">
        <v>49</v>
      </c>
      <c r="AF2957" t="s">
        <v>50</v>
      </c>
      <c r="AG2957">
        <v>0</v>
      </c>
      <c r="AH2957">
        <v>0</v>
      </c>
      <c r="AI2957" t="s">
        <v>51</v>
      </c>
      <c r="AJ2957" t="s">
        <v>51</v>
      </c>
      <c r="AK2957" t="s">
        <v>51</v>
      </c>
    </row>
    <row r="2958" spans="1:37" x14ac:dyDescent="0.2">
      <c r="A2958">
        <v>57288</v>
      </c>
      <c r="B2958" t="s">
        <v>37</v>
      </c>
      <c r="C2958" t="s">
        <v>38</v>
      </c>
      <c r="D2958" t="s">
        <v>674</v>
      </c>
      <c r="E2958" t="s">
        <v>40</v>
      </c>
      <c r="G2958" s="4">
        <v>43945.505972222222</v>
      </c>
      <c r="H2958" s="4">
        <v>43945.5065625</v>
      </c>
      <c r="I2958" t="s">
        <v>2171</v>
      </c>
      <c r="J2958" s="5">
        <v>51.00000000000000000000000000000000000002</v>
      </c>
      <c r="K2958" t="s">
        <v>38</v>
      </c>
      <c r="M2958">
        <v>57289</v>
      </c>
      <c r="N2958" t="s">
        <v>705</v>
      </c>
      <c r="O2958" t="s">
        <v>706</v>
      </c>
      <c r="P2958" t="s">
        <v>38</v>
      </c>
      <c r="Q2958" t="s">
        <v>238</v>
      </c>
      <c r="R2958">
        <v>9.00000000000000000000000000000000000003</v>
      </c>
      <c r="S2958" t="s">
        <v>45</v>
      </c>
      <c r="T295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8">
        <v>57290</v>
      </c>
      <c r="V2958" t="s">
        <v>38</v>
      </c>
      <c r="W2958" t="s">
        <v>238</v>
      </c>
      <c r="X2958">
        <v>9.00000000000000000000000000000000000003</v>
      </c>
      <c r="Y2958">
        <v>0</v>
      </c>
      <c r="Z2958" t="s">
        <v>46</v>
      </c>
      <c r="AA2958">
        <v>57337</v>
      </c>
      <c r="AB2958" t="s">
        <v>2278</v>
      </c>
      <c r="AC2958" t="s">
        <v>103</v>
      </c>
      <c r="AD2958" t="s">
        <v>38</v>
      </c>
      <c r="AE2958" t="s">
        <v>49</v>
      </c>
      <c r="AF2958" t="s">
        <v>50</v>
      </c>
      <c r="AG2958">
        <v>0</v>
      </c>
      <c r="AH2958">
        <v>0</v>
      </c>
      <c r="AI2958" t="s">
        <v>51</v>
      </c>
      <c r="AJ2958" t="s">
        <v>51</v>
      </c>
      <c r="AK2958" t="s">
        <v>51</v>
      </c>
    </row>
    <row r="2959" spans="1:37" x14ac:dyDescent="0.2">
      <c r="A2959">
        <v>57288</v>
      </c>
      <c r="B2959" t="s">
        <v>37</v>
      </c>
      <c r="C2959" t="s">
        <v>38</v>
      </c>
      <c r="D2959" t="s">
        <v>674</v>
      </c>
      <c r="E2959" t="s">
        <v>40</v>
      </c>
      <c r="G2959" s="4">
        <v>43945.505972222222</v>
      </c>
      <c r="H2959" s="4">
        <v>43945.5065625</v>
      </c>
      <c r="I2959" t="s">
        <v>2171</v>
      </c>
      <c r="J2959" s="5">
        <v>51.00000000000000000000000000000000000002</v>
      </c>
      <c r="K2959" t="s">
        <v>38</v>
      </c>
      <c r="M2959">
        <v>57289</v>
      </c>
      <c r="N2959" t="s">
        <v>705</v>
      </c>
      <c r="O2959" t="s">
        <v>706</v>
      </c>
      <c r="P2959" t="s">
        <v>38</v>
      </c>
      <c r="Q2959" t="s">
        <v>238</v>
      </c>
      <c r="R2959">
        <v>9.00000000000000000000000000000000000003</v>
      </c>
      <c r="S2959" t="s">
        <v>45</v>
      </c>
      <c r="T295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59">
        <v>57290</v>
      </c>
      <c r="V2959" t="s">
        <v>38</v>
      </c>
      <c r="W2959" t="s">
        <v>238</v>
      </c>
      <c r="X2959">
        <v>9.00000000000000000000000000000000000003</v>
      </c>
      <c r="Y2959">
        <v>0</v>
      </c>
      <c r="Z2959" t="s">
        <v>46</v>
      </c>
      <c r="AA2959">
        <v>57336</v>
      </c>
      <c r="AB2959" t="s">
        <v>2279</v>
      </c>
      <c r="AC2959" t="s">
        <v>103</v>
      </c>
      <c r="AD2959" t="s">
        <v>38</v>
      </c>
      <c r="AE2959" t="s">
        <v>49</v>
      </c>
      <c r="AF2959" t="s">
        <v>50</v>
      </c>
      <c r="AG2959">
        <v>0</v>
      </c>
      <c r="AH2959">
        <v>0</v>
      </c>
      <c r="AI2959" t="s">
        <v>51</v>
      </c>
      <c r="AJ2959" t="s">
        <v>51</v>
      </c>
      <c r="AK2959" t="s">
        <v>51</v>
      </c>
    </row>
    <row r="2960" spans="1:37" x14ac:dyDescent="0.2">
      <c r="A2960">
        <v>57288</v>
      </c>
      <c r="B2960" t="s">
        <v>37</v>
      </c>
      <c r="C2960" t="s">
        <v>38</v>
      </c>
      <c r="D2960" t="s">
        <v>674</v>
      </c>
      <c r="E2960" t="s">
        <v>40</v>
      </c>
      <c r="G2960" s="4">
        <v>43945.505972222222</v>
      </c>
      <c r="H2960" s="4">
        <v>43945.5065625</v>
      </c>
      <c r="I2960" t="s">
        <v>2171</v>
      </c>
      <c r="J2960" s="5">
        <v>51.00000000000000000000000000000000000002</v>
      </c>
      <c r="K2960" t="s">
        <v>38</v>
      </c>
      <c r="M2960">
        <v>57289</v>
      </c>
      <c r="N2960" t="s">
        <v>705</v>
      </c>
      <c r="O2960" t="s">
        <v>706</v>
      </c>
      <c r="P2960" t="s">
        <v>38</v>
      </c>
      <c r="Q2960" t="s">
        <v>238</v>
      </c>
      <c r="R2960">
        <v>9.00000000000000000000000000000000000003</v>
      </c>
      <c r="S2960" t="s">
        <v>45</v>
      </c>
      <c r="T296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0">
        <v>57290</v>
      </c>
      <c r="V2960" t="s">
        <v>38</v>
      </c>
      <c r="W2960" t="s">
        <v>238</v>
      </c>
      <c r="X2960">
        <v>9.00000000000000000000000000000000000003</v>
      </c>
      <c r="Y2960">
        <v>0</v>
      </c>
      <c r="Z2960" t="s">
        <v>46</v>
      </c>
      <c r="AA2960">
        <v>57335</v>
      </c>
      <c r="AB2960" t="s">
        <v>2280</v>
      </c>
      <c r="AC2960" t="s">
        <v>103</v>
      </c>
      <c r="AD2960" t="s">
        <v>38</v>
      </c>
      <c r="AE2960" t="s">
        <v>49</v>
      </c>
      <c r="AF2960" t="s">
        <v>50</v>
      </c>
      <c r="AG2960">
        <v>0</v>
      </c>
      <c r="AH2960">
        <v>0</v>
      </c>
      <c r="AI2960" t="s">
        <v>51</v>
      </c>
      <c r="AJ2960" t="s">
        <v>51</v>
      </c>
      <c r="AK2960" t="s">
        <v>51</v>
      </c>
    </row>
    <row r="2961" spans="1:37" x14ac:dyDescent="0.2">
      <c r="A2961">
        <v>57288</v>
      </c>
      <c r="B2961" t="s">
        <v>37</v>
      </c>
      <c r="C2961" t="s">
        <v>38</v>
      </c>
      <c r="D2961" t="s">
        <v>674</v>
      </c>
      <c r="E2961" t="s">
        <v>40</v>
      </c>
      <c r="G2961" s="4">
        <v>43945.505972222222</v>
      </c>
      <c r="H2961" s="4">
        <v>43945.5065625</v>
      </c>
      <c r="I2961" t="s">
        <v>2171</v>
      </c>
      <c r="J2961" s="5">
        <v>51.00000000000000000000000000000000000002</v>
      </c>
      <c r="K2961" t="s">
        <v>38</v>
      </c>
      <c r="M2961">
        <v>57289</v>
      </c>
      <c r="N2961" t="s">
        <v>705</v>
      </c>
      <c r="O2961" t="s">
        <v>706</v>
      </c>
      <c r="P2961" t="s">
        <v>38</v>
      </c>
      <c r="Q2961" t="s">
        <v>238</v>
      </c>
      <c r="R2961">
        <v>9.00000000000000000000000000000000000003</v>
      </c>
      <c r="S2961" t="s">
        <v>45</v>
      </c>
      <c r="T296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1">
        <v>57290</v>
      </c>
      <c r="V2961" t="s">
        <v>38</v>
      </c>
      <c r="W2961" t="s">
        <v>238</v>
      </c>
      <c r="X2961">
        <v>9.00000000000000000000000000000000000003</v>
      </c>
      <c r="Y2961">
        <v>0</v>
      </c>
      <c r="Z2961" t="s">
        <v>46</v>
      </c>
      <c r="AA2961">
        <v>57334</v>
      </c>
      <c r="AB2961" t="s">
        <v>2281</v>
      </c>
      <c r="AC2961" t="s">
        <v>103</v>
      </c>
      <c r="AD2961" t="s">
        <v>38</v>
      </c>
      <c r="AE2961" t="s">
        <v>49</v>
      </c>
      <c r="AF2961" t="s">
        <v>50</v>
      </c>
      <c r="AG2961">
        <v>0</v>
      </c>
      <c r="AH2961">
        <v>0</v>
      </c>
      <c r="AI2961" t="s">
        <v>51</v>
      </c>
      <c r="AJ2961" t="s">
        <v>51</v>
      </c>
      <c r="AK2961" t="s">
        <v>51</v>
      </c>
    </row>
    <row r="2962" spans="1:37" x14ac:dyDescent="0.2">
      <c r="A2962">
        <v>57288</v>
      </c>
      <c r="B2962" t="s">
        <v>37</v>
      </c>
      <c r="C2962" t="s">
        <v>38</v>
      </c>
      <c r="D2962" t="s">
        <v>674</v>
      </c>
      <c r="E2962" t="s">
        <v>40</v>
      </c>
      <c r="G2962" s="4">
        <v>43945.505972222222</v>
      </c>
      <c r="H2962" s="4">
        <v>43945.5065625</v>
      </c>
      <c r="I2962" t="s">
        <v>2171</v>
      </c>
      <c r="J2962" s="5">
        <v>51.00000000000000000000000000000000000002</v>
      </c>
      <c r="K2962" t="s">
        <v>38</v>
      </c>
      <c r="M2962">
        <v>57289</v>
      </c>
      <c r="N2962" t="s">
        <v>705</v>
      </c>
      <c r="O2962" t="s">
        <v>706</v>
      </c>
      <c r="P2962" t="s">
        <v>38</v>
      </c>
      <c r="Q2962" t="s">
        <v>238</v>
      </c>
      <c r="R2962">
        <v>9.00000000000000000000000000000000000003</v>
      </c>
      <c r="S2962" t="s">
        <v>45</v>
      </c>
      <c r="T296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2">
        <v>57290</v>
      </c>
      <c r="V2962" t="s">
        <v>38</v>
      </c>
      <c r="W2962" t="s">
        <v>238</v>
      </c>
      <c r="X2962">
        <v>9.00000000000000000000000000000000000003</v>
      </c>
      <c r="Y2962">
        <v>0</v>
      </c>
      <c r="Z2962" t="s">
        <v>46</v>
      </c>
      <c r="AA2962">
        <v>57333</v>
      </c>
      <c r="AB2962" t="s">
        <v>2282</v>
      </c>
      <c r="AC2962" t="s">
        <v>103</v>
      </c>
      <c r="AD2962" t="s">
        <v>38</v>
      </c>
      <c r="AE2962" t="s">
        <v>49</v>
      </c>
      <c r="AF2962" t="s">
        <v>50</v>
      </c>
      <c r="AG2962">
        <v>0</v>
      </c>
      <c r="AH2962">
        <v>0</v>
      </c>
      <c r="AI2962" t="s">
        <v>51</v>
      </c>
      <c r="AJ2962" t="s">
        <v>51</v>
      </c>
      <c r="AK2962" t="s">
        <v>51</v>
      </c>
    </row>
    <row r="2963" spans="1:37" x14ac:dyDescent="0.2">
      <c r="A2963">
        <v>57288</v>
      </c>
      <c r="B2963" t="s">
        <v>37</v>
      </c>
      <c r="C2963" t="s">
        <v>38</v>
      </c>
      <c r="D2963" t="s">
        <v>674</v>
      </c>
      <c r="E2963" t="s">
        <v>40</v>
      </c>
      <c r="G2963" s="4">
        <v>43945.505972222222</v>
      </c>
      <c r="H2963" s="4">
        <v>43945.5065625</v>
      </c>
      <c r="I2963" t="s">
        <v>2171</v>
      </c>
      <c r="J2963" s="5">
        <v>51.00000000000000000000000000000000000002</v>
      </c>
      <c r="K2963" t="s">
        <v>38</v>
      </c>
      <c r="M2963">
        <v>57289</v>
      </c>
      <c r="N2963" t="s">
        <v>705</v>
      </c>
      <c r="O2963" t="s">
        <v>706</v>
      </c>
      <c r="P2963" t="s">
        <v>38</v>
      </c>
      <c r="Q2963" t="s">
        <v>238</v>
      </c>
      <c r="R2963">
        <v>9.00000000000000000000000000000000000003</v>
      </c>
      <c r="S2963" t="s">
        <v>45</v>
      </c>
      <c r="T296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3">
        <v>57290</v>
      </c>
      <c r="V2963" t="s">
        <v>38</v>
      </c>
      <c r="W2963" t="s">
        <v>238</v>
      </c>
      <c r="X2963">
        <v>9.00000000000000000000000000000000000003</v>
      </c>
      <c r="Y2963">
        <v>0</v>
      </c>
      <c r="Z2963" t="s">
        <v>46</v>
      </c>
      <c r="AA2963">
        <v>57332</v>
      </c>
      <c r="AB2963" t="s">
        <v>2283</v>
      </c>
      <c r="AC2963" t="s">
        <v>103</v>
      </c>
      <c r="AD2963" t="s">
        <v>38</v>
      </c>
      <c r="AE2963" t="s">
        <v>49</v>
      </c>
      <c r="AF2963" t="s">
        <v>50</v>
      </c>
      <c r="AG2963">
        <v>0</v>
      </c>
      <c r="AH2963">
        <v>0</v>
      </c>
      <c r="AI2963" t="s">
        <v>51</v>
      </c>
      <c r="AJ2963" t="s">
        <v>51</v>
      </c>
      <c r="AK2963" t="s">
        <v>51</v>
      </c>
    </row>
    <row r="2964" spans="1:37" x14ac:dyDescent="0.2">
      <c r="A2964">
        <v>57288</v>
      </c>
      <c r="B2964" t="s">
        <v>37</v>
      </c>
      <c r="C2964" t="s">
        <v>38</v>
      </c>
      <c r="D2964" t="s">
        <v>674</v>
      </c>
      <c r="E2964" t="s">
        <v>40</v>
      </c>
      <c r="G2964" s="4">
        <v>43945.505972222222</v>
      </c>
      <c r="H2964" s="4">
        <v>43945.5065625</v>
      </c>
      <c r="I2964" t="s">
        <v>2171</v>
      </c>
      <c r="J2964" s="5">
        <v>51.00000000000000000000000000000000000002</v>
      </c>
      <c r="K2964" t="s">
        <v>38</v>
      </c>
      <c r="M2964">
        <v>57289</v>
      </c>
      <c r="N2964" t="s">
        <v>705</v>
      </c>
      <c r="O2964" t="s">
        <v>706</v>
      </c>
      <c r="P2964" t="s">
        <v>38</v>
      </c>
      <c r="Q2964" t="s">
        <v>238</v>
      </c>
      <c r="R2964">
        <v>9.00000000000000000000000000000000000003</v>
      </c>
      <c r="S2964" t="s">
        <v>45</v>
      </c>
      <c r="T296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4">
        <v>57290</v>
      </c>
      <c r="V2964" t="s">
        <v>38</v>
      </c>
      <c r="W2964" t="s">
        <v>238</v>
      </c>
      <c r="X2964">
        <v>9.00000000000000000000000000000000000003</v>
      </c>
      <c r="Y2964">
        <v>0</v>
      </c>
      <c r="Z2964" t="s">
        <v>46</v>
      </c>
      <c r="AA2964">
        <v>57331</v>
      </c>
      <c r="AB2964" t="s">
        <v>2284</v>
      </c>
      <c r="AC2964" t="s">
        <v>103</v>
      </c>
      <c r="AD2964" t="s">
        <v>38</v>
      </c>
      <c r="AE2964" t="s">
        <v>49</v>
      </c>
      <c r="AF2964" t="s">
        <v>50</v>
      </c>
      <c r="AG2964">
        <v>0</v>
      </c>
      <c r="AH2964">
        <v>0</v>
      </c>
      <c r="AI2964" t="s">
        <v>51</v>
      </c>
      <c r="AJ2964" t="s">
        <v>51</v>
      </c>
      <c r="AK2964" t="s">
        <v>51</v>
      </c>
    </row>
    <row r="2965" spans="1:37" x14ac:dyDescent="0.2">
      <c r="A2965">
        <v>57288</v>
      </c>
      <c r="B2965" t="s">
        <v>37</v>
      </c>
      <c r="C2965" t="s">
        <v>38</v>
      </c>
      <c r="D2965" t="s">
        <v>674</v>
      </c>
      <c r="E2965" t="s">
        <v>40</v>
      </c>
      <c r="G2965" s="4">
        <v>43945.505972222222</v>
      </c>
      <c r="H2965" s="4">
        <v>43945.5065625</v>
      </c>
      <c r="I2965" t="s">
        <v>2171</v>
      </c>
      <c r="J2965" s="5">
        <v>51.00000000000000000000000000000000000002</v>
      </c>
      <c r="K2965" t="s">
        <v>38</v>
      </c>
      <c r="M2965">
        <v>57289</v>
      </c>
      <c r="N2965" t="s">
        <v>705</v>
      </c>
      <c r="O2965" t="s">
        <v>706</v>
      </c>
      <c r="P2965" t="s">
        <v>38</v>
      </c>
      <c r="Q2965" t="s">
        <v>238</v>
      </c>
      <c r="R2965">
        <v>9.00000000000000000000000000000000000003</v>
      </c>
      <c r="S2965" t="s">
        <v>45</v>
      </c>
      <c r="T296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5">
        <v>57290</v>
      </c>
      <c r="V2965" t="s">
        <v>38</v>
      </c>
      <c r="W2965" t="s">
        <v>238</v>
      </c>
      <c r="X2965">
        <v>9.00000000000000000000000000000000000003</v>
      </c>
      <c r="Y2965">
        <v>0</v>
      </c>
      <c r="Z2965" t="s">
        <v>46</v>
      </c>
      <c r="AA2965">
        <v>57330</v>
      </c>
      <c r="AB2965" t="s">
        <v>2285</v>
      </c>
      <c r="AC2965" t="s">
        <v>103</v>
      </c>
      <c r="AD2965" t="s">
        <v>38</v>
      </c>
      <c r="AE2965" t="s">
        <v>49</v>
      </c>
      <c r="AF2965" t="s">
        <v>50</v>
      </c>
      <c r="AG2965">
        <v>0</v>
      </c>
      <c r="AH2965">
        <v>0</v>
      </c>
      <c r="AI2965" t="s">
        <v>51</v>
      </c>
      <c r="AJ2965" t="s">
        <v>51</v>
      </c>
      <c r="AK2965" t="s">
        <v>51</v>
      </c>
    </row>
    <row r="2966" spans="1:37" x14ac:dyDescent="0.2">
      <c r="A2966">
        <v>57288</v>
      </c>
      <c r="B2966" t="s">
        <v>37</v>
      </c>
      <c r="C2966" t="s">
        <v>38</v>
      </c>
      <c r="D2966" t="s">
        <v>674</v>
      </c>
      <c r="E2966" t="s">
        <v>40</v>
      </c>
      <c r="G2966" s="4">
        <v>43945.505972222222</v>
      </c>
      <c r="H2966" s="4">
        <v>43945.5065625</v>
      </c>
      <c r="I2966" t="s">
        <v>2171</v>
      </c>
      <c r="J2966" s="5">
        <v>51.00000000000000000000000000000000000002</v>
      </c>
      <c r="K2966" t="s">
        <v>38</v>
      </c>
      <c r="M2966">
        <v>57289</v>
      </c>
      <c r="N2966" t="s">
        <v>705</v>
      </c>
      <c r="O2966" t="s">
        <v>706</v>
      </c>
      <c r="P2966" t="s">
        <v>38</v>
      </c>
      <c r="Q2966" t="s">
        <v>238</v>
      </c>
      <c r="R2966">
        <v>9.00000000000000000000000000000000000003</v>
      </c>
      <c r="S2966" t="s">
        <v>45</v>
      </c>
      <c r="T296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6">
        <v>57290</v>
      </c>
      <c r="V2966" t="s">
        <v>38</v>
      </c>
      <c r="W2966" t="s">
        <v>238</v>
      </c>
      <c r="X2966">
        <v>9.00000000000000000000000000000000000003</v>
      </c>
      <c r="Y2966">
        <v>0</v>
      </c>
      <c r="Z2966" t="s">
        <v>46</v>
      </c>
      <c r="AA2966">
        <v>57329</v>
      </c>
      <c r="AB2966" t="s">
        <v>2286</v>
      </c>
      <c r="AC2966" t="s">
        <v>103</v>
      </c>
      <c r="AD2966" t="s">
        <v>38</v>
      </c>
      <c r="AE2966" t="s">
        <v>49</v>
      </c>
      <c r="AF2966" t="s">
        <v>50</v>
      </c>
      <c r="AG2966">
        <v>0</v>
      </c>
      <c r="AH2966">
        <v>0</v>
      </c>
      <c r="AI2966" t="s">
        <v>51</v>
      </c>
      <c r="AJ2966" t="s">
        <v>51</v>
      </c>
      <c r="AK2966" t="s">
        <v>51</v>
      </c>
    </row>
    <row r="2967" spans="1:37" x14ac:dyDescent="0.2">
      <c r="A2967">
        <v>57288</v>
      </c>
      <c r="B2967" t="s">
        <v>37</v>
      </c>
      <c r="C2967" t="s">
        <v>38</v>
      </c>
      <c r="D2967" t="s">
        <v>674</v>
      </c>
      <c r="E2967" t="s">
        <v>40</v>
      </c>
      <c r="G2967" s="4">
        <v>43945.505972222222</v>
      </c>
      <c r="H2967" s="4">
        <v>43945.5065625</v>
      </c>
      <c r="I2967" t="s">
        <v>2171</v>
      </c>
      <c r="J2967" s="5">
        <v>51.00000000000000000000000000000000000002</v>
      </c>
      <c r="K2967" t="s">
        <v>38</v>
      </c>
      <c r="M2967">
        <v>57289</v>
      </c>
      <c r="N2967" t="s">
        <v>705</v>
      </c>
      <c r="O2967" t="s">
        <v>706</v>
      </c>
      <c r="P2967" t="s">
        <v>38</v>
      </c>
      <c r="Q2967" t="s">
        <v>238</v>
      </c>
      <c r="R2967">
        <v>9.00000000000000000000000000000000000003</v>
      </c>
      <c r="S2967" t="s">
        <v>45</v>
      </c>
      <c r="T296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7">
        <v>57290</v>
      </c>
      <c r="V2967" t="s">
        <v>38</v>
      </c>
      <c r="W2967" t="s">
        <v>238</v>
      </c>
      <c r="X2967">
        <v>9.00000000000000000000000000000000000003</v>
      </c>
      <c r="Y2967">
        <v>0</v>
      </c>
      <c r="Z2967" t="s">
        <v>46</v>
      </c>
      <c r="AA2967">
        <v>57328</v>
      </c>
      <c r="AB2967" t="s">
        <v>2287</v>
      </c>
      <c r="AC2967" t="s">
        <v>103</v>
      </c>
      <c r="AD2967" t="s">
        <v>38</v>
      </c>
      <c r="AE2967" t="s">
        <v>49</v>
      </c>
      <c r="AF2967" t="s">
        <v>50</v>
      </c>
      <c r="AG2967">
        <v>0</v>
      </c>
      <c r="AH2967">
        <v>0</v>
      </c>
      <c r="AI2967" t="s">
        <v>51</v>
      </c>
      <c r="AJ2967" t="s">
        <v>51</v>
      </c>
      <c r="AK2967" t="s">
        <v>51</v>
      </c>
    </row>
    <row r="2968" spans="1:37" x14ac:dyDescent="0.2">
      <c r="A2968">
        <v>57288</v>
      </c>
      <c r="B2968" t="s">
        <v>37</v>
      </c>
      <c r="C2968" t="s">
        <v>38</v>
      </c>
      <c r="D2968" t="s">
        <v>674</v>
      </c>
      <c r="E2968" t="s">
        <v>40</v>
      </c>
      <c r="G2968" s="4">
        <v>43945.505972222222</v>
      </c>
      <c r="H2968" s="4">
        <v>43945.5065625</v>
      </c>
      <c r="I2968" t="s">
        <v>2171</v>
      </c>
      <c r="J2968" s="5">
        <v>51.00000000000000000000000000000000000002</v>
      </c>
      <c r="K2968" t="s">
        <v>38</v>
      </c>
      <c r="M2968">
        <v>57289</v>
      </c>
      <c r="N2968" t="s">
        <v>705</v>
      </c>
      <c r="O2968" t="s">
        <v>706</v>
      </c>
      <c r="P2968" t="s">
        <v>38</v>
      </c>
      <c r="Q2968" t="s">
        <v>238</v>
      </c>
      <c r="R2968">
        <v>9.00000000000000000000000000000000000003</v>
      </c>
      <c r="S2968" t="s">
        <v>45</v>
      </c>
      <c r="T296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8">
        <v>57290</v>
      </c>
      <c r="V2968" t="s">
        <v>38</v>
      </c>
      <c r="W2968" t="s">
        <v>238</v>
      </c>
      <c r="X2968">
        <v>9.00000000000000000000000000000000000003</v>
      </c>
      <c r="Y2968">
        <v>0</v>
      </c>
      <c r="Z2968" t="s">
        <v>46</v>
      </c>
      <c r="AA2968">
        <v>57327</v>
      </c>
      <c r="AB2968" t="s">
        <v>2288</v>
      </c>
      <c r="AC2968" t="s">
        <v>103</v>
      </c>
      <c r="AD2968" t="s">
        <v>38</v>
      </c>
      <c r="AE2968" t="s">
        <v>49</v>
      </c>
      <c r="AF2968" t="s">
        <v>50</v>
      </c>
      <c r="AG2968">
        <v>0</v>
      </c>
      <c r="AH2968">
        <v>0</v>
      </c>
      <c r="AI2968" t="s">
        <v>51</v>
      </c>
      <c r="AJ2968" t="s">
        <v>51</v>
      </c>
      <c r="AK2968" t="s">
        <v>51</v>
      </c>
    </row>
    <row r="2969" spans="1:37" x14ac:dyDescent="0.2">
      <c r="A2969">
        <v>57288</v>
      </c>
      <c r="B2969" t="s">
        <v>37</v>
      </c>
      <c r="C2969" t="s">
        <v>38</v>
      </c>
      <c r="D2969" t="s">
        <v>674</v>
      </c>
      <c r="E2969" t="s">
        <v>40</v>
      </c>
      <c r="G2969" s="4">
        <v>43945.505972222222</v>
      </c>
      <c r="H2969" s="4">
        <v>43945.5065625</v>
      </c>
      <c r="I2969" t="s">
        <v>2171</v>
      </c>
      <c r="J2969" s="5">
        <v>51.00000000000000000000000000000000000002</v>
      </c>
      <c r="K2969" t="s">
        <v>38</v>
      </c>
      <c r="M2969">
        <v>57289</v>
      </c>
      <c r="N2969" t="s">
        <v>705</v>
      </c>
      <c r="O2969" t="s">
        <v>706</v>
      </c>
      <c r="P2969" t="s">
        <v>38</v>
      </c>
      <c r="Q2969" t="s">
        <v>238</v>
      </c>
      <c r="R2969">
        <v>9.00000000000000000000000000000000000003</v>
      </c>
      <c r="S2969" t="s">
        <v>45</v>
      </c>
      <c r="T296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69">
        <v>57290</v>
      </c>
      <c r="V2969" t="s">
        <v>38</v>
      </c>
      <c r="W2969" t="s">
        <v>238</v>
      </c>
      <c r="X2969">
        <v>9.00000000000000000000000000000000000003</v>
      </c>
      <c r="Y2969">
        <v>0</v>
      </c>
      <c r="Z2969" t="s">
        <v>46</v>
      </c>
      <c r="AA2969">
        <v>57326</v>
      </c>
      <c r="AB2969" t="s">
        <v>2289</v>
      </c>
      <c r="AC2969" t="s">
        <v>103</v>
      </c>
      <c r="AD2969" t="s">
        <v>38</v>
      </c>
      <c r="AE2969" t="s">
        <v>49</v>
      </c>
      <c r="AF2969" t="s">
        <v>50</v>
      </c>
      <c r="AG2969">
        <v>0</v>
      </c>
      <c r="AH2969">
        <v>0</v>
      </c>
      <c r="AI2969" t="s">
        <v>51</v>
      </c>
      <c r="AJ2969" t="s">
        <v>51</v>
      </c>
      <c r="AK2969" t="s">
        <v>51</v>
      </c>
    </row>
    <row r="2970" spans="1:37" x14ac:dyDescent="0.2">
      <c r="A2970">
        <v>57288</v>
      </c>
      <c r="B2970" t="s">
        <v>37</v>
      </c>
      <c r="C2970" t="s">
        <v>38</v>
      </c>
      <c r="D2970" t="s">
        <v>674</v>
      </c>
      <c r="E2970" t="s">
        <v>40</v>
      </c>
      <c r="G2970" s="4">
        <v>43945.505972222222</v>
      </c>
      <c r="H2970" s="4">
        <v>43945.5065625</v>
      </c>
      <c r="I2970" t="s">
        <v>2171</v>
      </c>
      <c r="J2970" s="5">
        <v>51.00000000000000000000000000000000000002</v>
      </c>
      <c r="K2970" t="s">
        <v>38</v>
      </c>
      <c r="M2970">
        <v>57289</v>
      </c>
      <c r="N2970" t="s">
        <v>705</v>
      </c>
      <c r="O2970" t="s">
        <v>706</v>
      </c>
      <c r="P2970" t="s">
        <v>38</v>
      </c>
      <c r="Q2970" t="s">
        <v>238</v>
      </c>
      <c r="R2970">
        <v>9.00000000000000000000000000000000000003</v>
      </c>
      <c r="S2970" t="s">
        <v>45</v>
      </c>
      <c r="T297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0">
        <v>57290</v>
      </c>
      <c r="V2970" t="s">
        <v>38</v>
      </c>
      <c r="W2970" t="s">
        <v>238</v>
      </c>
      <c r="X2970">
        <v>9.00000000000000000000000000000000000003</v>
      </c>
      <c r="Y2970">
        <v>0</v>
      </c>
      <c r="Z2970" t="s">
        <v>46</v>
      </c>
      <c r="AA2970">
        <v>57325</v>
      </c>
      <c r="AB2970" t="s">
        <v>2290</v>
      </c>
      <c r="AC2970" t="s">
        <v>103</v>
      </c>
      <c r="AD2970" t="s">
        <v>38</v>
      </c>
      <c r="AE2970" t="s">
        <v>49</v>
      </c>
      <c r="AF2970" t="s">
        <v>50</v>
      </c>
      <c r="AG2970">
        <v>0</v>
      </c>
      <c r="AH2970">
        <v>0</v>
      </c>
      <c r="AI2970" t="s">
        <v>51</v>
      </c>
      <c r="AJ2970" t="s">
        <v>51</v>
      </c>
      <c r="AK2970" t="s">
        <v>51</v>
      </c>
    </row>
    <row r="2971" spans="1:37" x14ac:dyDescent="0.2">
      <c r="A2971">
        <v>57288</v>
      </c>
      <c r="B2971" t="s">
        <v>37</v>
      </c>
      <c r="C2971" t="s">
        <v>38</v>
      </c>
      <c r="D2971" t="s">
        <v>674</v>
      </c>
      <c r="E2971" t="s">
        <v>40</v>
      </c>
      <c r="G2971" s="4">
        <v>43945.505972222222</v>
      </c>
      <c r="H2971" s="4">
        <v>43945.5065625</v>
      </c>
      <c r="I2971" t="s">
        <v>2171</v>
      </c>
      <c r="J2971" s="5">
        <v>51.00000000000000000000000000000000000002</v>
      </c>
      <c r="K2971" t="s">
        <v>38</v>
      </c>
      <c r="M2971">
        <v>57289</v>
      </c>
      <c r="N2971" t="s">
        <v>705</v>
      </c>
      <c r="O2971" t="s">
        <v>706</v>
      </c>
      <c r="P2971" t="s">
        <v>38</v>
      </c>
      <c r="Q2971" t="s">
        <v>238</v>
      </c>
      <c r="R2971">
        <v>9.00000000000000000000000000000000000003</v>
      </c>
      <c r="S2971" t="s">
        <v>45</v>
      </c>
      <c r="T297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1">
        <v>57290</v>
      </c>
      <c r="V2971" t="s">
        <v>38</v>
      </c>
      <c r="W2971" t="s">
        <v>238</v>
      </c>
      <c r="X2971">
        <v>9.00000000000000000000000000000000000003</v>
      </c>
      <c r="Y2971">
        <v>0</v>
      </c>
      <c r="Z2971" t="s">
        <v>46</v>
      </c>
      <c r="AA2971">
        <v>57324</v>
      </c>
      <c r="AB2971" t="s">
        <v>2291</v>
      </c>
      <c r="AC2971" t="s">
        <v>103</v>
      </c>
      <c r="AD2971" t="s">
        <v>38</v>
      </c>
      <c r="AE2971" t="s">
        <v>49</v>
      </c>
      <c r="AF2971" t="s">
        <v>50</v>
      </c>
      <c r="AG2971">
        <v>0</v>
      </c>
      <c r="AH2971">
        <v>0</v>
      </c>
      <c r="AI2971" t="s">
        <v>51</v>
      </c>
      <c r="AJ2971" t="s">
        <v>51</v>
      </c>
      <c r="AK2971" t="s">
        <v>51</v>
      </c>
    </row>
    <row r="2972" spans="1:37" x14ac:dyDescent="0.2">
      <c r="A2972">
        <v>57288</v>
      </c>
      <c r="B2972" t="s">
        <v>37</v>
      </c>
      <c r="C2972" t="s">
        <v>38</v>
      </c>
      <c r="D2972" t="s">
        <v>674</v>
      </c>
      <c r="E2972" t="s">
        <v>40</v>
      </c>
      <c r="G2972" s="4">
        <v>43945.505972222222</v>
      </c>
      <c r="H2972" s="4">
        <v>43945.5065625</v>
      </c>
      <c r="I2972" t="s">
        <v>2171</v>
      </c>
      <c r="J2972" s="5">
        <v>51.00000000000000000000000000000000000002</v>
      </c>
      <c r="K2972" t="s">
        <v>38</v>
      </c>
      <c r="M2972">
        <v>57289</v>
      </c>
      <c r="N2972" t="s">
        <v>705</v>
      </c>
      <c r="O2972" t="s">
        <v>706</v>
      </c>
      <c r="P2972" t="s">
        <v>38</v>
      </c>
      <c r="Q2972" t="s">
        <v>238</v>
      </c>
      <c r="R2972">
        <v>9.00000000000000000000000000000000000003</v>
      </c>
      <c r="S2972" t="s">
        <v>45</v>
      </c>
      <c r="T297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2">
        <v>57290</v>
      </c>
      <c r="V2972" t="s">
        <v>38</v>
      </c>
      <c r="W2972" t="s">
        <v>238</v>
      </c>
      <c r="X2972">
        <v>9.00000000000000000000000000000000000003</v>
      </c>
      <c r="Y2972">
        <v>0</v>
      </c>
      <c r="Z2972" t="s">
        <v>46</v>
      </c>
      <c r="AA2972">
        <v>57323</v>
      </c>
      <c r="AB2972" t="s">
        <v>2292</v>
      </c>
      <c r="AC2972" t="s">
        <v>103</v>
      </c>
      <c r="AD2972" t="s">
        <v>38</v>
      </c>
      <c r="AE2972" t="s">
        <v>49</v>
      </c>
      <c r="AF2972" t="s">
        <v>50</v>
      </c>
      <c r="AG2972">
        <v>0</v>
      </c>
      <c r="AH2972">
        <v>0</v>
      </c>
      <c r="AI2972" t="s">
        <v>51</v>
      </c>
      <c r="AJ2972" t="s">
        <v>51</v>
      </c>
      <c r="AK2972" t="s">
        <v>51</v>
      </c>
    </row>
    <row r="2973" spans="1:37" x14ac:dyDescent="0.2">
      <c r="A2973">
        <v>57288</v>
      </c>
      <c r="B2973" t="s">
        <v>37</v>
      </c>
      <c r="C2973" t="s">
        <v>38</v>
      </c>
      <c r="D2973" t="s">
        <v>674</v>
      </c>
      <c r="E2973" t="s">
        <v>40</v>
      </c>
      <c r="G2973" s="4">
        <v>43945.505972222222</v>
      </c>
      <c r="H2973" s="4">
        <v>43945.5065625</v>
      </c>
      <c r="I2973" t="s">
        <v>2171</v>
      </c>
      <c r="J2973" s="5">
        <v>51.00000000000000000000000000000000000002</v>
      </c>
      <c r="K2973" t="s">
        <v>38</v>
      </c>
      <c r="M2973">
        <v>57289</v>
      </c>
      <c r="N2973" t="s">
        <v>705</v>
      </c>
      <c r="O2973" t="s">
        <v>706</v>
      </c>
      <c r="P2973" t="s">
        <v>38</v>
      </c>
      <c r="Q2973" t="s">
        <v>238</v>
      </c>
      <c r="R2973">
        <v>9.00000000000000000000000000000000000003</v>
      </c>
      <c r="S2973" t="s">
        <v>45</v>
      </c>
      <c r="T297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3">
        <v>57290</v>
      </c>
      <c r="V2973" t="s">
        <v>38</v>
      </c>
      <c r="W2973" t="s">
        <v>238</v>
      </c>
      <c r="X2973">
        <v>9.00000000000000000000000000000000000003</v>
      </c>
      <c r="Y2973">
        <v>0</v>
      </c>
      <c r="Z2973" t="s">
        <v>46</v>
      </c>
      <c r="AA2973">
        <v>57322</v>
      </c>
      <c r="AB2973" t="s">
        <v>2293</v>
      </c>
      <c r="AC2973" t="s">
        <v>103</v>
      </c>
      <c r="AD2973" t="s">
        <v>38</v>
      </c>
      <c r="AE2973" t="s">
        <v>49</v>
      </c>
      <c r="AF2973" t="s">
        <v>50</v>
      </c>
      <c r="AG2973">
        <v>0</v>
      </c>
      <c r="AH2973">
        <v>0</v>
      </c>
      <c r="AI2973" t="s">
        <v>51</v>
      </c>
      <c r="AJ2973" t="s">
        <v>51</v>
      </c>
      <c r="AK2973" t="s">
        <v>51</v>
      </c>
    </row>
    <row r="2974" spans="1:37" x14ac:dyDescent="0.2">
      <c r="A2974">
        <v>57288</v>
      </c>
      <c r="B2974" t="s">
        <v>37</v>
      </c>
      <c r="C2974" t="s">
        <v>38</v>
      </c>
      <c r="D2974" t="s">
        <v>674</v>
      </c>
      <c r="E2974" t="s">
        <v>40</v>
      </c>
      <c r="G2974" s="4">
        <v>43945.505972222222</v>
      </c>
      <c r="H2974" s="4">
        <v>43945.5065625</v>
      </c>
      <c r="I2974" t="s">
        <v>2171</v>
      </c>
      <c r="J2974" s="5">
        <v>51.00000000000000000000000000000000000002</v>
      </c>
      <c r="K2974" t="s">
        <v>38</v>
      </c>
      <c r="M2974">
        <v>57289</v>
      </c>
      <c r="N2974" t="s">
        <v>705</v>
      </c>
      <c r="O2974" t="s">
        <v>706</v>
      </c>
      <c r="P2974" t="s">
        <v>38</v>
      </c>
      <c r="Q2974" t="s">
        <v>238</v>
      </c>
      <c r="R2974">
        <v>9.00000000000000000000000000000000000003</v>
      </c>
      <c r="S2974" t="s">
        <v>45</v>
      </c>
      <c r="T297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4">
        <v>57290</v>
      </c>
      <c r="V2974" t="s">
        <v>38</v>
      </c>
      <c r="W2974" t="s">
        <v>238</v>
      </c>
      <c r="X2974">
        <v>9.00000000000000000000000000000000000003</v>
      </c>
      <c r="Y2974">
        <v>0</v>
      </c>
      <c r="Z2974" t="s">
        <v>46</v>
      </c>
      <c r="AA2974">
        <v>57321</v>
      </c>
      <c r="AB2974" t="s">
        <v>2294</v>
      </c>
      <c r="AC2974" t="s">
        <v>103</v>
      </c>
      <c r="AD2974" t="s">
        <v>38</v>
      </c>
      <c r="AE2974" t="s">
        <v>49</v>
      </c>
      <c r="AF2974" t="s">
        <v>50</v>
      </c>
      <c r="AG2974">
        <v>0</v>
      </c>
      <c r="AH2974">
        <v>0</v>
      </c>
      <c r="AI2974" t="s">
        <v>51</v>
      </c>
      <c r="AJ2974" t="s">
        <v>51</v>
      </c>
      <c r="AK2974" t="s">
        <v>51</v>
      </c>
    </row>
    <row r="2975" spans="1:37" x14ac:dyDescent="0.2">
      <c r="A2975">
        <v>57288</v>
      </c>
      <c r="B2975" t="s">
        <v>37</v>
      </c>
      <c r="C2975" t="s">
        <v>38</v>
      </c>
      <c r="D2975" t="s">
        <v>674</v>
      </c>
      <c r="E2975" t="s">
        <v>40</v>
      </c>
      <c r="G2975" s="4">
        <v>43945.505972222222</v>
      </c>
      <c r="H2975" s="4">
        <v>43945.5065625</v>
      </c>
      <c r="I2975" t="s">
        <v>2171</v>
      </c>
      <c r="J2975" s="5">
        <v>51.00000000000000000000000000000000000002</v>
      </c>
      <c r="K2975" t="s">
        <v>38</v>
      </c>
      <c r="M2975">
        <v>57289</v>
      </c>
      <c r="N2975" t="s">
        <v>705</v>
      </c>
      <c r="O2975" t="s">
        <v>706</v>
      </c>
      <c r="P2975" t="s">
        <v>38</v>
      </c>
      <c r="Q2975" t="s">
        <v>238</v>
      </c>
      <c r="R2975">
        <v>9.00000000000000000000000000000000000003</v>
      </c>
      <c r="S2975" t="s">
        <v>45</v>
      </c>
      <c r="T297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5">
        <v>57290</v>
      </c>
      <c r="V2975" t="s">
        <v>38</v>
      </c>
      <c r="W2975" t="s">
        <v>238</v>
      </c>
      <c r="X2975">
        <v>9.00000000000000000000000000000000000003</v>
      </c>
      <c r="Y2975">
        <v>0</v>
      </c>
      <c r="Z2975" t="s">
        <v>46</v>
      </c>
      <c r="AA2975">
        <v>57320</v>
      </c>
      <c r="AB2975" t="s">
        <v>2295</v>
      </c>
      <c r="AC2975" t="s">
        <v>103</v>
      </c>
      <c r="AD2975" t="s">
        <v>38</v>
      </c>
      <c r="AE2975" t="s">
        <v>49</v>
      </c>
      <c r="AF2975" t="s">
        <v>50</v>
      </c>
      <c r="AG2975">
        <v>0</v>
      </c>
      <c r="AH2975">
        <v>0</v>
      </c>
      <c r="AI2975" t="s">
        <v>51</v>
      </c>
      <c r="AJ2975" t="s">
        <v>51</v>
      </c>
      <c r="AK2975" t="s">
        <v>51</v>
      </c>
    </row>
    <row r="2976" spans="1:37" x14ac:dyDescent="0.2">
      <c r="A2976">
        <v>57288</v>
      </c>
      <c r="B2976" t="s">
        <v>37</v>
      </c>
      <c r="C2976" t="s">
        <v>38</v>
      </c>
      <c r="D2976" t="s">
        <v>674</v>
      </c>
      <c r="E2976" t="s">
        <v>40</v>
      </c>
      <c r="G2976" s="4">
        <v>43945.505972222222</v>
      </c>
      <c r="H2976" s="4">
        <v>43945.5065625</v>
      </c>
      <c r="I2976" t="s">
        <v>2171</v>
      </c>
      <c r="J2976" s="5">
        <v>51.00000000000000000000000000000000000002</v>
      </c>
      <c r="K2976" t="s">
        <v>38</v>
      </c>
      <c r="M2976">
        <v>57289</v>
      </c>
      <c r="N2976" t="s">
        <v>705</v>
      </c>
      <c r="O2976" t="s">
        <v>706</v>
      </c>
      <c r="P2976" t="s">
        <v>38</v>
      </c>
      <c r="Q2976" t="s">
        <v>238</v>
      </c>
      <c r="R2976">
        <v>9.00000000000000000000000000000000000003</v>
      </c>
      <c r="S2976" t="s">
        <v>45</v>
      </c>
      <c r="T297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6">
        <v>57290</v>
      </c>
      <c r="V2976" t="s">
        <v>38</v>
      </c>
      <c r="W2976" t="s">
        <v>238</v>
      </c>
      <c r="X2976">
        <v>9.00000000000000000000000000000000000003</v>
      </c>
      <c r="Y2976">
        <v>0</v>
      </c>
      <c r="Z2976" t="s">
        <v>46</v>
      </c>
      <c r="AA2976">
        <v>57319</v>
      </c>
      <c r="AB2976" t="s">
        <v>2296</v>
      </c>
      <c r="AC2976" t="s">
        <v>103</v>
      </c>
      <c r="AD2976" t="s">
        <v>38</v>
      </c>
      <c r="AE2976" t="s">
        <v>49</v>
      </c>
      <c r="AF2976" t="s">
        <v>50</v>
      </c>
      <c r="AG2976">
        <v>0</v>
      </c>
      <c r="AH2976">
        <v>0</v>
      </c>
      <c r="AI2976" t="s">
        <v>51</v>
      </c>
      <c r="AJ2976" t="s">
        <v>51</v>
      </c>
      <c r="AK2976" t="s">
        <v>51</v>
      </c>
    </row>
    <row r="2977" spans="1:37" x14ac:dyDescent="0.2">
      <c r="A2977">
        <v>57288</v>
      </c>
      <c r="B2977" t="s">
        <v>37</v>
      </c>
      <c r="C2977" t="s">
        <v>38</v>
      </c>
      <c r="D2977" t="s">
        <v>674</v>
      </c>
      <c r="E2977" t="s">
        <v>40</v>
      </c>
      <c r="G2977" s="4">
        <v>43945.505972222222</v>
      </c>
      <c r="H2977" s="4">
        <v>43945.5065625</v>
      </c>
      <c r="I2977" t="s">
        <v>2171</v>
      </c>
      <c r="J2977" s="5">
        <v>51.00000000000000000000000000000000000002</v>
      </c>
      <c r="K2977" t="s">
        <v>38</v>
      </c>
      <c r="M2977">
        <v>57289</v>
      </c>
      <c r="N2977" t="s">
        <v>705</v>
      </c>
      <c r="O2977" t="s">
        <v>706</v>
      </c>
      <c r="P2977" t="s">
        <v>38</v>
      </c>
      <c r="Q2977" t="s">
        <v>238</v>
      </c>
      <c r="R2977">
        <v>9.00000000000000000000000000000000000003</v>
      </c>
      <c r="S2977" t="s">
        <v>45</v>
      </c>
      <c r="T297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7">
        <v>57290</v>
      </c>
      <c r="V2977" t="s">
        <v>38</v>
      </c>
      <c r="W2977" t="s">
        <v>238</v>
      </c>
      <c r="X2977">
        <v>9.00000000000000000000000000000000000003</v>
      </c>
      <c r="Y2977">
        <v>0</v>
      </c>
      <c r="Z2977" t="s">
        <v>46</v>
      </c>
      <c r="AA2977">
        <v>57318</v>
      </c>
      <c r="AB2977" t="s">
        <v>2297</v>
      </c>
      <c r="AC2977" t="s">
        <v>103</v>
      </c>
      <c r="AD2977" t="s">
        <v>38</v>
      </c>
      <c r="AE2977" t="s">
        <v>49</v>
      </c>
      <c r="AF2977" t="s">
        <v>50</v>
      </c>
      <c r="AG2977">
        <v>0</v>
      </c>
      <c r="AH2977">
        <v>0</v>
      </c>
      <c r="AI2977" t="s">
        <v>51</v>
      </c>
      <c r="AJ2977" t="s">
        <v>51</v>
      </c>
      <c r="AK2977" t="s">
        <v>51</v>
      </c>
    </row>
    <row r="2978" spans="1:37" x14ac:dyDescent="0.2">
      <c r="A2978">
        <v>57288</v>
      </c>
      <c r="B2978" t="s">
        <v>37</v>
      </c>
      <c r="C2978" t="s">
        <v>38</v>
      </c>
      <c r="D2978" t="s">
        <v>674</v>
      </c>
      <c r="E2978" t="s">
        <v>40</v>
      </c>
      <c r="G2978" s="4">
        <v>43945.505972222222</v>
      </c>
      <c r="H2978" s="4">
        <v>43945.5065625</v>
      </c>
      <c r="I2978" t="s">
        <v>2171</v>
      </c>
      <c r="J2978" s="5">
        <v>51.00000000000000000000000000000000000002</v>
      </c>
      <c r="K2978" t="s">
        <v>38</v>
      </c>
      <c r="M2978">
        <v>57289</v>
      </c>
      <c r="N2978" t="s">
        <v>705</v>
      </c>
      <c r="O2978" t="s">
        <v>706</v>
      </c>
      <c r="P2978" t="s">
        <v>38</v>
      </c>
      <c r="Q2978" t="s">
        <v>238</v>
      </c>
      <c r="R2978">
        <v>9.00000000000000000000000000000000000003</v>
      </c>
      <c r="S2978" t="s">
        <v>45</v>
      </c>
      <c r="T297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8">
        <v>57290</v>
      </c>
      <c r="V2978" t="s">
        <v>38</v>
      </c>
      <c r="W2978" t="s">
        <v>238</v>
      </c>
      <c r="X2978">
        <v>9.00000000000000000000000000000000000003</v>
      </c>
      <c r="Y2978">
        <v>0</v>
      </c>
      <c r="Z2978" t="s">
        <v>46</v>
      </c>
      <c r="AA2978">
        <v>57317</v>
      </c>
      <c r="AB2978" t="s">
        <v>2298</v>
      </c>
      <c r="AC2978" t="s">
        <v>103</v>
      </c>
      <c r="AD2978" t="s">
        <v>38</v>
      </c>
      <c r="AE2978" t="s">
        <v>49</v>
      </c>
      <c r="AF2978" t="s">
        <v>50</v>
      </c>
      <c r="AG2978">
        <v>0</v>
      </c>
      <c r="AH2978">
        <v>0</v>
      </c>
      <c r="AI2978" t="s">
        <v>51</v>
      </c>
      <c r="AJ2978" t="s">
        <v>51</v>
      </c>
      <c r="AK2978" t="s">
        <v>51</v>
      </c>
    </row>
    <row r="2979" spans="1:37" x14ac:dyDescent="0.2">
      <c r="A2979">
        <v>57288</v>
      </c>
      <c r="B2979" t="s">
        <v>37</v>
      </c>
      <c r="C2979" t="s">
        <v>38</v>
      </c>
      <c r="D2979" t="s">
        <v>674</v>
      </c>
      <c r="E2979" t="s">
        <v>40</v>
      </c>
      <c r="G2979" s="4">
        <v>43945.505972222222</v>
      </c>
      <c r="H2979" s="4">
        <v>43945.5065625</v>
      </c>
      <c r="I2979" t="s">
        <v>2171</v>
      </c>
      <c r="J2979" s="5">
        <v>51.00000000000000000000000000000000000002</v>
      </c>
      <c r="K2979" t="s">
        <v>38</v>
      </c>
      <c r="M2979">
        <v>57289</v>
      </c>
      <c r="N2979" t="s">
        <v>705</v>
      </c>
      <c r="O2979" t="s">
        <v>706</v>
      </c>
      <c r="P2979" t="s">
        <v>38</v>
      </c>
      <c r="Q2979" t="s">
        <v>238</v>
      </c>
      <c r="R2979">
        <v>9.00000000000000000000000000000000000003</v>
      </c>
      <c r="S2979" t="s">
        <v>45</v>
      </c>
      <c r="T297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79">
        <v>57290</v>
      </c>
      <c r="V2979" t="s">
        <v>38</v>
      </c>
      <c r="W2979" t="s">
        <v>238</v>
      </c>
      <c r="X2979">
        <v>9.00000000000000000000000000000000000003</v>
      </c>
      <c r="Y2979">
        <v>0</v>
      </c>
      <c r="Z2979" t="s">
        <v>46</v>
      </c>
      <c r="AA2979">
        <v>57316</v>
      </c>
      <c r="AB2979" t="s">
        <v>2299</v>
      </c>
      <c r="AC2979" t="s">
        <v>103</v>
      </c>
      <c r="AD2979" t="s">
        <v>38</v>
      </c>
      <c r="AE2979" t="s">
        <v>49</v>
      </c>
      <c r="AF2979" t="s">
        <v>50</v>
      </c>
      <c r="AG2979">
        <v>0</v>
      </c>
      <c r="AH2979">
        <v>0</v>
      </c>
      <c r="AI2979" t="s">
        <v>51</v>
      </c>
      <c r="AJ2979" t="s">
        <v>51</v>
      </c>
      <c r="AK2979" t="s">
        <v>51</v>
      </c>
    </row>
    <row r="2980" spans="1:37" x14ac:dyDescent="0.2">
      <c r="A2980">
        <v>57288</v>
      </c>
      <c r="B2980" t="s">
        <v>37</v>
      </c>
      <c r="C2980" t="s">
        <v>38</v>
      </c>
      <c r="D2980" t="s">
        <v>674</v>
      </c>
      <c r="E2980" t="s">
        <v>40</v>
      </c>
      <c r="G2980" s="4">
        <v>43945.505972222222</v>
      </c>
      <c r="H2980" s="4">
        <v>43945.5065625</v>
      </c>
      <c r="I2980" t="s">
        <v>2171</v>
      </c>
      <c r="J2980" s="5">
        <v>51.00000000000000000000000000000000000002</v>
      </c>
      <c r="K2980" t="s">
        <v>38</v>
      </c>
      <c r="M2980">
        <v>57289</v>
      </c>
      <c r="N2980" t="s">
        <v>705</v>
      </c>
      <c r="O2980" t="s">
        <v>706</v>
      </c>
      <c r="P2980" t="s">
        <v>38</v>
      </c>
      <c r="Q2980" t="s">
        <v>238</v>
      </c>
      <c r="R2980">
        <v>9.00000000000000000000000000000000000003</v>
      </c>
      <c r="S2980" t="s">
        <v>45</v>
      </c>
      <c r="T298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0">
        <v>57290</v>
      </c>
      <c r="V2980" t="s">
        <v>38</v>
      </c>
      <c r="W2980" t="s">
        <v>238</v>
      </c>
      <c r="X2980">
        <v>9.00000000000000000000000000000000000003</v>
      </c>
      <c r="Y2980">
        <v>0</v>
      </c>
      <c r="Z2980" t="s">
        <v>46</v>
      </c>
      <c r="AA2980">
        <v>57315</v>
      </c>
      <c r="AB2980" t="s">
        <v>2300</v>
      </c>
      <c r="AC2980" t="s">
        <v>103</v>
      </c>
      <c r="AD2980" t="s">
        <v>38</v>
      </c>
      <c r="AE2980" t="s">
        <v>49</v>
      </c>
      <c r="AF2980" t="s">
        <v>50</v>
      </c>
      <c r="AG2980">
        <v>0</v>
      </c>
      <c r="AH2980">
        <v>0</v>
      </c>
      <c r="AI2980" t="s">
        <v>51</v>
      </c>
      <c r="AJ2980" t="s">
        <v>51</v>
      </c>
      <c r="AK2980" t="s">
        <v>51</v>
      </c>
    </row>
    <row r="2981" spans="1:37" x14ac:dyDescent="0.2">
      <c r="A2981">
        <v>57288</v>
      </c>
      <c r="B2981" t="s">
        <v>37</v>
      </c>
      <c r="C2981" t="s">
        <v>38</v>
      </c>
      <c r="D2981" t="s">
        <v>674</v>
      </c>
      <c r="E2981" t="s">
        <v>40</v>
      </c>
      <c r="G2981" s="4">
        <v>43945.505972222222</v>
      </c>
      <c r="H2981" s="4">
        <v>43945.5065625</v>
      </c>
      <c r="I2981" t="s">
        <v>2171</v>
      </c>
      <c r="J2981" s="5">
        <v>51.00000000000000000000000000000000000002</v>
      </c>
      <c r="K2981" t="s">
        <v>38</v>
      </c>
      <c r="M2981">
        <v>57289</v>
      </c>
      <c r="N2981" t="s">
        <v>705</v>
      </c>
      <c r="O2981" t="s">
        <v>706</v>
      </c>
      <c r="P2981" t="s">
        <v>38</v>
      </c>
      <c r="Q2981" t="s">
        <v>238</v>
      </c>
      <c r="R2981">
        <v>9.00000000000000000000000000000000000003</v>
      </c>
      <c r="S2981" t="s">
        <v>45</v>
      </c>
      <c r="T298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1">
        <v>57290</v>
      </c>
      <c r="V2981" t="s">
        <v>38</v>
      </c>
      <c r="W2981" t="s">
        <v>238</v>
      </c>
      <c r="X2981">
        <v>9.00000000000000000000000000000000000003</v>
      </c>
      <c r="Y2981">
        <v>0</v>
      </c>
      <c r="Z2981" t="s">
        <v>46</v>
      </c>
      <c r="AA2981">
        <v>57314</v>
      </c>
      <c r="AB2981" t="s">
        <v>2301</v>
      </c>
      <c r="AC2981" t="s">
        <v>103</v>
      </c>
      <c r="AD2981" t="s">
        <v>38</v>
      </c>
      <c r="AE2981" t="s">
        <v>49</v>
      </c>
      <c r="AF2981" t="s">
        <v>50</v>
      </c>
      <c r="AG2981">
        <v>0</v>
      </c>
      <c r="AH2981">
        <v>0</v>
      </c>
      <c r="AI2981" t="s">
        <v>51</v>
      </c>
      <c r="AJ2981" t="s">
        <v>51</v>
      </c>
      <c r="AK2981" t="s">
        <v>51</v>
      </c>
    </row>
    <row r="2982" spans="1:37" x14ac:dyDescent="0.2">
      <c r="A2982">
        <v>57288</v>
      </c>
      <c r="B2982" t="s">
        <v>37</v>
      </c>
      <c r="C2982" t="s">
        <v>38</v>
      </c>
      <c r="D2982" t="s">
        <v>674</v>
      </c>
      <c r="E2982" t="s">
        <v>40</v>
      </c>
      <c r="G2982" s="4">
        <v>43945.505972222222</v>
      </c>
      <c r="H2982" s="4">
        <v>43945.5065625</v>
      </c>
      <c r="I2982" t="s">
        <v>2171</v>
      </c>
      <c r="J2982" s="5">
        <v>51.00000000000000000000000000000000000002</v>
      </c>
      <c r="K2982" t="s">
        <v>38</v>
      </c>
      <c r="M2982">
        <v>57289</v>
      </c>
      <c r="N2982" t="s">
        <v>705</v>
      </c>
      <c r="O2982" t="s">
        <v>706</v>
      </c>
      <c r="P2982" t="s">
        <v>38</v>
      </c>
      <c r="Q2982" t="s">
        <v>238</v>
      </c>
      <c r="R2982">
        <v>9.00000000000000000000000000000000000003</v>
      </c>
      <c r="S2982" t="s">
        <v>45</v>
      </c>
      <c r="T298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2">
        <v>57290</v>
      </c>
      <c r="V2982" t="s">
        <v>38</v>
      </c>
      <c r="W2982" t="s">
        <v>238</v>
      </c>
      <c r="X2982">
        <v>9.00000000000000000000000000000000000003</v>
      </c>
      <c r="Y2982">
        <v>0</v>
      </c>
      <c r="Z2982" t="s">
        <v>46</v>
      </c>
      <c r="AA2982">
        <v>57313</v>
      </c>
      <c r="AB2982" t="s">
        <v>2302</v>
      </c>
      <c r="AC2982" t="s">
        <v>103</v>
      </c>
      <c r="AD2982" t="s">
        <v>38</v>
      </c>
      <c r="AE2982" t="s">
        <v>49</v>
      </c>
      <c r="AF2982" t="s">
        <v>50</v>
      </c>
      <c r="AG2982">
        <v>0</v>
      </c>
      <c r="AH2982">
        <v>0</v>
      </c>
      <c r="AI2982" t="s">
        <v>51</v>
      </c>
      <c r="AJ2982" t="s">
        <v>51</v>
      </c>
      <c r="AK2982" t="s">
        <v>51</v>
      </c>
    </row>
    <row r="2983" spans="1:37" x14ac:dyDescent="0.2">
      <c r="A2983">
        <v>57288</v>
      </c>
      <c r="B2983" t="s">
        <v>37</v>
      </c>
      <c r="C2983" t="s">
        <v>38</v>
      </c>
      <c r="D2983" t="s">
        <v>674</v>
      </c>
      <c r="E2983" t="s">
        <v>40</v>
      </c>
      <c r="G2983" s="4">
        <v>43945.505972222222</v>
      </c>
      <c r="H2983" s="4">
        <v>43945.5065625</v>
      </c>
      <c r="I2983" t="s">
        <v>2171</v>
      </c>
      <c r="J2983" s="5">
        <v>51.00000000000000000000000000000000000002</v>
      </c>
      <c r="K2983" t="s">
        <v>38</v>
      </c>
      <c r="M2983">
        <v>57289</v>
      </c>
      <c r="N2983" t="s">
        <v>705</v>
      </c>
      <c r="O2983" t="s">
        <v>706</v>
      </c>
      <c r="P2983" t="s">
        <v>38</v>
      </c>
      <c r="Q2983" t="s">
        <v>238</v>
      </c>
      <c r="R2983">
        <v>9.00000000000000000000000000000000000003</v>
      </c>
      <c r="S2983" t="s">
        <v>45</v>
      </c>
      <c r="T298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3">
        <v>57290</v>
      </c>
      <c r="V2983" t="s">
        <v>38</v>
      </c>
      <c r="W2983" t="s">
        <v>238</v>
      </c>
      <c r="X2983">
        <v>9.00000000000000000000000000000000000003</v>
      </c>
      <c r="Y2983">
        <v>0</v>
      </c>
      <c r="Z2983" t="s">
        <v>46</v>
      </c>
      <c r="AA2983">
        <v>57312</v>
      </c>
      <c r="AB2983" t="s">
        <v>2303</v>
      </c>
      <c r="AC2983" t="s">
        <v>103</v>
      </c>
      <c r="AD2983" t="s">
        <v>38</v>
      </c>
      <c r="AE2983" t="s">
        <v>49</v>
      </c>
      <c r="AF2983" t="s">
        <v>50</v>
      </c>
      <c r="AG2983">
        <v>0</v>
      </c>
      <c r="AH2983">
        <v>0</v>
      </c>
      <c r="AI2983" t="s">
        <v>51</v>
      </c>
      <c r="AJ2983" t="s">
        <v>51</v>
      </c>
      <c r="AK2983" t="s">
        <v>51</v>
      </c>
    </row>
    <row r="2984" spans="1:37" x14ac:dyDescent="0.2">
      <c r="A2984">
        <v>57288</v>
      </c>
      <c r="B2984" t="s">
        <v>37</v>
      </c>
      <c r="C2984" t="s">
        <v>38</v>
      </c>
      <c r="D2984" t="s">
        <v>674</v>
      </c>
      <c r="E2984" t="s">
        <v>40</v>
      </c>
      <c r="G2984" s="4">
        <v>43945.505972222222</v>
      </c>
      <c r="H2984" s="4">
        <v>43945.5065625</v>
      </c>
      <c r="I2984" t="s">
        <v>2171</v>
      </c>
      <c r="J2984" s="5">
        <v>51.00000000000000000000000000000000000002</v>
      </c>
      <c r="K2984" t="s">
        <v>38</v>
      </c>
      <c r="M2984">
        <v>57289</v>
      </c>
      <c r="N2984" t="s">
        <v>705</v>
      </c>
      <c r="O2984" t="s">
        <v>706</v>
      </c>
      <c r="P2984" t="s">
        <v>38</v>
      </c>
      <c r="Q2984" t="s">
        <v>238</v>
      </c>
      <c r="R2984">
        <v>9.00000000000000000000000000000000000003</v>
      </c>
      <c r="S2984" t="s">
        <v>45</v>
      </c>
      <c r="T298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4">
        <v>57290</v>
      </c>
      <c r="V2984" t="s">
        <v>38</v>
      </c>
      <c r="W2984" t="s">
        <v>238</v>
      </c>
      <c r="X2984">
        <v>9.00000000000000000000000000000000000003</v>
      </c>
      <c r="Y2984">
        <v>0</v>
      </c>
      <c r="Z2984" t="s">
        <v>46</v>
      </c>
      <c r="AA2984">
        <v>57311</v>
      </c>
      <c r="AB2984" t="s">
        <v>2304</v>
      </c>
      <c r="AC2984" t="s">
        <v>103</v>
      </c>
      <c r="AD2984" t="s">
        <v>38</v>
      </c>
      <c r="AE2984" t="s">
        <v>49</v>
      </c>
      <c r="AF2984" t="s">
        <v>50</v>
      </c>
      <c r="AG2984">
        <v>0</v>
      </c>
      <c r="AH2984">
        <v>0</v>
      </c>
      <c r="AI2984" t="s">
        <v>51</v>
      </c>
      <c r="AJ2984" t="s">
        <v>51</v>
      </c>
      <c r="AK2984" t="s">
        <v>51</v>
      </c>
    </row>
    <row r="2985" spans="1:37" x14ac:dyDescent="0.2">
      <c r="A2985">
        <v>57288</v>
      </c>
      <c r="B2985" t="s">
        <v>37</v>
      </c>
      <c r="C2985" t="s">
        <v>38</v>
      </c>
      <c r="D2985" t="s">
        <v>674</v>
      </c>
      <c r="E2985" t="s">
        <v>40</v>
      </c>
      <c r="G2985" s="4">
        <v>43945.505972222222</v>
      </c>
      <c r="H2985" s="4">
        <v>43945.5065625</v>
      </c>
      <c r="I2985" t="s">
        <v>2171</v>
      </c>
      <c r="J2985" s="5">
        <v>51.00000000000000000000000000000000000002</v>
      </c>
      <c r="K2985" t="s">
        <v>38</v>
      </c>
      <c r="M2985">
        <v>57289</v>
      </c>
      <c r="N2985" t="s">
        <v>705</v>
      </c>
      <c r="O2985" t="s">
        <v>706</v>
      </c>
      <c r="P2985" t="s">
        <v>38</v>
      </c>
      <c r="Q2985" t="s">
        <v>238</v>
      </c>
      <c r="R2985">
        <v>9.00000000000000000000000000000000000003</v>
      </c>
      <c r="S2985" t="s">
        <v>45</v>
      </c>
      <c r="T298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5">
        <v>57290</v>
      </c>
      <c r="V2985" t="s">
        <v>38</v>
      </c>
      <c r="W2985" t="s">
        <v>238</v>
      </c>
      <c r="X2985">
        <v>9.00000000000000000000000000000000000003</v>
      </c>
      <c r="Y2985">
        <v>0</v>
      </c>
      <c r="Z2985" t="s">
        <v>46</v>
      </c>
      <c r="AA2985">
        <v>57310</v>
      </c>
      <c r="AB2985" t="s">
        <v>2305</v>
      </c>
      <c r="AC2985" t="s">
        <v>103</v>
      </c>
      <c r="AD2985" t="s">
        <v>38</v>
      </c>
      <c r="AE2985" t="s">
        <v>49</v>
      </c>
      <c r="AF2985" t="s">
        <v>50</v>
      </c>
      <c r="AG2985">
        <v>0</v>
      </c>
      <c r="AH2985">
        <v>0</v>
      </c>
      <c r="AI2985" t="s">
        <v>51</v>
      </c>
      <c r="AJ2985" t="s">
        <v>51</v>
      </c>
      <c r="AK2985" t="s">
        <v>51</v>
      </c>
    </row>
    <row r="2986" spans="1:37" x14ac:dyDescent="0.2">
      <c r="A2986">
        <v>57288</v>
      </c>
      <c r="B2986" t="s">
        <v>37</v>
      </c>
      <c r="C2986" t="s">
        <v>38</v>
      </c>
      <c r="D2986" t="s">
        <v>674</v>
      </c>
      <c r="E2986" t="s">
        <v>40</v>
      </c>
      <c r="G2986" s="4">
        <v>43945.505972222222</v>
      </c>
      <c r="H2986" s="4">
        <v>43945.5065625</v>
      </c>
      <c r="I2986" t="s">
        <v>2171</v>
      </c>
      <c r="J2986" s="5">
        <v>51.00000000000000000000000000000000000002</v>
      </c>
      <c r="K2986" t="s">
        <v>38</v>
      </c>
      <c r="M2986">
        <v>57289</v>
      </c>
      <c r="N2986" t="s">
        <v>705</v>
      </c>
      <c r="O2986" t="s">
        <v>706</v>
      </c>
      <c r="P2986" t="s">
        <v>38</v>
      </c>
      <c r="Q2986" t="s">
        <v>238</v>
      </c>
      <c r="R2986">
        <v>9.00000000000000000000000000000000000003</v>
      </c>
      <c r="S2986" t="s">
        <v>45</v>
      </c>
      <c r="T298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6">
        <v>57290</v>
      </c>
      <c r="V2986" t="s">
        <v>38</v>
      </c>
      <c r="W2986" t="s">
        <v>238</v>
      </c>
      <c r="X2986">
        <v>9.00000000000000000000000000000000000003</v>
      </c>
      <c r="Y2986">
        <v>0</v>
      </c>
      <c r="Z2986" t="s">
        <v>46</v>
      </c>
      <c r="AA2986">
        <v>57309</v>
      </c>
      <c r="AB2986" t="s">
        <v>2306</v>
      </c>
      <c r="AC2986" t="s">
        <v>103</v>
      </c>
      <c r="AD2986" t="s">
        <v>38</v>
      </c>
      <c r="AE2986" t="s">
        <v>49</v>
      </c>
      <c r="AF2986" t="s">
        <v>50</v>
      </c>
      <c r="AG2986">
        <v>0</v>
      </c>
      <c r="AH2986">
        <v>0</v>
      </c>
      <c r="AI2986" t="s">
        <v>51</v>
      </c>
      <c r="AJ2986" t="s">
        <v>51</v>
      </c>
      <c r="AK2986" t="s">
        <v>51</v>
      </c>
    </row>
    <row r="2987" spans="1:37" x14ac:dyDescent="0.2">
      <c r="A2987">
        <v>57288</v>
      </c>
      <c r="B2987" t="s">
        <v>37</v>
      </c>
      <c r="C2987" t="s">
        <v>38</v>
      </c>
      <c r="D2987" t="s">
        <v>674</v>
      </c>
      <c r="E2987" t="s">
        <v>40</v>
      </c>
      <c r="G2987" s="4">
        <v>43945.505972222222</v>
      </c>
      <c r="H2987" s="4">
        <v>43945.5065625</v>
      </c>
      <c r="I2987" t="s">
        <v>2171</v>
      </c>
      <c r="J2987" s="5">
        <v>51.00000000000000000000000000000000000002</v>
      </c>
      <c r="K2987" t="s">
        <v>38</v>
      </c>
      <c r="M2987">
        <v>57289</v>
      </c>
      <c r="N2987" t="s">
        <v>705</v>
      </c>
      <c r="O2987" t="s">
        <v>706</v>
      </c>
      <c r="P2987" t="s">
        <v>38</v>
      </c>
      <c r="Q2987" t="s">
        <v>238</v>
      </c>
      <c r="R2987">
        <v>9.00000000000000000000000000000000000003</v>
      </c>
      <c r="S2987" t="s">
        <v>45</v>
      </c>
      <c r="T298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7">
        <v>57290</v>
      </c>
      <c r="V2987" t="s">
        <v>38</v>
      </c>
      <c r="W2987" t="s">
        <v>238</v>
      </c>
      <c r="X2987">
        <v>9.00000000000000000000000000000000000003</v>
      </c>
      <c r="Y2987">
        <v>0</v>
      </c>
      <c r="Z2987" t="s">
        <v>46</v>
      </c>
      <c r="AA2987">
        <v>57308</v>
      </c>
      <c r="AB2987" t="s">
        <v>2307</v>
      </c>
      <c r="AC2987" t="s">
        <v>103</v>
      </c>
      <c r="AD2987" t="s">
        <v>38</v>
      </c>
      <c r="AE2987" t="s">
        <v>49</v>
      </c>
      <c r="AF2987" t="s">
        <v>50</v>
      </c>
      <c r="AG2987">
        <v>0</v>
      </c>
      <c r="AH2987">
        <v>0</v>
      </c>
      <c r="AI2987" t="s">
        <v>51</v>
      </c>
      <c r="AJ2987" t="s">
        <v>51</v>
      </c>
      <c r="AK2987" t="s">
        <v>51</v>
      </c>
    </row>
    <row r="2988" spans="1:37" x14ac:dyDescent="0.2">
      <c r="A2988">
        <v>57288</v>
      </c>
      <c r="B2988" t="s">
        <v>37</v>
      </c>
      <c r="C2988" t="s">
        <v>38</v>
      </c>
      <c r="D2988" t="s">
        <v>674</v>
      </c>
      <c r="E2988" t="s">
        <v>40</v>
      </c>
      <c r="G2988" s="4">
        <v>43945.505972222222</v>
      </c>
      <c r="H2988" s="4">
        <v>43945.5065625</v>
      </c>
      <c r="I2988" t="s">
        <v>2171</v>
      </c>
      <c r="J2988" s="5">
        <v>51.00000000000000000000000000000000000002</v>
      </c>
      <c r="K2988" t="s">
        <v>38</v>
      </c>
      <c r="M2988">
        <v>57289</v>
      </c>
      <c r="N2988" t="s">
        <v>705</v>
      </c>
      <c r="O2988" t="s">
        <v>706</v>
      </c>
      <c r="P2988" t="s">
        <v>38</v>
      </c>
      <c r="Q2988" t="s">
        <v>238</v>
      </c>
      <c r="R2988">
        <v>9.00000000000000000000000000000000000003</v>
      </c>
      <c r="S2988" t="s">
        <v>45</v>
      </c>
      <c r="T298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8">
        <v>57290</v>
      </c>
      <c r="V2988" t="s">
        <v>38</v>
      </c>
      <c r="W2988" t="s">
        <v>238</v>
      </c>
      <c r="X2988">
        <v>9.00000000000000000000000000000000000003</v>
      </c>
      <c r="Y2988">
        <v>0</v>
      </c>
      <c r="Z2988" t="s">
        <v>46</v>
      </c>
      <c r="AA2988">
        <v>57307</v>
      </c>
      <c r="AB2988" t="s">
        <v>2308</v>
      </c>
      <c r="AC2988" t="s">
        <v>103</v>
      </c>
      <c r="AD2988" t="s">
        <v>38</v>
      </c>
      <c r="AE2988" t="s">
        <v>49</v>
      </c>
      <c r="AF2988" t="s">
        <v>50</v>
      </c>
      <c r="AG2988">
        <v>0</v>
      </c>
      <c r="AH2988">
        <v>0</v>
      </c>
      <c r="AI2988" t="s">
        <v>51</v>
      </c>
      <c r="AJ2988" t="s">
        <v>51</v>
      </c>
      <c r="AK2988" t="s">
        <v>51</v>
      </c>
    </row>
    <row r="2989" spans="1:37" x14ac:dyDescent="0.2">
      <c r="A2989">
        <v>57288</v>
      </c>
      <c r="B2989" t="s">
        <v>37</v>
      </c>
      <c r="C2989" t="s">
        <v>38</v>
      </c>
      <c r="D2989" t="s">
        <v>674</v>
      </c>
      <c r="E2989" t="s">
        <v>40</v>
      </c>
      <c r="G2989" s="4">
        <v>43945.505972222222</v>
      </c>
      <c r="H2989" s="4">
        <v>43945.5065625</v>
      </c>
      <c r="I2989" t="s">
        <v>2171</v>
      </c>
      <c r="J2989" s="5">
        <v>51.00000000000000000000000000000000000002</v>
      </c>
      <c r="K2989" t="s">
        <v>38</v>
      </c>
      <c r="M2989">
        <v>57289</v>
      </c>
      <c r="N2989" t="s">
        <v>705</v>
      </c>
      <c r="O2989" t="s">
        <v>706</v>
      </c>
      <c r="P2989" t="s">
        <v>38</v>
      </c>
      <c r="Q2989" t="s">
        <v>238</v>
      </c>
      <c r="R2989">
        <v>9.00000000000000000000000000000000000003</v>
      </c>
      <c r="S2989" t="s">
        <v>45</v>
      </c>
      <c r="T298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89">
        <v>57290</v>
      </c>
      <c r="V2989" t="s">
        <v>38</v>
      </c>
      <c r="W2989" t="s">
        <v>238</v>
      </c>
      <c r="X2989">
        <v>9.00000000000000000000000000000000000003</v>
      </c>
      <c r="Y2989">
        <v>0</v>
      </c>
      <c r="Z2989" t="s">
        <v>46</v>
      </c>
      <c r="AA2989">
        <v>57306</v>
      </c>
      <c r="AB2989" t="s">
        <v>2309</v>
      </c>
      <c r="AC2989" t="s">
        <v>103</v>
      </c>
      <c r="AD2989" t="s">
        <v>38</v>
      </c>
      <c r="AE2989" t="s">
        <v>49</v>
      </c>
      <c r="AF2989" t="s">
        <v>50</v>
      </c>
      <c r="AG2989">
        <v>0</v>
      </c>
      <c r="AH2989">
        <v>0</v>
      </c>
      <c r="AI2989" t="s">
        <v>51</v>
      </c>
      <c r="AJ2989" t="s">
        <v>51</v>
      </c>
      <c r="AK2989" t="s">
        <v>51</v>
      </c>
    </row>
    <row r="2990" spans="1:37" x14ac:dyDescent="0.2">
      <c r="A2990">
        <v>57288</v>
      </c>
      <c r="B2990" t="s">
        <v>37</v>
      </c>
      <c r="C2990" t="s">
        <v>38</v>
      </c>
      <c r="D2990" t="s">
        <v>674</v>
      </c>
      <c r="E2990" t="s">
        <v>40</v>
      </c>
      <c r="G2990" s="4">
        <v>43945.505972222222</v>
      </c>
      <c r="H2990" s="4">
        <v>43945.5065625</v>
      </c>
      <c r="I2990" t="s">
        <v>2171</v>
      </c>
      <c r="J2990" s="5">
        <v>51.00000000000000000000000000000000000002</v>
      </c>
      <c r="K2990" t="s">
        <v>38</v>
      </c>
      <c r="M2990">
        <v>57289</v>
      </c>
      <c r="N2990" t="s">
        <v>705</v>
      </c>
      <c r="O2990" t="s">
        <v>706</v>
      </c>
      <c r="P2990" t="s">
        <v>38</v>
      </c>
      <c r="Q2990" t="s">
        <v>238</v>
      </c>
      <c r="R2990">
        <v>9.00000000000000000000000000000000000003</v>
      </c>
      <c r="S2990" t="s">
        <v>45</v>
      </c>
      <c r="T299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0">
        <v>57290</v>
      </c>
      <c r="V2990" t="s">
        <v>38</v>
      </c>
      <c r="W2990" t="s">
        <v>238</v>
      </c>
      <c r="X2990">
        <v>9.00000000000000000000000000000000000003</v>
      </c>
      <c r="Y2990">
        <v>0</v>
      </c>
      <c r="Z2990" t="s">
        <v>46</v>
      </c>
      <c r="AA2990">
        <v>57305</v>
      </c>
      <c r="AB2990" t="s">
        <v>2310</v>
      </c>
      <c r="AC2990" t="s">
        <v>103</v>
      </c>
      <c r="AD2990" t="s">
        <v>38</v>
      </c>
      <c r="AE2990" t="s">
        <v>49</v>
      </c>
      <c r="AF2990" t="s">
        <v>50</v>
      </c>
      <c r="AG2990">
        <v>0</v>
      </c>
      <c r="AH2990">
        <v>0</v>
      </c>
      <c r="AI2990" t="s">
        <v>51</v>
      </c>
      <c r="AJ2990" t="s">
        <v>51</v>
      </c>
      <c r="AK2990" t="s">
        <v>51</v>
      </c>
    </row>
    <row r="2991" spans="1:37" x14ac:dyDescent="0.2">
      <c r="A2991">
        <v>57288</v>
      </c>
      <c r="B2991" t="s">
        <v>37</v>
      </c>
      <c r="C2991" t="s">
        <v>38</v>
      </c>
      <c r="D2991" t="s">
        <v>674</v>
      </c>
      <c r="E2991" t="s">
        <v>40</v>
      </c>
      <c r="G2991" s="4">
        <v>43945.505972222222</v>
      </c>
      <c r="H2991" s="4">
        <v>43945.5065625</v>
      </c>
      <c r="I2991" t="s">
        <v>2171</v>
      </c>
      <c r="J2991" s="5">
        <v>51.00000000000000000000000000000000000002</v>
      </c>
      <c r="K2991" t="s">
        <v>38</v>
      </c>
      <c r="M2991">
        <v>57289</v>
      </c>
      <c r="N2991" t="s">
        <v>705</v>
      </c>
      <c r="O2991" t="s">
        <v>706</v>
      </c>
      <c r="P2991" t="s">
        <v>38</v>
      </c>
      <c r="Q2991" t="s">
        <v>238</v>
      </c>
      <c r="R2991">
        <v>9.00000000000000000000000000000000000003</v>
      </c>
      <c r="S2991" t="s">
        <v>45</v>
      </c>
      <c r="T299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1">
        <v>57290</v>
      </c>
      <c r="V2991" t="s">
        <v>38</v>
      </c>
      <c r="W2991" t="s">
        <v>238</v>
      </c>
      <c r="X2991">
        <v>9.00000000000000000000000000000000000003</v>
      </c>
      <c r="Y2991">
        <v>0</v>
      </c>
      <c r="Z2991" t="s">
        <v>46</v>
      </c>
      <c r="AA2991">
        <v>57304</v>
      </c>
      <c r="AB2991" t="s">
        <v>2311</v>
      </c>
      <c r="AC2991" t="s">
        <v>103</v>
      </c>
      <c r="AD2991" t="s">
        <v>38</v>
      </c>
      <c r="AE2991" t="s">
        <v>49</v>
      </c>
      <c r="AF2991" t="s">
        <v>50</v>
      </c>
      <c r="AG2991">
        <v>0</v>
      </c>
      <c r="AH2991">
        <v>0</v>
      </c>
      <c r="AI2991" t="s">
        <v>51</v>
      </c>
      <c r="AJ2991" t="s">
        <v>51</v>
      </c>
      <c r="AK2991" t="s">
        <v>51</v>
      </c>
    </row>
    <row r="2992" spans="1:37" x14ac:dyDescent="0.2">
      <c r="A2992">
        <v>57288</v>
      </c>
      <c r="B2992" t="s">
        <v>37</v>
      </c>
      <c r="C2992" t="s">
        <v>38</v>
      </c>
      <c r="D2992" t="s">
        <v>674</v>
      </c>
      <c r="E2992" t="s">
        <v>40</v>
      </c>
      <c r="G2992" s="4">
        <v>43945.505972222222</v>
      </c>
      <c r="H2992" s="4">
        <v>43945.5065625</v>
      </c>
      <c r="I2992" t="s">
        <v>2171</v>
      </c>
      <c r="J2992" s="5">
        <v>51.00000000000000000000000000000000000002</v>
      </c>
      <c r="K2992" t="s">
        <v>38</v>
      </c>
      <c r="M2992">
        <v>57289</v>
      </c>
      <c r="N2992" t="s">
        <v>705</v>
      </c>
      <c r="O2992" t="s">
        <v>706</v>
      </c>
      <c r="P2992" t="s">
        <v>38</v>
      </c>
      <c r="Q2992" t="s">
        <v>238</v>
      </c>
      <c r="R2992">
        <v>9.00000000000000000000000000000000000003</v>
      </c>
      <c r="S2992" t="s">
        <v>45</v>
      </c>
      <c r="T299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2">
        <v>57290</v>
      </c>
      <c r="V2992" t="s">
        <v>38</v>
      </c>
      <c r="W2992" t="s">
        <v>238</v>
      </c>
      <c r="X2992">
        <v>9.00000000000000000000000000000000000003</v>
      </c>
      <c r="Y2992">
        <v>0</v>
      </c>
      <c r="Z2992" t="s">
        <v>46</v>
      </c>
      <c r="AA2992">
        <v>57303</v>
      </c>
      <c r="AB2992" t="s">
        <v>2312</v>
      </c>
      <c r="AC2992" t="s">
        <v>103</v>
      </c>
      <c r="AD2992" t="s">
        <v>38</v>
      </c>
      <c r="AE2992" t="s">
        <v>49</v>
      </c>
      <c r="AF2992" t="s">
        <v>50</v>
      </c>
      <c r="AG2992">
        <v>0</v>
      </c>
      <c r="AH2992">
        <v>0</v>
      </c>
      <c r="AI2992" t="s">
        <v>51</v>
      </c>
      <c r="AJ2992" t="s">
        <v>51</v>
      </c>
      <c r="AK2992" t="s">
        <v>51</v>
      </c>
    </row>
    <row r="2993" spans="1:37" x14ac:dyDescent="0.2">
      <c r="A2993">
        <v>57288</v>
      </c>
      <c r="B2993" t="s">
        <v>37</v>
      </c>
      <c r="C2993" t="s">
        <v>38</v>
      </c>
      <c r="D2993" t="s">
        <v>674</v>
      </c>
      <c r="E2993" t="s">
        <v>40</v>
      </c>
      <c r="G2993" s="4">
        <v>43945.505972222222</v>
      </c>
      <c r="H2993" s="4">
        <v>43945.5065625</v>
      </c>
      <c r="I2993" t="s">
        <v>2171</v>
      </c>
      <c r="J2993" s="5">
        <v>51.00000000000000000000000000000000000002</v>
      </c>
      <c r="K2993" t="s">
        <v>38</v>
      </c>
      <c r="M2993">
        <v>57289</v>
      </c>
      <c r="N2993" t="s">
        <v>705</v>
      </c>
      <c r="O2993" t="s">
        <v>706</v>
      </c>
      <c r="P2993" t="s">
        <v>38</v>
      </c>
      <c r="Q2993" t="s">
        <v>238</v>
      </c>
      <c r="R2993">
        <v>9.00000000000000000000000000000000000003</v>
      </c>
      <c r="S2993" t="s">
        <v>45</v>
      </c>
      <c r="T299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3">
        <v>57290</v>
      </c>
      <c r="V2993" t="s">
        <v>38</v>
      </c>
      <c r="W2993" t="s">
        <v>238</v>
      </c>
      <c r="X2993">
        <v>9.00000000000000000000000000000000000003</v>
      </c>
      <c r="Y2993">
        <v>0</v>
      </c>
      <c r="Z2993" t="s">
        <v>46</v>
      </c>
      <c r="AA2993">
        <v>57302</v>
      </c>
      <c r="AB2993" t="s">
        <v>2313</v>
      </c>
      <c r="AC2993" t="s">
        <v>103</v>
      </c>
      <c r="AD2993" t="s">
        <v>38</v>
      </c>
      <c r="AE2993" t="s">
        <v>49</v>
      </c>
      <c r="AF2993" t="s">
        <v>50</v>
      </c>
      <c r="AG2993">
        <v>.9999999999999999999999999999999999999996</v>
      </c>
      <c r="AH2993">
        <v>0</v>
      </c>
      <c r="AI2993" t="s">
        <v>51</v>
      </c>
      <c r="AJ2993" t="s">
        <v>51</v>
      </c>
      <c r="AK2993" t="s">
        <v>51</v>
      </c>
    </row>
    <row r="2994" spans="1:37" x14ac:dyDescent="0.2">
      <c r="A2994">
        <v>57288</v>
      </c>
      <c r="B2994" t="s">
        <v>37</v>
      </c>
      <c r="C2994" t="s">
        <v>38</v>
      </c>
      <c r="D2994" t="s">
        <v>674</v>
      </c>
      <c r="E2994" t="s">
        <v>40</v>
      </c>
      <c r="G2994" s="4">
        <v>43945.505972222222</v>
      </c>
      <c r="H2994" s="4">
        <v>43945.5065625</v>
      </c>
      <c r="I2994" t="s">
        <v>2171</v>
      </c>
      <c r="J2994" s="5">
        <v>51.00000000000000000000000000000000000002</v>
      </c>
      <c r="K2994" t="s">
        <v>38</v>
      </c>
      <c r="M2994">
        <v>57289</v>
      </c>
      <c r="N2994" t="s">
        <v>705</v>
      </c>
      <c r="O2994" t="s">
        <v>706</v>
      </c>
      <c r="P2994" t="s">
        <v>38</v>
      </c>
      <c r="Q2994" t="s">
        <v>238</v>
      </c>
      <c r="R2994">
        <v>9.00000000000000000000000000000000000003</v>
      </c>
      <c r="S2994" t="s">
        <v>45</v>
      </c>
      <c r="T299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4">
        <v>57290</v>
      </c>
      <c r="V2994" t="s">
        <v>38</v>
      </c>
      <c r="W2994" t="s">
        <v>238</v>
      </c>
      <c r="X2994">
        <v>9.00000000000000000000000000000000000003</v>
      </c>
      <c r="Y2994">
        <v>0</v>
      </c>
      <c r="Z2994" t="s">
        <v>46</v>
      </c>
      <c r="AA2994">
        <v>57301</v>
      </c>
      <c r="AB2994" t="s">
        <v>2314</v>
      </c>
      <c r="AC2994" t="s">
        <v>103</v>
      </c>
      <c r="AD2994" t="s">
        <v>38</v>
      </c>
      <c r="AE2994" t="s">
        <v>49</v>
      </c>
      <c r="AF2994" t="s">
        <v>50</v>
      </c>
      <c r="AG2994">
        <v>0</v>
      </c>
      <c r="AH2994">
        <v>0</v>
      </c>
      <c r="AI2994" t="s">
        <v>51</v>
      </c>
      <c r="AJ2994" t="s">
        <v>51</v>
      </c>
      <c r="AK2994" t="s">
        <v>51</v>
      </c>
    </row>
    <row r="2995" spans="1:37" x14ac:dyDescent="0.2">
      <c r="A2995">
        <v>57288</v>
      </c>
      <c r="B2995" t="s">
        <v>37</v>
      </c>
      <c r="C2995" t="s">
        <v>38</v>
      </c>
      <c r="D2995" t="s">
        <v>674</v>
      </c>
      <c r="E2995" t="s">
        <v>40</v>
      </c>
      <c r="G2995" s="4">
        <v>43945.505972222222</v>
      </c>
      <c r="H2995" s="4">
        <v>43945.5065625</v>
      </c>
      <c r="I2995" t="s">
        <v>2171</v>
      </c>
      <c r="J2995" s="5">
        <v>51.00000000000000000000000000000000000002</v>
      </c>
      <c r="K2995" t="s">
        <v>38</v>
      </c>
      <c r="M2995">
        <v>57289</v>
      </c>
      <c r="N2995" t="s">
        <v>705</v>
      </c>
      <c r="O2995" t="s">
        <v>706</v>
      </c>
      <c r="P2995" t="s">
        <v>38</v>
      </c>
      <c r="Q2995" t="s">
        <v>238</v>
      </c>
      <c r="R2995">
        <v>9.00000000000000000000000000000000000003</v>
      </c>
      <c r="S2995" t="s">
        <v>45</v>
      </c>
      <c r="T2995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5">
        <v>57290</v>
      </c>
      <c r="V2995" t="s">
        <v>38</v>
      </c>
      <c r="W2995" t="s">
        <v>238</v>
      </c>
      <c r="X2995">
        <v>9.00000000000000000000000000000000000003</v>
      </c>
      <c r="Y2995">
        <v>0</v>
      </c>
      <c r="Z2995" t="s">
        <v>46</v>
      </c>
      <c r="AA2995">
        <v>57300</v>
      </c>
      <c r="AB2995" t="s">
        <v>2315</v>
      </c>
      <c r="AC2995" t="s">
        <v>103</v>
      </c>
      <c r="AD2995" t="s">
        <v>38</v>
      </c>
      <c r="AE2995" t="s">
        <v>49</v>
      </c>
      <c r="AF2995" t="s">
        <v>50</v>
      </c>
      <c r="AG2995">
        <v>0</v>
      </c>
      <c r="AH2995">
        <v>0</v>
      </c>
      <c r="AI2995" t="s">
        <v>51</v>
      </c>
      <c r="AJ2995" t="s">
        <v>51</v>
      </c>
      <c r="AK2995" t="s">
        <v>51</v>
      </c>
    </row>
    <row r="2996" spans="1:37" x14ac:dyDescent="0.2">
      <c r="A2996">
        <v>57288</v>
      </c>
      <c r="B2996" t="s">
        <v>37</v>
      </c>
      <c r="C2996" t="s">
        <v>38</v>
      </c>
      <c r="D2996" t="s">
        <v>674</v>
      </c>
      <c r="E2996" t="s">
        <v>40</v>
      </c>
      <c r="G2996" s="4">
        <v>43945.505972222222</v>
      </c>
      <c r="H2996" s="4">
        <v>43945.5065625</v>
      </c>
      <c r="I2996" t="s">
        <v>2171</v>
      </c>
      <c r="J2996" s="5">
        <v>51.00000000000000000000000000000000000002</v>
      </c>
      <c r="K2996" t="s">
        <v>38</v>
      </c>
      <c r="M2996">
        <v>57289</v>
      </c>
      <c r="N2996" t="s">
        <v>705</v>
      </c>
      <c r="O2996" t="s">
        <v>706</v>
      </c>
      <c r="P2996" t="s">
        <v>38</v>
      </c>
      <c r="Q2996" t="s">
        <v>238</v>
      </c>
      <c r="R2996">
        <v>9.00000000000000000000000000000000000003</v>
      </c>
      <c r="S2996" t="s">
        <v>45</v>
      </c>
      <c r="T2996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6">
        <v>57290</v>
      </c>
      <c r="V2996" t="s">
        <v>38</v>
      </c>
      <c r="W2996" t="s">
        <v>238</v>
      </c>
      <c r="X2996">
        <v>9.00000000000000000000000000000000000003</v>
      </c>
      <c r="Y2996">
        <v>0</v>
      </c>
      <c r="Z2996" t="s">
        <v>46</v>
      </c>
      <c r="AA2996">
        <v>57299</v>
      </c>
      <c r="AB2996" t="s">
        <v>2316</v>
      </c>
      <c r="AC2996" t="s">
        <v>103</v>
      </c>
      <c r="AD2996" t="s">
        <v>38</v>
      </c>
      <c r="AE2996" t="s">
        <v>49</v>
      </c>
      <c r="AF2996" t="s">
        <v>50</v>
      </c>
      <c r="AG2996">
        <v>0</v>
      </c>
      <c r="AH2996">
        <v>0</v>
      </c>
      <c r="AI2996" t="s">
        <v>51</v>
      </c>
      <c r="AJ2996" t="s">
        <v>51</v>
      </c>
      <c r="AK2996" t="s">
        <v>51</v>
      </c>
    </row>
    <row r="2997" spans="1:37" x14ac:dyDescent="0.2">
      <c r="A2997">
        <v>57288</v>
      </c>
      <c r="B2997" t="s">
        <v>37</v>
      </c>
      <c r="C2997" t="s">
        <v>38</v>
      </c>
      <c r="D2997" t="s">
        <v>674</v>
      </c>
      <c r="E2997" t="s">
        <v>40</v>
      </c>
      <c r="G2997" s="4">
        <v>43945.505972222222</v>
      </c>
      <c r="H2997" s="4">
        <v>43945.5065625</v>
      </c>
      <c r="I2997" t="s">
        <v>2171</v>
      </c>
      <c r="J2997" s="5">
        <v>51.00000000000000000000000000000000000002</v>
      </c>
      <c r="K2997" t="s">
        <v>38</v>
      </c>
      <c r="M2997">
        <v>57289</v>
      </c>
      <c r="N2997" t="s">
        <v>705</v>
      </c>
      <c r="O2997" t="s">
        <v>706</v>
      </c>
      <c r="P2997" t="s">
        <v>38</v>
      </c>
      <c r="Q2997" t="s">
        <v>238</v>
      </c>
      <c r="R2997">
        <v>9.00000000000000000000000000000000000003</v>
      </c>
      <c r="S2997" t="s">
        <v>45</v>
      </c>
      <c r="T2997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7">
        <v>57290</v>
      </c>
      <c r="V2997" t="s">
        <v>38</v>
      </c>
      <c r="W2997" t="s">
        <v>238</v>
      </c>
      <c r="X2997">
        <v>9.00000000000000000000000000000000000003</v>
      </c>
      <c r="Y2997">
        <v>0</v>
      </c>
      <c r="Z2997" t="s">
        <v>46</v>
      </c>
      <c r="AA2997">
        <v>57298</v>
      </c>
      <c r="AB2997" t="s">
        <v>2317</v>
      </c>
      <c r="AC2997" t="s">
        <v>103</v>
      </c>
      <c r="AD2997" t="s">
        <v>38</v>
      </c>
      <c r="AE2997" t="s">
        <v>49</v>
      </c>
      <c r="AF2997" t="s">
        <v>50</v>
      </c>
      <c r="AG2997">
        <v>0</v>
      </c>
      <c r="AH2997">
        <v>0</v>
      </c>
      <c r="AI2997" t="s">
        <v>51</v>
      </c>
      <c r="AJ2997" t="s">
        <v>51</v>
      </c>
      <c r="AK2997" t="s">
        <v>51</v>
      </c>
    </row>
    <row r="2998" spans="1:37" x14ac:dyDescent="0.2">
      <c r="A2998">
        <v>57288</v>
      </c>
      <c r="B2998" t="s">
        <v>37</v>
      </c>
      <c r="C2998" t="s">
        <v>38</v>
      </c>
      <c r="D2998" t="s">
        <v>674</v>
      </c>
      <c r="E2998" t="s">
        <v>40</v>
      </c>
      <c r="G2998" s="4">
        <v>43945.505972222222</v>
      </c>
      <c r="H2998" s="4">
        <v>43945.5065625</v>
      </c>
      <c r="I2998" t="s">
        <v>2171</v>
      </c>
      <c r="J2998" s="5">
        <v>51.00000000000000000000000000000000000002</v>
      </c>
      <c r="K2998" t="s">
        <v>38</v>
      </c>
      <c r="M2998">
        <v>57289</v>
      </c>
      <c r="N2998" t="s">
        <v>705</v>
      </c>
      <c r="O2998" t="s">
        <v>706</v>
      </c>
      <c r="P2998" t="s">
        <v>38</v>
      </c>
      <c r="Q2998" t="s">
        <v>238</v>
      </c>
      <c r="R2998">
        <v>9.00000000000000000000000000000000000003</v>
      </c>
      <c r="S2998" t="s">
        <v>45</v>
      </c>
      <c r="T2998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8">
        <v>57290</v>
      </c>
      <c r="V2998" t="s">
        <v>38</v>
      </c>
      <c r="W2998" t="s">
        <v>238</v>
      </c>
      <c r="X2998">
        <v>9.00000000000000000000000000000000000003</v>
      </c>
      <c r="Y2998">
        <v>0</v>
      </c>
      <c r="Z2998" t="s">
        <v>46</v>
      </c>
      <c r="AA2998">
        <v>57297</v>
      </c>
      <c r="AB2998" t="s">
        <v>2318</v>
      </c>
      <c r="AC2998" t="s">
        <v>103</v>
      </c>
      <c r="AD2998" t="s">
        <v>38</v>
      </c>
      <c r="AE2998" t="s">
        <v>49</v>
      </c>
      <c r="AF2998" t="s">
        <v>50</v>
      </c>
      <c r="AG2998">
        <v>0</v>
      </c>
      <c r="AH2998">
        <v>0</v>
      </c>
      <c r="AI2998" t="s">
        <v>51</v>
      </c>
      <c r="AJ2998" t="s">
        <v>51</v>
      </c>
      <c r="AK2998" t="s">
        <v>51</v>
      </c>
    </row>
    <row r="2999" spans="1:37" x14ac:dyDescent="0.2">
      <c r="A2999">
        <v>57288</v>
      </c>
      <c r="B2999" t="s">
        <v>37</v>
      </c>
      <c r="C2999" t="s">
        <v>38</v>
      </c>
      <c r="D2999" t="s">
        <v>674</v>
      </c>
      <c r="E2999" t="s">
        <v>40</v>
      </c>
      <c r="G2999" s="4">
        <v>43945.505972222222</v>
      </c>
      <c r="H2999" s="4">
        <v>43945.5065625</v>
      </c>
      <c r="I2999" t="s">
        <v>2171</v>
      </c>
      <c r="J2999" s="5">
        <v>51.00000000000000000000000000000000000002</v>
      </c>
      <c r="K2999" t="s">
        <v>38</v>
      </c>
      <c r="M2999">
        <v>57289</v>
      </c>
      <c r="N2999" t="s">
        <v>705</v>
      </c>
      <c r="O2999" t="s">
        <v>706</v>
      </c>
      <c r="P2999" t="s">
        <v>38</v>
      </c>
      <c r="Q2999" t="s">
        <v>238</v>
      </c>
      <c r="R2999">
        <v>9.00000000000000000000000000000000000003</v>
      </c>
      <c r="S2999" t="s">
        <v>45</v>
      </c>
      <c r="T2999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2999">
        <v>57290</v>
      </c>
      <c r="V2999" t="s">
        <v>38</v>
      </c>
      <c r="W2999" t="s">
        <v>238</v>
      </c>
      <c r="X2999">
        <v>9.00000000000000000000000000000000000003</v>
      </c>
      <c r="Y2999">
        <v>0</v>
      </c>
      <c r="Z2999" t="s">
        <v>46</v>
      </c>
      <c r="AA2999">
        <v>57296</v>
      </c>
      <c r="AB2999" t="s">
        <v>2319</v>
      </c>
      <c r="AC2999" t="s">
        <v>103</v>
      </c>
      <c r="AD2999" t="s">
        <v>38</v>
      </c>
      <c r="AE2999" t="s">
        <v>49</v>
      </c>
      <c r="AF2999" t="s">
        <v>50</v>
      </c>
      <c r="AG2999">
        <v>0</v>
      </c>
      <c r="AH2999">
        <v>0</v>
      </c>
      <c r="AI2999" t="s">
        <v>51</v>
      </c>
      <c r="AJ2999" t="s">
        <v>51</v>
      </c>
      <c r="AK2999" t="s">
        <v>51</v>
      </c>
    </row>
    <row r="3000" spans="1:37" x14ac:dyDescent="0.2">
      <c r="A3000">
        <v>57288</v>
      </c>
      <c r="B3000" t="s">
        <v>37</v>
      </c>
      <c r="C3000" t="s">
        <v>38</v>
      </c>
      <c r="D3000" t="s">
        <v>674</v>
      </c>
      <c r="E3000" t="s">
        <v>40</v>
      </c>
      <c r="G3000" s="4">
        <v>43945.505972222222</v>
      </c>
      <c r="H3000" s="4">
        <v>43945.5065625</v>
      </c>
      <c r="I3000" t="s">
        <v>2171</v>
      </c>
      <c r="J3000" s="5">
        <v>51.00000000000000000000000000000000000002</v>
      </c>
      <c r="K3000" t="s">
        <v>38</v>
      </c>
      <c r="M3000">
        <v>57289</v>
      </c>
      <c r="N3000" t="s">
        <v>705</v>
      </c>
      <c r="O3000" t="s">
        <v>706</v>
      </c>
      <c r="P3000" t="s">
        <v>38</v>
      </c>
      <c r="Q3000" t="s">
        <v>238</v>
      </c>
      <c r="R3000">
        <v>9.00000000000000000000000000000000000003</v>
      </c>
      <c r="S3000" t="s">
        <v>45</v>
      </c>
      <c r="T3000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3000">
        <v>57290</v>
      </c>
      <c r="V3000" t="s">
        <v>38</v>
      </c>
      <c r="W3000" t="s">
        <v>238</v>
      </c>
      <c r="X3000">
        <v>9.00000000000000000000000000000000000003</v>
      </c>
      <c r="Y3000">
        <v>0</v>
      </c>
      <c r="Z3000" t="s">
        <v>46</v>
      </c>
      <c r="AA3000">
        <v>57295</v>
      </c>
      <c r="AB3000" t="s">
        <v>2320</v>
      </c>
      <c r="AC3000" t="s">
        <v>103</v>
      </c>
      <c r="AD3000" t="s">
        <v>38</v>
      </c>
      <c r="AE3000" t="s">
        <v>49</v>
      </c>
      <c r="AF3000" t="s">
        <v>50</v>
      </c>
      <c r="AG3000">
        <v>0</v>
      </c>
      <c r="AH3000">
        <v>0</v>
      </c>
      <c r="AI3000" t="s">
        <v>51</v>
      </c>
      <c r="AJ3000" t="s">
        <v>51</v>
      </c>
      <c r="AK3000" t="s">
        <v>51</v>
      </c>
    </row>
    <row r="3001" spans="1:37" x14ac:dyDescent="0.2">
      <c r="A3001">
        <v>57288</v>
      </c>
      <c r="B3001" t="s">
        <v>37</v>
      </c>
      <c r="C3001" t="s">
        <v>38</v>
      </c>
      <c r="D3001" t="s">
        <v>674</v>
      </c>
      <c r="E3001" t="s">
        <v>40</v>
      </c>
      <c r="G3001" s="4">
        <v>43945.505972222222</v>
      </c>
      <c r="H3001" s="4">
        <v>43945.5065625</v>
      </c>
      <c r="I3001" t="s">
        <v>2171</v>
      </c>
      <c r="J3001" s="5">
        <v>51.00000000000000000000000000000000000002</v>
      </c>
      <c r="K3001" t="s">
        <v>38</v>
      </c>
      <c r="M3001">
        <v>57289</v>
      </c>
      <c r="N3001" t="s">
        <v>705</v>
      </c>
      <c r="O3001" t="s">
        <v>706</v>
      </c>
      <c r="P3001" t="s">
        <v>38</v>
      </c>
      <c r="Q3001" t="s">
        <v>238</v>
      </c>
      <c r="R3001">
        <v>9.00000000000000000000000000000000000003</v>
      </c>
      <c r="S3001" t="s">
        <v>45</v>
      </c>
      <c r="T3001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3001">
        <v>57290</v>
      </c>
      <c r="V3001" t="s">
        <v>38</v>
      </c>
      <c r="W3001" t="s">
        <v>238</v>
      </c>
      <c r="X3001">
        <v>9.00000000000000000000000000000000000003</v>
      </c>
      <c r="Y3001">
        <v>0</v>
      </c>
      <c r="Z3001" t="s">
        <v>46</v>
      </c>
      <c r="AA3001">
        <v>57294</v>
      </c>
      <c r="AB3001" t="s">
        <v>2321</v>
      </c>
      <c r="AC3001" t="s">
        <v>103</v>
      </c>
      <c r="AD3001" t="s">
        <v>38</v>
      </c>
      <c r="AE3001" t="s">
        <v>49</v>
      </c>
      <c r="AF3001" t="s">
        <v>50</v>
      </c>
      <c r="AG3001">
        <v>0</v>
      </c>
      <c r="AH3001">
        <v>0</v>
      </c>
      <c r="AI3001" t="s">
        <v>51</v>
      </c>
      <c r="AJ3001" t="s">
        <v>51</v>
      </c>
      <c r="AK3001" t="s">
        <v>51</v>
      </c>
    </row>
    <row r="3002" spans="1:37" x14ac:dyDescent="0.2">
      <c r="A3002">
        <v>57288</v>
      </c>
      <c r="B3002" t="s">
        <v>37</v>
      </c>
      <c r="C3002" t="s">
        <v>38</v>
      </c>
      <c r="D3002" t="s">
        <v>674</v>
      </c>
      <c r="E3002" t="s">
        <v>40</v>
      </c>
      <c r="G3002" s="4">
        <v>43945.505972222222</v>
      </c>
      <c r="H3002" s="4">
        <v>43945.5065625</v>
      </c>
      <c r="I3002" t="s">
        <v>2171</v>
      </c>
      <c r="J3002" s="5">
        <v>51.00000000000000000000000000000000000002</v>
      </c>
      <c r="K3002" t="s">
        <v>38</v>
      </c>
      <c r="M3002">
        <v>57289</v>
      </c>
      <c r="N3002" t="s">
        <v>705</v>
      </c>
      <c r="O3002" t="s">
        <v>706</v>
      </c>
      <c r="P3002" t="s">
        <v>38</v>
      </c>
      <c r="Q3002" t="s">
        <v>238</v>
      </c>
      <c r="R3002">
        <v>9.00000000000000000000000000000000000003</v>
      </c>
      <c r="S3002" t="s">
        <v>45</v>
      </c>
      <c r="T3002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3002">
        <v>57290</v>
      </c>
      <c r="V3002" t="s">
        <v>38</v>
      </c>
      <c r="W3002" t="s">
        <v>238</v>
      </c>
      <c r="X3002">
        <v>9.00000000000000000000000000000000000003</v>
      </c>
      <c r="Y3002">
        <v>0</v>
      </c>
      <c r="Z3002" t="s">
        <v>46</v>
      </c>
      <c r="AA3002">
        <v>57293</v>
      </c>
      <c r="AB3002" t="s">
        <v>2322</v>
      </c>
      <c r="AC3002" t="s">
        <v>103</v>
      </c>
      <c r="AD3002" t="s">
        <v>38</v>
      </c>
      <c r="AE3002" t="s">
        <v>49</v>
      </c>
      <c r="AF3002" t="s">
        <v>78</v>
      </c>
      <c r="AG3002">
        <v>5</v>
      </c>
      <c r="AH3002">
        <v>5</v>
      </c>
      <c r="AI3002" t="s">
        <v>51</v>
      </c>
      <c r="AJ3002" t="s">
        <v>51</v>
      </c>
      <c r="AK3002" t="s">
        <v>51</v>
      </c>
    </row>
    <row r="3003" spans="1:37" x14ac:dyDescent="0.2">
      <c r="A3003">
        <v>57288</v>
      </c>
      <c r="B3003" t="s">
        <v>37</v>
      </c>
      <c r="C3003" t="s">
        <v>38</v>
      </c>
      <c r="D3003" t="s">
        <v>674</v>
      </c>
      <c r="E3003" t="s">
        <v>40</v>
      </c>
      <c r="G3003" s="4">
        <v>43945.505972222222</v>
      </c>
      <c r="H3003" s="4">
        <v>43945.5065625</v>
      </c>
      <c r="I3003" t="s">
        <v>2171</v>
      </c>
      <c r="J3003" s="5">
        <v>51.00000000000000000000000000000000000002</v>
      </c>
      <c r="K3003" t="s">
        <v>38</v>
      </c>
      <c r="M3003">
        <v>57289</v>
      </c>
      <c r="N3003" t="s">
        <v>705</v>
      </c>
      <c r="O3003" t="s">
        <v>706</v>
      </c>
      <c r="P3003" t="s">
        <v>38</v>
      </c>
      <c r="Q3003" t="s">
        <v>238</v>
      </c>
      <c r="R3003">
        <v>9.00000000000000000000000000000000000003</v>
      </c>
      <c r="S3003" t="s">
        <v>45</v>
      </c>
      <c r="T3003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3003">
        <v>57290</v>
      </c>
      <c r="V3003" t="s">
        <v>38</v>
      </c>
      <c r="W3003" t="s">
        <v>238</v>
      </c>
      <c r="X3003">
        <v>9.00000000000000000000000000000000000003</v>
      </c>
      <c r="Y3003">
        <v>0</v>
      </c>
      <c r="Z3003" t="s">
        <v>46</v>
      </c>
      <c r="AA3003">
        <v>57292</v>
      </c>
      <c r="AB3003" t="s">
        <v>2323</v>
      </c>
      <c r="AC3003" t="s">
        <v>48</v>
      </c>
      <c r="AD3003" t="s">
        <v>38</v>
      </c>
      <c r="AE3003" t="s">
        <v>49</v>
      </c>
      <c r="AF3003" t="s">
        <v>50</v>
      </c>
      <c r="AG3003">
        <v>.9999999999999999999999999999999999999996</v>
      </c>
      <c r="AH3003">
        <v>0</v>
      </c>
      <c r="AI3003" t="s">
        <v>51</v>
      </c>
      <c r="AJ3003" t="s">
        <v>51</v>
      </c>
      <c r="AK3003" t="s">
        <v>51</v>
      </c>
    </row>
    <row r="3004" spans="1:37" x14ac:dyDescent="0.2">
      <c r="A3004">
        <v>57288</v>
      </c>
      <c r="B3004" t="s">
        <v>37</v>
      </c>
      <c r="C3004" t="s">
        <v>38</v>
      </c>
      <c r="D3004" t="s">
        <v>674</v>
      </c>
      <c r="E3004" t="s">
        <v>40</v>
      </c>
      <c r="G3004" s="4">
        <v>43945.505972222222</v>
      </c>
      <c r="H3004" s="4">
        <v>43945.5065625</v>
      </c>
      <c r="I3004" t="s">
        <v>2171</v>
      </c>
      <c r="J3004" s="5">
        <v>51.00000000000000000000000000000000000002</v>
      </c>
      <c r="K3004" t="s">
        <v>38</v>
      </c>
      <c r="M3004">
        <v>57289</v>
      </c>
      <c r="N3004" t="s">
        <v>705</v>
      </c>
      <c r="O3004" t="s">
        <v>706</v>
      </c>
      <c r="P3004" t="s">
        <v>38</v>
      </c>
      <c r="Q3004" t="s">
        <v>238</v>
      </c>
      <c r="R3004">
        <v>9.00000000000000000000000000000000000003</v>
      </c>
      <c r="S3004" t="s">
        <v>45</v>
      </c>
      <c r="T3004" t="str" s="2">
        <f>=HYPERLINK("http://demo.enginatics.com:80/ecc/user/applications/log/57288.log","http://demo.enginatics.com:80/ecc/user/applications/log/57288.log")</f>
        <v>"http://demo.enginatics.com:80/ecc/user/applications/log/57288.log")</v>
      </c>
      <c r="U3004">
        <v>57290</v>
      </c>
      <c r="V3004" t="s">
        <v>38</v>
      </c>
      <c r="W3004" t="s">
        <v>238</v>
      </c>
      <c r="X3004">
        <v>9.00000000000000000000000000000000000003</v>
      </c>
      <c r="Y3004">
        <v>0</v>
      </c>
      <c r="Z3004" t="s">
        <v>46</v>
      </c>
      <c r="AA3004">
        <v>57291</v>
      </c>
      <c r="AB3004" t="s">
        <v>859</v>
      </c>
      <c r="AC3004" t="s">
        <v>56</v>
      </c>
      <c r="AD3004" t="s">
        <v>38</v>
      </c>
      <c r="AE3004" t="s">
        <v>49</v>
      </c>
      <c r="AF3004" t="s">
        <v>50</v>
      </c>
      <c r="AG3004">
        <v>0</v>
      </c>
      <c r="AH3004">
        <v>0</v>
      </c>
      <c r="AI3004" t="s">
        <v>51</v>
      </c>
      <c r="AJ3004" t="s">
        <v>51</v>
      </c>
      <c r="AK3004" t="s">
        <v>51</v>
      </c>
    </row>
    <row r="3005" spans="1:37" x14ac:dyDescent="0.2">
      <c r="A3005">
        <v>57283</v>
      </c>
      <c r="B3005" t="s">
        <v>37</v>
      </c>
      <c r="C3005" t="s">
        <v>38</v>
      </c>
      <c r="D3005" t="s">
        <v>83</v>
      </c>
      <c r="E3005" t="s">
        <v>84</v>
      </c>
      <c r="G3005" s="4">
        <v>43945.45587962963</v>
      </c>
      <c r="H3005" s="4">
        <v>43945.455925925926</v>
      </c>
      <c r="I3005" t="s">
        <v>44</v>
      </c>
      <c r="J3005" s="5">
        <v>4</v>
      </c>
      <c r="K3005" t="s">
        <v>38</v>
      </c>
      <c r="M3005">
        <v>57284</v>
      </c>
      <c r="N3005" t="s">
        <v>84</v>
      </c>
      <c r="O3005" t="s">
        <v>86</v>
      </c>
      <c r="P3005" t="s">
        <v>38</v>
      </c>
      <c r="Q3005" t="s">
        <v>44</v>
      </c>
      <c r="R3005">
        <v>4</v>
      </c>
      <c r="S3005" t="s">
        <v>45</v>
      </c>
      <c r="T3005" t="str" s="2">
        <f>=HYPERLINK("http://demo.enginatics.com:80/ecc/user/applications/log/57283.log","http://demo.enginatics.com:80/ecc/user/applications/log/57283.log")</f>
        <v>"http://demo.enginatics.com:80/ecc/user/applications/log/57283.log")</v>
      </c>
      <c r="U3005">
        <v>57285</v>
      </c>
      <c r="V3005" t="s">
        <v>38</v>
      </c>
      <c r="W3005" t="s">
        <v>44</v>
      </c>
      <c r="X3005">
        <v>4</v>
      </c>
      <c r="Y3005">
        <v>0</v>
      </c>
      <c r="Z3005" t="s">
        <v>46</v>
      </c>
      <c r="AA3005">
        <v>57287</v>
      </c>
      <c r="AB3005" t="s">
        <v>2324</v>
      </c>
      <c r="AC3005" t="s">
        <v>68</v>
      </c>
      <c r="AD3005" t="s">
        <v>38</v>
      </c>
      <c r="AE3005" t="s">
        <v>49</v>
      </c>
      <c r="AF3005" t="s">
        <v>88</v>
      </c>
      <c r="AG3005">
        <v>2</v>
      </c>
      <c r="AH3005">
        <v>1</v>
      </c>
      <c r="AI3005" t="s">
        <v>51</v>
      </c>
      <c r="AJ3005" t="s">
        <v>51</v>
      </c>
      <c r="AK3005" t="s">
        <v>51</v>
      </c>
    </row>
    <row r="3006" spans="1:37" x14ac:dyDescent="0.2">
      <c r="A3006">
        <v>57283</v>
      </c>
      <c r="B3006" t="s">
        <v>37</v>
      </c>
      <c r="C3006" t="s">
        <v>38</v>
      </c>
      <c r="D3006" t="s">
        <v>83</v>
      </c>
      <c r="E3006" t="s">
        <v>84</v>
      </c>
      <c r="G3006" s="4">
        <v>43945.45587962963</v>
      </c>
      <c r="H3006" s="4">
        <v>43945.455925925926</v>
      </c>
      <c r="I3006" t="s">
        <v>44</v>
      </c>
      <c r="J3006" s="5">
        <v>4</v>
      </c>
      <c r="K3006" t="s">
        <v>38</v>
      </c>
      <c r="M3006">
        <v>57284</v>
      </c>
      <c r="N3006" t="s">
        <v>84</v>
      </c>
      <c r="O3006" t="s">
        <v>86</v>
      </c>
      <c r="P3006" t="s">
        <v>38</v>
      </c>
      <c r="Q3006" t="s">
        <v>44</v>
      </c>
      <c r="R3006">
        <v>4</v>
      </c>
      <c r="S3006" t="s">
        <v>45</v>
      </c>
      <c r="T3006" t="str" s="2">
        <f>=HYPERLINK("http://demo.enginatics.com:80/ecc/user/applications/log/57283.log","http://demo.enginatics.com:80/ecc/user/applications/log/57283.log")</f>
        <v>"http://demo.enginatics.com:80/ecc/user/applications/log/57283.log")</v>
      </c>
      <c r="U3006">
        <v>57285</v>
      </c>
      <c r="V3006" t="s">
        <v>38</v>
      </c>
      <c r="W3006" t="s">
        <v>44</v>
      </c>
      <c r="X3006">
        <v>4</v>
      </c>
      <c r="Y3006">
        <v>0</v>
      </c>
      <c r="Z3006" t="s">
        <v>46</v>
      </c>
      <c r="AA3006">
        <v>57286</v>
      </c>
      <c r="AB3006" t="s">
        <v>2325</v>
      </c>
      <c r="AC3006" t="s">
        <v>56</v>
      </c>
      <c r="AD3006" t="s">
        <v>38</v>
      </c>
      <c r="AE3006" t="s">
        <v>49</v>
      </c>
      <c r="AF3006" t="s">
        <v>88</v>
      </c>
      <c r="AG3006">
        <v>2</v>
      </c>
      <c r="AH3006">
        <v>0</v>
      </c>
      <c r="AI3006" t="s">
        <v>51</v>
      </c>
      <c r="AJ3006" t="s">
        <v>51</v>
      </c>
      <c r="AK3006" t="s">
        <v>51</v>
      </c>
    </row>
    <row r="3007" spans="1:37" x14ac:dyDescent="0.2">
      <c r="A3007">
        <v>57281</v>
      </c>
      <c r="B3007" t="s">
        <v>37</v>
      </c>
      <c r="C3007" t="s">
        <v>38</v>
      </c>
      <c r="D3007" t="s">
        <v>83</v>
      </c>
      <c r="E3007" t="s">
        <v>90</v>
      </c>
      <c r="G3007" s="4">
        <v>43945.438310185185</v>
      </c>
      <c r="H3007" s="4">
        <v>43945.438310185185</v>
      </c>
      <c r="I3007" t="s">
        <v>50</v>
      </c>
      <c r="J3007" s="5">
        <v>0</v>
      </c>
      <c r="K3007" t="s">
        <v>38</v>
      </c>
      <c r="M3007">
        <v>57282</v>
      </c>
      <c r="N3007" t="s">
        <v>90</v>
      </c>
      <c r="O3007" t="s">
        <v>91</v>
      </c>
      <c r="P3007" t="s">
        <v>38</v>
      </c>
      <c r="Q3007" t="s">
        <v>50</v>
      </c>
      <c r="R3007">
        <v>0</v>
      </c>
      <c r="S3007" t="s">
        <v>92</v>
      </c>
      <c r="T3007" t="str" s="2">
        <f>=HYPERLINK("http://demo.enginatics.com:80/ecc/user/applications/log/57281.log","http://demo.enginatics.com:80/ecc/user/applications/log/57281.log")</f>
        <v>"http://demo.enginatics.com:80/ecc/user/applications/log/57281.log")</v>
      </c>
    </row>
    <row r="3008" spans="1:37" x14ac:dyDescent="0.2">
      <c r="A3008">
        <v>57275</v>
      </c>
      <c r="B3008" t="s">
        <v>37</v>
      </c>
      <c r="C3008" t="s">
        <v>38</v>
      </c>
      <c r="D3008" t="s">
        <v>93</v>
      </c>
      <c r="E3008" t="s">
        <v>94</v>
      </c>
      <c r="G3008" s="4">
        <v>43945.416759259259</v>
      </c>
      <c r="H3008" s="4">
        <v>43945.416759259259</v>
      </c>
      <c r="I3008" t="s">
        <v>50</v>
      </c>
      <c r="J3008" s="5">
        <v>0</v>
      </c>
      <c r="K3008" t="s">
        <v>38</v>
      </c>
      <c r="M3008">
        <v>57276</v>
      </c>
      <c r="N3008" t="s">
        <v>94</v>
      </c>
      <c r="O3008" t="s">
        <v>95</v>
      </c>
      <c r="P3008" t="s">
        <v>38</v>
      </c>
      <c r="Q3008" t="s">
        <v>50</v>
      </c>
      <c r="R3008">
        <v>0</v>
      </c>
      <c r="S3008" t="s">
        <v>45</v>
      </c>
      <c r="T3008" t="str" s="2">
        <f>=HYPERLINK("http://demo.enginatics.com:80/ecc/user/applications/log/57275.log","http://demo.enginatics.com:80/ecc/user/applications/log/57275.log")</f>
        <v>"http://demo.enginatics.com:80/ecc/user/applications/log/57275.log")</v>
      </c>
      <c r="U3008">
        <v>57277</v>
      </c>
      <c r="V3008" t="s">
        <v>38</v>
      </c>
      <c r="W3008" t="s">
        <v>50</v>
      </c>
      <c r="X3008">
        <v>0</v>
      </c>
      <c r="Y3008">
        <v>0</v>
      </c>
      <c r="Z3008" t="s">
        <v>46</v>
      </c>
      <c r="AA3008">
        <v>57280</v>
      </c>
      <c r="AB3008" t="s">
        <v>96</v>
      </c>
      <c r="AC3008" t="s">
        <v>97</v>
      </c>
      <c r="AD3008" t="s">
        <v>38</v>
      </c>
      <c r="AE3008" t="s">
        <v>49</v>
      </c>
      <c r="AF3008" t="s">
        <v>50</v>
      </c>
      <c r="AG3008">
        <v>0</v>
      </c>
      <c r="AH3008">
        <v>0</v>
      </c>
      <c r="AI3008" t="s">
        <v>51</v>
      </c>
      <c r="AJ3008" t="s">
        <v>51</v>
      </c>
      <c r="AK3008" t="s">
        <v>51</v>
      </c>
    </row>
    <row r="3009" spans="1:37" x14ac:dyDescent="0.2">
      <c r="A3009">
        <v>57275</v>
      </c>
      <c r="B3009" t="s">
        <v>37</v>
      </c>
      <c r="C3009" t="s">
        <v>38</v>
      </c>
      <c r="D3009" t="s">
        <v>93</v>
      </c>
      <c r="E3009" t="s">
        <v>94</v>
      </c>
      <c r="G3009" s="4">
        <v>43945.416759259259</v>
      </c>
      <c r="H3009" s="4">
        <v>43945.416759259259</v>
      </c>
      <c r="I3009" t="s">
        <v>50</v>
      </c>
      <c r="J3009" s="5">
        <v>0</v>
      </c>
      <c r="K3009" t="s">
        <v>38</v>
      </c>
      <c r="M3009">
        <v>57276</v>
      </c>
      <c r="N3009" t="s">
        <v>94</v>
      </c>
      <c r="O3009" t="s">
        <v>95</v>
      </c>
      <c r="P3009" t="s">
        <v>38</v>
      </c>
      <c r="Q3009" t="s">
        <v>50</v>
      </c>
      <c r="R3009">
        <v>0</v>
      </c>
      <c r="S3009" t="s">
        <v>45</v>
      </c>
      <c r="T3009" t="str" s="2">
        <f>=HYPERLINK("http://demo.enginatics.com:80/ecc/user/applications/log/57275.log","http://demo.enginatics.com:80/ecc/user/applications/log/57275.log")</f>
        <v>"http://demo.enginatics.com:80/ecc/user/applications/log/57275.log")</v>
      </c>
      <c r="U3009">
        <v>57277</v>
      </c>
      <c r="V3009" t="s">
        <v>38</v>
      </c>
      <c r="W3009" t="s">
        <v>50</v>
      </c>
      <c r="X3009">
        <v>0</v>
      </c>
      <c r="Y3009">
        <v>0</v>
      </c>
      <c r="Z3009" t="s">
        <v>46</v>
      </c>
      <c r="AA3009">
        <v>57279</v>
      </c>
      <c r="AB3009" t="s">
        <v>98</v>
      </c>
      <c r="AC3009" t="s">
        <v>56</v>
      </c>
      <c r="AD3009" t="s">
        <v>38</v>
      </c>
      <c r="AE3009" t="s">
        <v>49</v>
      </c>
      <c r="AF3009" t="s">
        <v>50</v>
      </c>
      <c r="AG3009">
        <v>0</v>
      </c>
      <c r="AH3009">
        <v>0</v>
      </c>
      <c r="AI3009" t="s">
        <v>51</v>
      </c>
      <c r="AJ3009" t="s">
        <v>51</v>
      </c>
      <c r="AK3009" t="s">
        <v>51</v>
      </c>
    </row>
    <row r="3010" spans="1:37" x14ac:dyDescent="0.2">
      <c r="A3010">
        <v>57275</v>
      </c>
      <c r="B3010" t="s">
        <v>37</v>
      </c>
      <c r="C3010" t="s">
        <v>38</v>
      </c>
      <c r="D3010" t="s">
        <v>93</v>
      </c>
      <c r="E3010" t="s">
        <v>94</v>
      </c>
      <c r="G3010" s="4">
        <v>43945.416759259259</v>
      </c>
      <c r="H3010" s="4">
        <v>43945.416759259259</v>
      </c>
      <c r="I3010" t="s">
        <v>50</v>
      </c>
      <c r="J3010" s="5">
        <v>0</v>
      </c>
      <c r="K3010" t="s">
        <v>38</v>
      </c>
      <c r="M3010">
        <v>57276</v>
      </c>
      <c r="N3010" t="s">
        <v>94</v>
      </c>
      <c r="O3010" t="s">
        <v>95</v>
      </c>
      <c r="P3010" t="s">
        <v>38</v>
      </c>
      <c r="Q3010" t="s">
        <v>50</v>
      </c>
      <c r="R3010">
        <v>0</v>
      </c>
      <c r="S3010" t="s">
        <v>45</v>
      </c>
      <c r="T3010" t="str" s="2">
        <f>=HYPERLINK("http://demo.enginatics.com:80/ecc/user/applications/log/57275.log","http://demo.enginatics.com:80/ecc/user/applications/log/57275.log")</f>
        <v>"http://demo.enginatics.com:80/ecc/user/applications/log/57275.log")</v>
      </c>
      <c r="U3010">
        <v>57277</v>
      </c>
      <c r="V3010" t="s">
        <v>38</v>
      </c>
      <c r="W3010" t="s">
        <v>50</v>
      </c>
      <c r="X3010">
        <v>0</v>
      </c>
      <c r="Y3010">
        <v>0</v>
      </c>
      <c r="Z3010" t="s">
        <v>46</v>
      </c>
      <c r="AA3010">
        <v>57278</v>
      </c>
      <c r="AB3010" t="s">
        <v>99</v>
      </c>
      <c r="AC3010" t="s">
        <v>68</v>
      </c>
      <c r="AD3010" t="s">
        <v>38</v>
      </c>
      <c r="AE3010" t="s">
        <v>49</v>
      </c>
      <c r="AF3010" t="s">
        <v>50</v>
      </c>
      <c r="AG3010">
        <v>0</v>
      </c>
      <c r="AH3010">
        <v>0</v>
      </c>
      <c r="AI3010" t="s">
        <v>51</v>
      </c>
      <c r="AJ3010" t="s">
        <v>51</v>
      </c>
      <c r="AK3010" t="s">
        <v>51</v>
      </c>
    </row>
    <row r="3011" spans="1:37" x14ac:dyDescent="0.2">
      <c r="A3011">
        <v>57269</v>
      </c>
      <c r="B3011" t="s">
        <v>37</v>
      </c>
      <c r="C3011" t="s">
        <v>38</v>
      </c>
      <c r="D3011" t="s">
        <v>93</v>
      </c>
      <c r="E3011" t="s">
        <v>100</v>
      </c>
      <c r="G3011" s="4">
        <v>43945.416666666667</v>
      </c>
      <c r="H3011" s="4">
        <v>43945.416678240741</v>
      </c>
      <c r="I3011" t="s">
        <v>50</v>
      </c>
      <c r="J3011" s="5">
        <v>.9999999999999999999999999999999999999996</v>
      </c>
      <c r="K3011" t="s">
        <v>38</v>
      </c>
      <c r="M3011">
        <v>57270</v>
      </c>
      <c r="N3011" t="s">
        <v>100</v>
      </c>
      <c r="O3011" t="s">
        <v>101</v>
      </c>
      <c r="P3011" t="s">
        <v>38</v>
      </c>
      <c r="Q3011" t="s">
        <v>50</v>
      </c>
      <c r="R3011">
        <v>.9999999999999999999999999999999999999996</v>
      </c>
      <c r="S3011" t="s">
        <v>45</v>
      </c>
      <c r="T3011" t="str" s="2">
        <f>=HYPERLINK("http://demo.enginatics.com:80/ecc/user/applications/log/57269.log","http://demo.enginatics.com:80/ecc/user/applications/log/57269.log")</f>
        <v>"http://demo.enginatics.com:80/ecc/user/applications/log/57269.log")</v>
      </c>
      <c r="U3011">
        <v>57271</v>
      </c>
      <c r="V3011" t="s">
        <v>38</v>
      </c>
      <c r="W3011" t="s">
        <v>50</v>
      </c>
      <c r="X3011">
        <v>.9999999999999999999999999999999999999996</v>
      </c>
      <c r="Y3011">
        <v>0</v>
      </c>
      <c r="Z3011" t="s">
        <v>46</v>
      </c>
      <c r="AA3011">
        <v>57274</v>
      </c>
      <c r="AB3011" t="s">
        <v>102</v>
      </c>
      <c r="AC3011" t="s">
        <v>103</v>
      </c>
      <c r="AD3011" t="s">
        <v>38</v>
      </c>
      <c r="AE3011" t="s">
        <v>49</v>
      </c>
      <c r="AF3011" t="s">
        <v>50</v>
      </c>
      <c r="AG3011">
        <v>.9999999999999999999999999999999999999996</v>
      </c>
      <c r="AH3011">
        <v>0</v>
      </c>
      <c r="AI3011" t="s">
        <v>51</v>
      </c>
      <c r="AJ3011" t="s">
        <v>51</v>
      </c>
      <c r="AK3011" t="s">
        <v>51</v>
      </c>
    </row>
    <row r="3012" spans="1:37" x14ac:dyDescent="0.2">
      <c r="A3012">
        <v>57269</v>
      </c>
      <c r="B3012" t="s">
        <v>37</v>
      </c>
      <c r="C3012" t="s">
        <v>38</v>
      </c>
      <c r="D3012" t="s">
        <v>93</v>
      </c>
      <c r="E3012" t="s">
        <v>100</v>
      </c>
      <c r="G3012" s="4">
        <v>43945.416666666667</v>
      </c>
      <c r="H3012" s="4">
        <v>43945.416678240741</v>
      </c>
      <c r="I3012" t="s">
        <v>50</v>
      </c>
      <c r="J3012" s="5">
        <v>.9999999999999999999999999999999999999996</v>
      </c>
      <c r="K3012" t="s">
        <v>38</v>
      </c>
      <c r="M3012">
        <v>57270</v>
      </c>
      <c r="N3012" t="s">
        <v>100</v>
      </c>
      <c r="O3012" t="s">
        <v>101</v>
      </c>
      <c r="P3012" t="s">
        <v>38</v>
      </c>
      <c r="Q3012" t="s">
        <v>50</v>
      </c>
      <c r="R3012">
        <v>.9999999999999999999999999999999999999996</v>
      </c>
      <c r="S3012" t="s">
        <v>45</v>
      </c>
      <c r="T3012" t="str" s="2">
        <f>=HYPERLINK("http://demo.enginatics.com:80/ecc/user/applications/log/57269.log","http://demo.enginatics.com:80/ecc/user/applications/log/57269.log")</f>
        <v>"http://demo.enginatics.com:80/ecc/user/applications/log/57269.log")</v>
      </c>
      <c r="U3012">
        <v>57271</v>
      </c>
      <c r="V3012" t="s">
        <v>38</v>
      </c>
      <c r="W3012" t="s">
        <v>50</v>
      </c>
      <c r="X3012">
        <v>.9999999999999999999999999999999999999996</v>
      </c>
      <c r="Y3012">
        <v>0</v>
      </c>
      <c r="Z3012" t="s">
        <v>46</v>
      </c>
      <c r="AA3012">
        <v>57273</v>
      </c>
      <c r="AB3012" t="s">
        <v>104</v>
      </c>
      <c r="AC3012" t="s">
        <v>56</v>
      </c>
      <c r="AD3012" t="s">
        <v>38</v>
      </c>
      <c r="AE3012" t="s">
        <v>49</v>
      </c>
      <c r="AF3012" t="s">
        <v>50</v>
      </c>
      <c r="AG3012">
        <v>0</v>
      </c>
      <c r="AH3012">
        <v>0</v>
      </c>
      <c r="AI3012" t="s">
        <v>51</v>
      </c>
      <c r="AJ3012" t="s">
        <v>51</v>
      </c>
      <c r="AK3012" t="s">
        <v>51</v>
      </c>
    </row>
    <row r="3013" spans="1:37" x14ac:dyDescent="0.2">
      <c r="A3013">
        <v>57269</v>
      </c>
      <c r="B3013" t="s">
        <v>37</v>
      </c>
      <c r="C3013" t="s">
        <v>38</v>
      </c>
      <c r="D3013" t="s">
        <v>93</v>
      </c>
      <c r="E3013" t="s">
        <v>100</v>
      </c>
      <c r="G3013" s="4">
        <v>43945.416666666667</v>
      </c>
      <c r="H3013" s="4">
        <v>43945.416678240741</v>
      </c>
      <c r="I3013" t="s">
        <v>50</v>
      </c>
      <c r="J3013" s="5">
        <v>.9999999999999999999999999999999999999996</v>
      </c>
      <c r="K3013" t="s">
        <v>38</v>
      </c>
      <c r="M3013">
        <v>57270</v>
      </c>
      <c r="N3013" t="s">
        <v>100</v>
      </c>
      <c r="O3013" t="s">
        <v>101</v>
      </c>
      <c r="P3013" t="s">
        <v>38</v>
      </c>
      <c r="Q3013" t="s">
        <v>50</v>
      </c>
      <c r="R3013">
        <v>.9999999999999999999999999999999999999996</v>
      </c>
      <c r="S3013" t="s">
        <v>45</v>
      </c>
      <c r="T3013" t="str" s="2">
        <f>=HYPERLINK("http://demo.enginatics.com:80/ecc/user/applications/log/57269.log","http://demo.enginatics.com:80/ecc/user/applications/log/57269.log")</f>
        <v>"http://demo.enginatics.com:80/ecc/user/applications/log/57269.log")</v>
      </c>
      <c r="U3013">
        <v>57271</v>
      </c>
      <c r="V3013" t="s">
        <v>38</v>
      </c>
      <c r="W3013" t="s">
        <v>50</v>
      </c>
      <c r="X3013">
        <v>.9999999999999999999999999999999999999996</v>
      </c>
      <c r="Y3013">
        <v>0</v>
      </c>
      <c r="Z3013" t="s">
        <v>46</v>
      </c>
      <c r="AA3013">
        <v>57272</v>
      </c>
      <c r="AB3013" t="s">
        <v>105</v>
      </c>
      <c r="AC3013" t="s">
        <v>68</v>
      </c>
      <c r="AD3013" t="s">
        <v>38</v>
      </c>
      <c r="AE3013" t="s">
        <v>49</v>
      </c>
      <c r="AF3013" t="s">
        <v>50</v>
      </c>
      <c r="AG3013">
        <v>0</v>
      </c>
      <c r="AH3013">
        <v>0</v>
      </c>
      <c r="AI3013" t="s">
        <v>51</v>
      </c>
      <c r="AJ3013" t="s">
        <v>51</v>
      </c>
      <c r="AK3013" t="s">
        <v>51</v>
      </c>
    </row>
    <row r="3014" spans="1:37" x14ac:dyDescent="0.2">
      <c r="A3014">
        <v>57244</v>
      </c>
      <c r="B3014" t="s">
        <v>37</v>
      </c>
      <c r="C3014" t="s">
        <v>38</v>
      </c>
      <c r="D3014" t="s">
        <v>39</v>
      </c>
      <c r="E3014" t="s">
        <v>40</v>
      </c>
      <c r="G3014" s="4">
        <v>43945.365752314815</v>
      </c>
      <c r="H3014" s="4">
        <v>43945.383356481481</v>
      </c>
      <c r="I3014" t="s">
        <v>1846</v>
      </c>
      <c r="J3014" s="5">
        <v>1521.000000000000000000000000000000000003</v>
      </c>
      <c r="K3014" t="s">
        <v>38</v>
      </c>
      <c r="M3014">
        <v>57259</v>
      </c>
      <c r="N3014" t="s">
        <v>42</v>
      </c>
      <c r="O3014" t="s">
        <v>43</v>
      </c>
      <c r="P3014" t="s">
        <v>38</v>
      </c>
      <c r="Q3014" t="s">
        <v>85</v>
      </c>
      <c r="R3014">
        <v>3</v>
      </c>
      <c r="S3014" t="s">
        <v>45</v>
      </c>
      <c r="T3014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14">
        <v>57260</v>
      </c>
      <c r="V3014" t="s">
        <v>38</v>
      </c>
      <c r="W3014" t="s">
        <v>85</v>
      </c>
      <c r="X3014">
        <v>3</v>
      </c>
      <c r="Y3014">
        <v>0</v>
      </c>
      <c r="Z3014" t="s">
        <v>46</v>
      </c>
      <c r="AA3014">
        <v>57268</v>
      </c>
      <c r="AB3014" t="s">
        <v>2326</v>
      </c>
      <c r="AC3014" t="s">
        <v>48</v>
      </c>
      <c r="AD3014" t="s">
        <v>38</v>
      </c>
      <c r="AE3014" t="s">
        <v>49</v>
      </c>
      <c r="AF3014" t="s">
        <v>50</v>
      </c>
      <c r="AG3014">
        <v>0</v>
      </c>
      <c r="AH3014">
        <v>0</v>
      </c>
      <c r="AI3014" t="s">
        <v>51</v>
      </c>
      <c r="AJ3014" t="s">
        <v>51</v>
      </c>
      <c r="AK3014" t="s">
        <v>51</v>
      </c>
    </row>
    <row r="3015" spans="1:37" x14ac:dyDescent="0.2">
      <c r="A3015">
        <v>57244</v>
      </c>
      <c r="B3015" t="s">
        <v>37</v>
      </c>
      <c r="C3015" t="s">
        <v>38</v>
      </c>
      <c r="D3015" t="s">
        <v>39</v>
      </c>
      <c r="E3015" t="s">
        <v>40</v>
      </c>
      <c r="G3015" s="4">
        <v>43945.365752314815</v>
      </c>
      <c r="H3015" s="4">
        <v>43945.383356481481</v>
      </c>
      <c r="I3015" t="s">
        <v>1846</v>
      </c>
      <c r="J3015" s="5">
        <v>1521.000000000000000000000000000000000003</v>
      </c>
      <c r="K3015" t="s">
        <v>38</v>
      </c>
      <c r="M3015">
        <v>57259</v>
      </c>
      <c r="N3015" t="s">
        <v>42</v>
      </c>
      <c r="O3015" t="s">
        <v>43</v>
      </c>
      <c r="P3015" t="s">
        <v>38</v>
      </c>
      <c r="Q3015" t="s">
        <v>85</v>
      </c>
      <c r="R3015">
        <v>3</v>
      </c>
      <c r="S3015" t="s">
        <v>45</v>
      </c>
      <c r="T3015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15">
        <v>57260</v>
      </c>
      <c r="V3015" t="s">
        <v>38</v>
      </c>
      <c r="W3015" t="s">
        <v>85</v>
      </c>
      <c r="X3015">
        <v>3</v>
      </c>
      <c r="Y3015">
        <v>0</v>
      </c>
      <c r="Z3015" t="s">
        <v>46</v>
      </c>
      <c r="AA3015">
        <v>57267</v>
      </c>
      <c r="AB3015" t="s">
        <v>2327</v>
      </c>
      <c r="AC3015" t="s">
        <v>48</v>
      </c>
      <c r="AD3015" t="s">
        <v>38</v>
      </c>
      <c r="AE3015" t="s">
        <v>49</v>
      </c>
      <c r="AF3015" t="s">
        <v>50</v>
      </c>
      <c r="AG3015">
        <v>0</v>
      </c>
      <c r="AH3015">
        <v>0</v>
      </c>
      <c r="AI3015" t="s">
        <v>51</v>
      </c>
      <c r="AJ3015" t="s">
        <v>51</v>
      </c>
      <c r="AK3015" t="s">
        <v>51</v>
      </c>
    </row>
    <row r="3016" spans="1:37" x14ac:dyDescent="0.2">
      <c r="A3016">
        <v>57244</v>
      </c>
      <c r="B3016" t="s">
        <v>37</v>
      </c>
      <c r="C3016" t="s">
        <v>38</v>
      </c>
      <c r="D3016" t="s">
        <v>39</v>
      </c>
      <c r="E3016" t="s">
        <v>40</v>
      </c>
      <c r="G3016" s="4">
        <v>43945.365752314815</v>
      </c>
      <c r="H3016" s="4">
        <v>43945.383356481481</v>
      </c>
      <c r="I3016" t="s">
        <v>1846</v>
      </c>
      <c r="J3016" s="5">
        <v>1521.000000000000000000000000000000000003</v>
      </c>
      <c r="K3016" t="s">
        <v>38</v>
      </c>
      <c r="M3016">
        <v>57259</v>
      </c>
      <c r="N3016" t="s">
        <v>42</v>
      </c>
      <c r="O3016" t="s">
        <v>43</v>
      </c>
      <c r="P3016" t="s">
        <v>38</v>
      </c>
      <c r="Q3016" t="s">
        <v>85</v>
      </c>
      <c r="R3016">
        <v>3</v>
      </c>
      <c r="S3016" t="s">
        <v>45</v>
      </c>
      <c r="T3016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16">
        <v>57260</v>
      </c>
      <c r="V3016" t="s">
        <v>38</v>
      </c>
      <c r="W3016" t="s">
        <v>85</v>
      </c>
      <c r="X3016">
        <v>3</v>
      </c>
      <c r="Y3016">
        <v>0</v>
      </c>
      <c r="Z3016" t="s">
        <v>46</v>
      </c>
      <c r="AA3016">
        <v>57266</v>
      </c>
      <c r="AB3016" t="s">
        <v>2328</v>
      </c>
      <c r="AC3016" t="s">
        <v>48</v>
      </c>
      <c r="AD3016" t="s">
        <v>38</v>
      </c>
      <c r="AE3016" t="s">
        <v>49</v>
      </c>
      <c r="AF3016" t="s">
        <v>50</v>
      </c>
      <c r="AG3016">
        <v>.9999999999999999999999999999999999999996</v>
      </c>
      <c r="AH3016">
        <v>0</v>
      </c>
      <c r="AI3016" t="s">
        <v>51</v>
      </c>
      <c r="AJ3016" t="s">
        <v>51</v>
      </c>
      <c r="AK3016" t="s">
        <v>51</v>
      </c>
    </row>
    <row r="3017" spans="1:37" x14ac:dyDescent="0.2">
      <c r="A3017">
        <v>57244</v>
      </c>
      <c r="B3017" t="s">
        <v>37</v>
      </c>
      <c r="C3017" t="s">
        <v>38</v>
      </c>
      <c r="D3017" t="s">
        <v>39</v>
      </c>
      <c r="E3017" t="s">
        <v>40</v>
      </c>
      <c r="G3017" s="4">
        <v>43945.365752314815</v>
      </c>
      <c r="H3017" s="4">
        <v>43945.383356481481</v>
      </c>
      <c r="I3017" t="s">
        <v>1846</v>
      </c>
      <c r="J3017" s="5">
        <v>1521.000000000000000000000000000000000003</v>
      </c>
      <c r="K3017" t="s">
        <v>38</v>
      </c>
      <c r="M3017">
        <v>57259</v>
      </c>
      <c r="N3017" t="s">
        <v>42</v>
      </c>
      <c r="O3017" t="s">
        <v>43</v>
      </c>
      <c r="P3017" t="s">
        <v>38</v>
      </c>
      <c r="Q3017" t="s">
        <v>85</v>
      </c>
      <c r="R3017">
        <v>3</v>
      </c>
      <c r="S3017" t="s">
        <v>45</v>
      </c>
      <c r="T3017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17">
        <v>57260</v>
      </c>
      <c r="V3017" t="s">
        <v>38</v>
      </c>
      <c r="W3017" t="s">
        <v>85</v>
      </c>
      <c r="X3017">
        <v>3</v>
      </c>
      <c r="Y3017">
        <v>0</v>
      </c>
      <c r="Z3017" t="s">
        <v>46</v>
      </c>
      <c r="AA3017">
        <v>57265</v>
      </c>
      <c r="AB3017" t="s">
        <v>2329</v>
      </c>
      <c r="AC3017" t="s">
        <v>48</v>
      </c>
      <c r="AD3017" t="s">
        <v>38</v>
      </c>
      <c r="AE3017" t="s">
        <v>49</v>
      </c>
      <c r="AF3017" t="s">
        <v>50</v>
      </c>
      <c r="AG3017">
        <v>.9999999999999999999999999999999999999996</v>
      </c>
      <c r="AH3017">
        <v>1</v>
      </c>
      <c r="AI3017" t="s">
        <v>51</v>
      </c>
      <c r="AJ3017" t="s">
        <v>51</v>
      </c>
      <c r="AK3017" t="s">
        <v>51</v>
      </c>
    </row>
    <row r="3018" spans="1:37" x14ac:dyDescent="0.2">
      <c r="A3018">
        <v>57244</v>
      </c>
      <c r="B3018" t="s">
        <v>37</v>
      </c>
      <c r="C3018" t="s">
        <v>38</v>
      </c>
      <c r="D3018" t="s">
        <v>39</v>
      </c>
      <c r="E3018" t="s">
        <v>40</v>
      </c>
      <c r="G3018" s="4">
        <v>43945.365752314815</v>
      </c>
      <c r="H3018" s="4">
        <v>43945.383356481481</v>
      </c>
      <c r="I3018" t="s">
        <v>1846</v>
      </c>
      <c r="J3018" s="5">
        <v>1521.000000000000000000000000000000000003</v>
      </c>
      <c r="K3018" t="s">
        <v>38</v>
      </c>
      <c r="M3018">
        <v>57259</v>
      </c>
      <c r="N3018" t="s">
        <v>42</v>
      </c>
      <c r="O3018" t="s">
        <v>43</v>
      </c>
      <c r="P3018" t="s">
        <v>38</v>
      </c>
      <c r="Q3018" t="s">
        <v>85</v>
      </c>
      <c r="R3018">
        <v>3</v>
      </c>
      <c r="S3018" t="s">
        <v>45</v>
      </c>
      <c r="T3018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18">
        <v>57260</v>
      </c>
      <c r="V3018" t="s">
        <v>38</v>
      </c>
      <c r="W3018" t="s">
        <v>85</v>
      </c>
      <c r="X3018">
        <v>3</v>
      </c>
      <c r="Y3018">
        <v>0</v>
      </c>
      <c r="Z3018" t="s">
        <v>46</v>
      </c>
      <c r="AA3018">
        <v>57264</v>
      </c>
      <c r="AB3018" t="s">
        <v>2330</v>
      </c>
      <c r="AC3018" t="s">
        <v>56</v>
      </c>
      <c r="AD3018" t="s">
        <v>38</v>
      </c>
      <c r="AE3018" t="s">
        <v>49</v>
      </c>
      <c r="AF3018" t="s">
        <v>50</v>
      </c>
      <c r="AG3018">
        <v>0</v>
      </c>
      <c r="AH3018">
        <v>0</v>
      </c>
      <c r="AI3018" t="s">
        <v>51</v>
      </c>
      <c r="AJ3018" t="s">
        <v>51</v>
      </c>
      <c r="AK3018" t="s">
        <v>51</v>
      </c>
    </row>
    <row r="3019" spans="1:37" x14ac:dyDescent="0.2">
      <c r="A3019">
        <v>57244</v>
      </c>
      <c r="B3019" t="s">
        <v>37</v>
      </c>
      <c r="C3019" t="s">
        <v>38</v>
      </c>
      <c r="D3019" t="s">
        <v>39</v>
      </c>
      <c r="E3019" t="s">
        <v>40</v>
      </c>
      <c r="G3019" s="4">
        <v>43945.365752314815</v>
      </c>
      <c r="H3019" s="4">
        <v>43945.383356481481</v>
      </c>
      <c r="I3019" t="s">
        <v>1846</v>
      </c>
      <c r="J3019" s="5">
        <v>1521.000000000000000000000000000000000003</v>
      </c>
      <c r="K3019" t="s">
        <v>38</v>
      </c>
      <c r="M3019">
        <v>57259</v>
      </c>
      <c r="N3019" t="s">
        <v>42</v>
      </c>
      <c r="O3019" t="s">
        <v>43</v>
      </c>
      <c r="P3019" t="s">
        <v>38</v>
      </c>
      <c r="Q3019" t="s">
        <v>85</v>
      </c>
      <c r="R3019">
        <v>3</v>
      </c>
      <c r="S3019" t="s">
        <v>45</v>
      </c>
      <c r="T3019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19">
        <v>57260</v>
      </c>
      <c r="V3019" t="s">
        <v>38</v>
      </c>
      <c r="W3019" t="s">
        <v>85</v>
      </c>
      <c r="X3019">
        <v>3</v>
      </c>
      <c r="Y3019">
        <v>0</v>
      </c>
      <c r="Z3019" t="s">
        <v>46</v>
      </c>
      <c r="AA3019">
        <v>57263</v>
      </c>
      <c r="AB3019" t="s">
        <v>2331</v>
      </c>
      <c r="AC3019" t="s">
        <v>56</v>
      </c>
      <c r="AD3019" t="s">
        <v>38</v>
      </c>
      <c r="AE3019" t="s">
        <v>49</v>
      </c>
      <c r="AF3019" t="s">
        <v>50</v>
      </c>
      <c r="AG3019">
        <v>0</v>
      </c>
      <c r="AH3019">
        <v>0</v>
      </c>
      <c r="AI3019" t="s">
        <v>51</v>
      </c>
      <c r="AJ3019" t="s">
        <v>51</v>
      </c>
      <c r="AK3019" t="s">
        <v>51</v>
      </c>
    </row>
    <row r="3020" spans="1:37" x14ac:dyDescent="0.2">
      <c r="A3020">
        <v>57244</v>
      </c>
      <c r="B3020" t="s">
        <v>37</v>
      </c>
      <c r="C3020" t="s">
        <v>38</v>
      </c>
      <c r="D3020" t="s">
        <v>39</v>
      </c>
      <c r="E3020" t="s">
        <v>40</v>
      </c>
      <c r="G3020" s="4">
        <v>43945.365752314815</v>
      </c>
      <c r="H3020" s="4">
        <v>43945.383356481481</v>
      </c>
      <c r="I3020" t="s">
        <v>1846</v>
      </c>
      <c r="J3020" s="5">
        <v>1521.000000000000000000000000000000000003</v>
      </c>
      <c r="K3020" t="s">
        <v>38</v>
      </c>
      <c r="M3020">
        <v>57259</v>
      </c>
      <c r="N3020" t="s">
        <v>42</v>
      </c>
      <c r="O3020" t="s">
        <v>43</v>
      </c>
      <c r="P3020" t="s">
        <v>38</v>
      </c>
      <c r="Q3020" t="s">
        <v>85</v>
      </c>
      <c r="R3020">
        <v>3</v>
      </c>
      <c r="S3020" t="s">
        <v>45</v>
      </c>
      <c r="T3020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0">
        <v>57260</v>
      </c>
      <c r="V3020" t="s">
        <v>38</v>
      </c>
      <c r="W3020" t="s">
        <v>85</v>
      </c>
      <c r="X3020">
        <v>3</v>
      </c>
      <c r="Y3020">
        <v>0</v>
      </c>
      <c r="Z3020" t="s">
        <v>46</v>
      </c>
      <c r="AA3020">
        <v>57262</v>
      </c>
      <c r="AB3020" t="s">
        <v>2332</v>
      </c>
      <c r="AC3020" t="s">
        <v>56</v>
      </c>
      <c r="AD3020" t="s">
        <v>38</v>
      </c>
      <c r="AE3020" t="s">
        <v>49</v>
      </c>
      <c r="AF3020" t="s">
        <v>50</v>
      </c>
      <c r="AG3020">
        <v>.9999999999999999999999999999999999999996</v>
      </c>
      <c r="AH3020">
        <v>0</v>
      </c>
      <c r="AI3020" t="s">
        <v>51</v>
      </c>
      <c r="AJ3020" t="s">
        <v>51</v>
      </c>
      <c r="AK3020" t="s">
        <v>51</v>
      </c>
    </row>
    <row r="3021" spans="1:37" x14ac:dyDescent="0.2">
      <c r="A3021">
        <v>57244</v>
      </c>
      <c r="B3021" t="s">
        <v>37</v>
      </c>
      <c r="C3021" t="s">
        <v>38</v>
      </c>
      <c r="D3021" t="s">
        <v>39</v>
      </c>
      <c r="E3021" t="s">
        <v>40</v>
      </c>
      <c r="G3021" s="4">
        <v>43945.365752314815</v>
      </c>
      <c r="H3021" s="4">
        <v>43945.383356481481</v>
      </c>
      <c r="I3021" t="s">
        <v>1846</v>
      </c>
      <c r="J3021" s="5">
        <v>1521.000000000000000000000000000000000003</v>
      </c>
      <c r="K3021" t="s">
        <v>38</v>
      </c>
      <c r="M3021">
        <v>57259</v>
      </c>
      <c r="N3021" t="s">
        <v>42</v>
      </c>
      <c r="O3021" t="s">
        <v>43</v>
      </c>
      <c r="P3021" t="s">
        <v>38</v>
      </c>
      <c r="Q3021" t="s">
        <v>85</v>
      </c>
      <c r="R3021">
        <v>3</v>
      </c>
      <c r="S3021" t="s">
        <v>45</v>
      </c>
      <c r="T3021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1">
        <v>57260</v>
      </c>
      <c r="V3021" t="s">
        <v>38</v>
      </c>
      <c r="W3021" t="s">
        <v>85</v>
      </c>
      <c r="X3021">
        <v>3</v>
      </c>
      <c r="Y3021">
        <v>0</v>
      </c>
      <c r="Z3021" t="s">
        <v>46</v>
      </c>
      <c r="AA3021">
        <v>57261</v>
      </c>
      <c r="AB3021" t="s">
        <v>2333</v>
      </c>
      <c r="AC3021" t="s">
        <v>60</v>
      </c>
      <c r="AD3021" t="s">
        <v>38</v>
      </c>
      <c r="AE3021" t="s">
        <v>49</v>
      </c>
      <c r="AF3021" t="s">
        <v>50</v>
      </c>
      <c r="AG3021">
        <v>0</v>
      </c>
      <c r="AH3021">
        <v>0</v>
      </c>
      <c r="AI3021" t="s">
        <v>51</v>
      </c>
      <c r="AJ3021" t="s">
        <v>51</v>
      </c>
      <c r="AK3021" t="s">
        <v>51</v>
      </c>
    </row>
    <row r="3022" spans="1:37" x14ac:dyDescent="0.2">
      <c r="A3022">
        <v>57244</v>
      </c>
      <c r="B3022" t="s">
        <v>37</v>
      </c>
      <c r="C3022" t="s">
        <v>38</v>
      </c>
      <c r="D3022" t="s">
        <v>39</v>
      </c>
      <c r="E3022" t="s">
        <v>40</v>
      </c>
      <c r="G3022" s="4">
        <v>43945.365752314815</v>
      </c>
      <c r="H3022" s="4">
        <v>43945.383356481481</v>
      </c>
      <c r="I3022" t="s">
        <v>1846</v>
      </c>
      <c r="J3022" s="5">
        <v>1521.000000000000000000000000000000000003</v>
      </c>
      <c r="K3022" t="s">
        <v>38</v>
      </c>
      <c r="M3022">
        <v>57255</v>
      </c>
      <c r="N3022" t="s">
        <v>61</v>
      </c>
      <c r="O3022" t="s">
        <v>62</v>
      </c>
      <c r="P3022" t="s">
        <v>38</v>
      </c>
      <c r="Q3022" t="s">
        <v>1855</v>
      </c>
      <c r="R3022">
        <v>1498.000000000000000000000000000000000003</v>
      </c>
      <c r="S3022" t="s">
        <v>45</v>
      </c>
      <c r="T3022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2">
        <v>57256</v>
      </c>
      <c r="V3022" t="s">
        <v>38</v>
      </c>
      <c r="W3022" t="s">
        <v>1855</v>
      </c>
      <c r="X3022">
        <v>1498.000000000000000000000000000000000003</v>
      </c>
      <c r="Y3022">
        <v>0</v>
      </c>
      <c r="Z3022" t="s">
        <v>46</v>
      </c>
      <c r="AA3022">
        <v>57258</v>
      </c>
      <c r="AB3022" t="s">
        <v>64</v>
      </c>
      <c r="AC3022" t="s">
        <v>56</v>
      </c>
      <c r="AD3022" t="s">
        <v>38</v>
      </c>
      <c r="AE3022" t="s">
        <v>65</v>
      </c>
      <c r="AF3022" t="s">
        <v>1855</v>
      </c>
      <c r="AG3022">
        <v>1498.000000000000000000000000000000000003</v>
      </c>
      <c r="AH3022">
        <v>3</v>
      </c>
      <c r="AI3022" t="s">
        <v>66</v>
      </c>
      <c r="AJ3022" t="s">
        <v>51</v>
      </c>
      <c r="AK3022" t="s">
        <v>66</v>
      </c>
    </row>
    <row r="3023" spans="1:37" x14ac:dyDescent="0.2">
      <c r="A3023">
        <v>57244</v>
      </c>
      <c r="B3023" t="s">
        <v>37</v>
      </c>
      <c r="C3023" t="s">
        <v>38</v>
      </c>
      <c r="D3023" t="s">
        <v>39</v>
      </c>
      <c r="E3023" t="s">
        <v>40</v>
      </c>
      <c r="G3023" s="4">
        <v>43945.365752314815</v>
      </c>
      <c r="H3023" s="4">
        <v>43945.383356481481</v>
      </c>
      <c r="I3023" t="s">
        <v>1846</v>
      </c>
      <c r="J3023" s="5">
        <v>1521.000000000000000000000000000000000003</v>
      </c>
      <c r="K3023" t="s">
        <v>38</v>
      </c>
      <c r="M3023">
        <v>57255</v>
      </c>
      <c r="N3023" t="s">
        <v>61</v>
      </c>
      <c r="O3023" t="s">
        <v>62</v>
      </c>
      <c r="P3023" t="s">
        <v>38</v>
      </c>
      <c r="Q3023" t="s">
        <v>1855</v>
      </c>
      <c r="R3023">
        <v>1498.000000000000000000000000000000000003</v>
      </c>
      <c r="S3023" t="s">
        <v>45</v>
      </c>
      <c r="T3023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3">
        <v>57256</v>
      </c>
      <c r="V3023" t="s">
        <v>38</v>
      </c>
      <c r="W3023" t="s">
        <v>1855</v>
      </c>
      <c r="X3023">
        <v>1498.000000000000000000000000000000000003</v>
      </c>
      <c r="Y3023">
        <v>0</v>
      </c>
      <c r="Z3023" t="s">
        <v>46</v>
      </c>
      <c r="AA3023">
        <v>57257</v>
      </c>
      <c r="AB3023" t="s">
        <v>2334</v>
      </c>
      <c r="AC3023" t="s">
        <v>68</v>
      </c>
      <c r="AD3023" t="s">
        <v>38</v>
      </c>
      <c r="AE3023" t="s">
        <v>49</v>
      </c>
      <c r="AF3023" t="s">
        <v>50</v>
      </c>
      <c r="AG3023">
        <v>0</v>
      </c>
      <c r="AH3023">
        <v>0</v>
      </c>
      <c r="AI3023" t="s">
        <v>51</v>
      </c>
      <c r="AJ3023" t="s">
        <v>51</v>
      </c>
      <c r="AK3023" t="s">
        <v>51</v>
      </c>
    </row>
    <row r="3024" spans="1:37" x14ac:dyDescent="0.2">
      <c r="A3024">
        <v>57244</v>
      </c>
      <c r="B3024" t="s">
        <v>37</v>
      </c>
      <c r="C3024" t="s">
        <v>38</v>
      </c>
      <c r="D3024" t="s">
        <v>39</v>
      </c>
      <c r="E3024" t="s">
        <v>40</v>
      </c>
      <c r="G3024" s="4">
        <v>43945.365752314815</v>
      </c>
      <c r="H3024" s="4">
        <v>43945.383356481481</v>
      </c>
      <c r="I3024" t="s">
        <v>1846</v>
      </c>
      <c r="J3024" s="5">
        <v>1521.000000000000000000000000000000000003</v>
      </c>
      <c r="K3024" t="s">
        <v>38</v>
      </c>
      <c r="M3024">
        <v>57251</v>
      </c>
      <c r="N3024" t="s">
        <v>69</v>
      </c>
      <c r="O3024" t="s">
        <v>70</v>
      </c>
      <c r="P3024" t="s">
        <v>38</v>
      </c>
      <c r="Q3024" t="s">
        <v>652</v>
      </c>
      <c r="R3024">
        <v>8</v>
      </c>
      <c r="S3024" t="s">
        <v>45</v>
      </c>
      <c r="T3024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4">
        <v>57252</v>
      </c>
      <c r="V3024" t="s">
        <v>38</v>
      </c>
      <c r="W3024" t="s">
        <v>652</v>
      </c>
      <c r="X3024">
        <v>8</v>
      </c>
      <c r="Y3024">
        <v>0</v>
      </c>
      <c r="Z3024" t="s">
        <v>46</v>
      </c>
      <c r="AA3024">
        <v>57254</v>
      </c>
      <c r="AB3024" t="s">
        <v>2335</v>
      </c>
      <c r="AC3024" t="s">
        <v>56</v>
      </c>
      <c r="AD3024" t="s">
        <v>38</v>
      </c>
      <c r="AE3024" t="s">
        <v>49</v>
      </c>
      <c r="AF3024" t="s">
        <v>50</v>
      </c>
      <c r="AG3024">
        <v>0</v>
      </c>
      <c r="AH3024">
        <v>0</v>
      </c>
      <c r="AI3024" t="s">
        <v>51</v>
      </c>
      <c r="AJ3024" t="s">
        <v>51</v>
      </c>
      <c r="AK3024" t="s">
        <v>51</v>
      </c>
    </row>
    <row r="3025" spans="1:37" x14ac:dyDescent="0.2">
      <c r="A3025">
        <v>57244</v>
      </c>
      <c r="B3025" t="s">
        <v>37</v>
      </c>
      <c r="C3025" t="s">
        <v>38</v>
      </c>
      <c r="D3025" t="s">
        <v>39</v>
      </c>
      <c r="E3025" t="s">
        <v>40</v>
      </c>
      <c r="G3025" s="4">
        <v>43945.365752314815</v>
      </c>
      <c r="H3025" s="4">
        <v>43945.383356481481</v>
      </c>
      <c r="I3025" t="s">
        <v>1846</v>
      </c>
      <c r="J3025" s="5">
        <v>1521.000000000000000000000000000000000003</v>
      </c>
      <c r="K3025" t="s">
        <v>38</v>
      </c>
      <c r="M3025">
        <v>57251</v>
      </c>
      <c r="N3025" t="s">
        <v>69</v>
      </c>
      <c r="O3025" t="s">
        <v>70</v>
      </c>
      <c r="P3025" t="s">
        <v>38</v>
      </c>
      <c r="Q3025" t="s">
        <v>652</v>
      </c>
      <c r="R3025">
        <v>8</v>
      </c>
      <c r="S3025" t="s">
        <v>45</v>
      </c>
      <c r="T3025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5">
        <v>57252</v>
      </c>
      <c r="V3025" t="s">
        <v>38</v>
      </c>
      <c r="W3025" t="s">
        <v>652</v>
      </c>
      <c r="X3025">
        <v>8</v>
      </c>
      <c r="Y3025">
        <v>0</v>
      </c>
      <c r="Z3025" t="s">
        <v>46</v>
      </c>
      <c r="AA3025">
        <v>57253</v>
      </c>
      <c r="AB3025" t="s">
        <v>72</v>
      </c>
      <c r="AC3025" t="s">
        <v>68</v>
      </c>
      <c r="AD3025" t="s">
        <v>38</v>
      </c>
      <c r="AE3025" t="s">
        <v>872</v>
      </c>
      <c r="AF3025" t="s">
        <v>75</v>
      </c>
      <c r="AG3025">
        <v>6</v>
      </c>
      <c r="AH3025">
        <v>0</v>
      </c>
      <c r="AI3025" t="s">
        <v>873</v>
      </c>
      <c r="AJ3025" t="s">
        <v>51</v>
      </c>
      <c r="AK3025" t="s">
        <v>873</v>
      </c>
    </row>
    <row r="3026" spans="1:37" x14ac:dyDescent="0.2">
      <c r="A3026">
        <v>57244</v>
      </c>
      <c r="B3026" t="s">
        <v>37</v>
      </c>
      <c r="C3026" t="s">
        <v>38</v>
      </c>
      <c r="D3026" t="s">
        <v>39</v>
      </c>
      <c r="E3026" t="s">
        <v>40</v>
      </c>
      <c r="G3026" s="4">
        <v>43945.365752314815</v>
      </c>
      <c r="H3026" s="4">
        <v>43945.383356481481</v>
      </c>
      <c r="I3026" t="s">
        <v>1846</v>
      </c>
      <c r="J3026" s="5">
        <v>1521.000000000000000000000000000000000003</v>
      </c>
      <c r="K3026" t="s">
        <v>38</v>
      </c>
      <c r="M3026">
        <v>57245</v>
      </c>
      <c r="N3026" t="s">
        <v>73</v>
      </c>
      <c r="O3026" t="s">
        <v>74</v>
      </c>
      <c r="P3026" t="s">
        <v>38</v>
      </c>
      <c r="Q3026" t="s">
        <v>236</v>
      </c>
      <c r="R3026">
        <v>12.00000000000000000000000000000000000001</v>
      </c>
      <c r="S3026" t="s">
        <v>45</v>
      </c>
      <c r="T3026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6">
        <v>57246</v>
      </c>
      <c r="V3026" t="s">
        <v>38</v>
      </c>
      <c r="W3026" t="s">
        <v>236</v>
      </c>
      <c r="X3026">
        <v>12.00000000000000000000000000000000000001</v>
      </c>
      <c r="Y3026">
        <v>0</v>
      </c>
      <c r="Z3026" t="s">
        <v>46</v>
      </c>
      <c r="AA3026">
        <v>57250</v>
      </c>
      <c r="AB3026" t="s">
        <v>76</v>
      </c>
      <c r="AC3026" t="s">
        <v>56</v>
      </c>
      <c r="AD3026" t="s">
        <v>38</v>
      </c>
      <c r="AE3026" t="s">
        <v>77</v>
      </c>
      <c r="AF3026" t="s">
        <v>78</v>
      </c>
      <c r="AG3026">
        <v>5</v>
      </c>
      <c r="AH3026">
        <v>0</v>
      </c>
      <c r="AI3026" t="s">
        <v>79</v>
      </c>
      <c r="AJ3026" t="s">
        <v>51</v>
      </c>
      <c r="AK3026" t="s">
        <v>79</v>
      </c>
    </row>
    <row r="3027" spans="1:37" x14ac:dyDescent="0.2">
      <c r="A3027">
        <v>57244</v>
      </c>
      <c r="B3027" t="s">
        <v>37</v>
      </c>
      <c r="C3027" t="s">
        <v>38</v>
      </c>
      <c r="D3027" t="s">
        <v>39</v>
      </c>
      <c r="E3027" t="s">
        <v>40</v>
      </c>
      <c r="G3027" s="4">
        <v>43945.365752314815</v>
      </c>
      <c r="H3027" s="4">
        <v>43945.383356481481</v>
      </c>
      <c r="I3027" t="s">
        <v>1846</v>
      </c>
      <c r="J3027" s="5">
        <v>1521.000000000000000000000000000000000003</v>
      </c>
      <c r="K3027" t="s">
        <v>38</v>
      </c>
      <c r="M3027">
        <v>57245</v>
      </c>
      <c r="N3027" t="s">
        <v>73</v>
      </c>
      <c r="O3027" t="s">
        <v>74</v>
      </c>
      <c r="P3027" t="s">
        <v>38</v>
      </c>
      <c r="Q3027" t="s">
        <v>236</v>
      </c>
      <c r="R3027">
        <v>12.00000000000000000000000000000000000001</v>
      </c>
      <c r="S3027" t="s">
        <v>45</v>
      </c>
      <c r="T3027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7">
        <v>57246</v>
      </c>
      <c r="V3027" t="s">
        <v>38</v>
      </c>
      <c r="W3027" t="s">
        <v>236</v>
      </c>
      <c r="X3027">
        <v>12.00000000000000000000000000000000000001</v>
      </c>
      <c r="Y3027">
        <v>0</v>
      </c>
      <c r="Z3027" t="s">
        <v>46</v>
      </c>
      <c r="AA3027">
        <v>57249</v>
      </c>
      <c r="AB3027" t="s">
        <v>80</v>
      </c>
      <c r="AC3027" t="s">
        <v>56</v>
      </c>
      <c r="AD3027" t="s">
        <v>38</v>
      </c>
      <c r="AE3027" t="s">
        <v>49</v>
      </c>
      <c r="AF3027" t="s">
        <v>50</v>
      </c>
      <c r="AG3027">
        <v>0</v>
      </c>
      <c r="AH3027">
        <v>0</v>
      </c>
      <c r="AI3027" t="s">
        <v>51</v>
      </c>
      <c r="AJ3027" t="s">
        <v>51</v>
      </c>
      <c r="AK3027" t="s">
        <v>51</v>
      </c>
    </row>
    <row r="3028" spans="1:37" x14ac:dyDescent="0.2">
      <c r="A3028">
        <v>57244</v>
      </c>
      <c r="B3028" t="s">
        <v>37</v>
      </c>
      <c r="C3028" t="s">
        <v>38</v>
      </c>
      <c r="D3028" t="s">
        <v>39</v>
      </c>
      <c r="E3028" t="s">
        <v>40</v>
      </c>
      <c r="G3028" s="4">
        <v>43945.365752314815</v>
      </c>
      <c r="H3028" s="4">
        <v>43945.383356481481</v>
      </c>
      <c r="I3028" t="s">
        <v>1846</v>
      </c>
      <c r="J3028" s="5">
        <v>1521.000000000000000000000000000000000003</v>
      </c>
      <c r="K3028" t="s">
        <v>38</v>
      </c>
      <c r="M3028">
        <v>57245</v>
      </c>
      <c r="N3028" t="s">
        <v>73</v>
      </c>
      <c r="O3028" t="s">
        <v>74</v>
      </c>
      <c r="P3028" t="s">
        <v>38</v>
      </c>
      <c r="Q3028" t="s">
        <v>236</v>
      </c>
      <c r="R3028">
        <v>12.00000000000000000000000000000000000001</v>
      </c>
      <c r="S3028" t="s">
        <v>45</v>
      </c>
      <c r="T3028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8">
        <v>57246</v>
      </c>
      <c r="V3028" t="s">
        <v>38</v>
      </c>
      <c r="W3028" t="s">
        <v>236</v>
      </c>
      <c r="X3028">
        <v>12.00000000000000000000000000000000000001</v>
      </c>
      <c r="Y3028">
        <v>0</v>
      </c>
      <c r="Z3028" t="s">
        <v>46</v>
      </c>
      <c r="AA3028">
        <v>57248</v>
      </c>
      <c r="AB3028" t="s">
        <v>2336</v>
      </c>
      <c r="AC3028" t="s">
        <v>68</v>
      </c>
      <c r="AD3028" t="s">
        <v>38</v>
      </c>
      <c r="AE3028" t="s">
        <v>49</v>
      </c>
      <c r="AF3028" t="s">
        <v>50</v>
      </c>
      <c r="AG3028">
        <v>0</v>
      </c>
      <c r="AH3028">
        <v>0</v>
      </c>
      <c r="AI3028" t="s">
        <v>51</v>
      </c>
      <c r="AJ3028" t="s">
        <v>51</v>
      </c>
      <c r="AK3028" t="s">
        <v>51</v>
      </c>
    </row>
    <row r="3029" spans="1:37" x14ac:dyDescent="0.2">
      <c r="A3029">
        <v>57244</v>
      </c>
      <c r="B3029" t="s">
        <v>37</v>
      </c>
      <c r="C3029" t="s">
        <v>38</v>
      </c>
      <c r="D3029" t="s">
        <v>39</v>
      </c>
      <c r="E3029" t="s">
        <v>40</v>
      </c>
      <c r="G3029" s="4">
        <v>43945.365752314815</v>
      </c>
      <c r="H3029" s="4">
        <v>43945.383356481481</v>
      </c>
      <c r="I3029" t="s">
        <v>1846</v>
      </c>
      <c r="J3029" s="5">
        <v>1521.000000000000000000000000000000000003</v>
      </c>
      <c r="K3029" t="s">
        <v>38</v>
      </c>
      <c r="M3029">
        <v>57245</v>
      </c>
      <c r="N3029" t="s">
        <v>73</v>
      </c>
      <c r="O3029" t="s">
        <v>74</v>
      </c>
      <c r="P3029" t="s">
        <v>38</v>
      </c>
      <c r="Q3029" t="s">
        <v>236</v>
      </c>
      <c r="R3029">
        <v>12.00000000000000000000000000000000000001</v>
      </c>
      <c r="S3029" t="s">
        <v>45</v>
      </c>
      <c r="T3029" t="str" s="2">
        <f>=HYPERLINK("http://demo.enginatics.com:80/ecc/user/applications/log/57244.log","http://demo.enginatics.com:80/ecc/user/applications/log/57244.log")</f>
        <v>"http://demo.enginatics.com:80/ecc/user/applications/log/57244.log")</v>
      </c>
      <c r="U3029">
        <v>57246</v>
      </c>
      <c r="V3029" t="s">
        <v>38</v>
      </c>
      <c r="W3029" t="s">
        <v>236</v>
      </c>
      <c r="X3029">
        <v>12.00000000000000000000000000000000000001</v>
      </c>
      <c r="Y3029">
        <v>0</v>
      </c>
      <c r="Z3029" t="s">
        <v>46</v>
      </c>
      <c r="AA3029">
        <v>57247</v>
      </c>
      <c r="AB3029" t="s">
        <v>82</v>
      </c>
      <c r="AC3029" t="s">
        <v>68</v>
      </c>
      <c r="AD3029" t="s">
        <v>38</v>
      </c>
      <c r="AE3029" t="s">
        <v>875</v>
      </c>
      <c r="AF3029" t="s">
        <v>75</v>
      </c>
      <c r="AG3029">
        <v>6</v>
      </c>
      <c r="AH3029">
        <v>0</v>
      </c>
      <c r="AI3029" t="s">
        <v>876</v>
      </c>
      <c r="AJ3029" t="s">
        <v>51</v>
      </c>
      <c r="AK3029" t="s">
        <v>876</v>
      </c>
    </row>
    <row r="3030" spans="1:37" x14ac:dyDescent="0.2">
      <c r="A3030">
        <v>57236</v>
      </c>
      <c r="B3030" t="s">
        <v>37</v>
      </c>
      <c r="C3030" t="s">
        <v>38</v>
      </c>
      <c r="D3030" t="s">
        <v>106</v>
      </c>
      <c r="E3030" t="s">
        <v>40</v>
      </c>
      <c r="G3030" s="4">
        <v>43945.331643518519</v>
      </c>
      <c r="H3030" s="4">
        <v>43945.331701388889</v>
      </c>
      <c r="I3030" t="s">
        <v>78</v>
      </c>
      <c r="J3030" s="5">
        <v>5</v>
      </c>
      <c r="K3030" t="s">
        <v>38</v>
      </c>
      <c r="M3030">
        <v>57243</v>
      </c>
      <c r="N3030" t="s">
        <v>107</v>
      </c>
      <c r="O3030" t="s">
        <v>108</v>
      </c>
      <c r="P3030" t="s">
        <v>38</v>
      </c>
      <c r="Q3030" t="s">
        <v>50</v>
      </c>
      <c r="R3030">
        <v>0</v>
      </c>
      <c r="S3030" t="s">
        <v>109</v>
      </c>
      <c r="T3030" t="str" s="2">
        <f>=HYPERLINK("http://demo.enginatics.com:80/ecc/user/applications/log/57236.log","http://demo.enginatics.com:80/ecc/user/applications/log/57236.log")</f>
        <v>"http://demo.enginatics.com:80/ecc/user/applications/log/57236.log")</v>
      </c>
    </row>
    <row r="3031" spans="1:37" x14ac:dyDescent="0.2">
      <c r="A3031">
        <v>57236</v>
      </c>
      <c r="B3031" t="s">
        <v>37</v>
      </c>
      <c r="C3031" t="s">
        <v>38</v>
      </c>
      <c r="D3031" t="s">
        <v>106</v>
      </c>
      <c r="E3031" t="s">
        <v>40</v>
      </c>
      <c r="G3031" s="4">
        <v>43945.331643518519</v>
      </c>
      <c r="H3031" s="4">
        <v>43945.331701388889</v>
      </c>
      <c r="I3031" t="s">
        <v>78</v>
      </c>
      <c r="J3031" s="5">
        <v>5</v>
      </c>
      <c r="K3031" t="s">
        <v>38</v>
      </c>
      <c r="M3031">
        <v>57242</v>
      </c>
      <c r="N3031" t="s">
        <v>110</v>
      </c>
      <c r="O3031" t="s">
        <v>111</v>
      </c>
      <c r="P3031" t="s">
        <v>38</v>
      </c>
      <c r="Q3031" t="s">
        <v>50</v>
      </c>
      <c r="R3031">
        <v>0</v>
      </c>
      <c r="S3031" t="s">
        <v>112</v>
      </c>
      <c r="T3031" t="str" s="2">
        <f>=HYPERLINK("http://demo.enginatics.com:80/ecc/user/applications/log/57236.log","http://demo.enginatics.com:80/ecc/user/applications/log/57236.log")</f>
        <v>"http://demo.enginatics.com:80/ecc/user/applications/log/57236.log")</v>
      </c>
    </row>
    <row r="3032" spans="1:37" x14ac:dyDescent="0.2">
      <c r="A3032">
        <v>57236</v>
      </c>
      <c r="B3032" t="s">
        <v>37</v>
      </c>
      <c r="C3032" t="s">
        <v>38</v>
      </c>
      <c r="D3032" t="s">
        <v>106</v>
      </c>
      <c r="E3032" t="s">
        <v>40</v>
      </c>
      <c r="G3032" s="4">
        <v>43945.331643518519</v>
      </c>
      <c r="H3032" s="4">
        <v>43945.331701388889</v>
      </c>
      <c r="I3032" t="s">
        <v>78</v>
      </c>
      <c r="J3032" s="5">
        <v>5</v>
      </c>
      <c r="K3032" t="s">
        <v>38</v>
      </c>
      <c r="M3032">
        <v>57241</v>
      </c>
      <c r="N3032" t="s">
        <v>113</v>
      </c>
      <c r="O3032" t="s">
        <v>106</v>
      </c>
      <c r="P3032" t="s">
        <v>38</v>
      </c>
      <c r="Q3032" t="s">
        <v>44</v>
      </c>
      <c r="R3032">
        <v>4</v>
      </c>
      <c r="S3032" t="s">
        <v>114</v>
      </c>
      <c r="T3032" t="str" s="2">
        <f>=HYPERLINK("http://demo.enginatics.com:80/ecc/user/applications/log/57236.log","http://demo.enginatics.com:80/ecc/user/applications/log/57236.log")</f>
        <v>"http://demo.enginatics.com:80/ecc/user/applications/log/57236.log")</v>
      </c>
    </row>
    <row r="3033" spans="1:37" x14ac:dyDescent="0.2">
      <c r="A3033">
        <v>57236</v>
      </c>
      <c r="B3033" t="s">
        <v>37</v>
      </c>
      <c r="C3033" t="s">
        <v>38</v>
      </c>
      <c r="D3033" t="s">
        <v>106</v>
      </c>
      <c r="E3033" t="s">
        <v>40</v>
      </c>
      <c r="G3033" s="4">
        <v>43945.331643518519</v>
      </c>
      <c r="H3033" s="4">
        <v>43945.331701388889</v>
      </c>
      <c r="I3033" t="s">
        <v>78</v>
      </c>
      <c r="J3033" s="5">
        <v>5</v>
      </c>
      <c r="K3033" t="s">
        <v>38</v>
      </c>
      <c r="M3033">
        <v>57237</v>
      </c>
      <c r="N3033" t="s">
        <v>115</v>
      </c>
      <c r="O3033" t="s">
        <v>116</v>
      </c>
      <c r="P3033" t="s">
        <v>38</v>
      </c>
      <c r="Q3033" t="s">
        <v>50</v>
      </c>
      <c r="R3033">
        <v>.9999999999999999999999999999999999999996</v>
      </c>
      <c r="S3033" t="s">
        <v>45</v>
      </c>
      <c r="T3033" t="str" s="2">
        <f>=HYPERLINK("http://demo.enginatics.com:80/ecc/user/applications/log/57236.log","http://demo.enginatics.com:80/ecc/user/applications/log/57236.log")</f>
        <v>"http://demo.enginatics.com:80/ecc/user/applications/log/57236.log")</v>
      </c>
      <c r="U3033">
        <v>57238</v>
      </c>
      <c r="V3033" t="s">
        <v>38</v>
      </c>
      <c r="W3033" t="s">
        <v>50</v>
      </c>
      <c r="X3033">
        <v>.9999999999999999999999999999999999999996</v>
      </c>
      <c r="Y3033">
        <v>0</v>
      </c>
      <c r="Z3033" t="s">
        <v>46</v>
      </c>
      <c r="AA3033">
        <v>57240</v>
      </c>
      <c r="AB3033" t="s">
        <v>2337</v>
      </c>
      <c r="AC3033" t="s">
        <v>68</v>
      </c>
      <c r="AD3033" t="s">
        <v>38</v>
      </c>
      <c r="AE3033" t="s">
        <v>49</v>
      </c>
      <c r="AF3033" t="s">
        <v>50</v>
      </c>
      <c r="AG3033">
        <v>.9999999999999999999999999999999999999996</v>
      </c>
      <c r="AH3033">
        <v>0</v>
      </c>
      <c r="AI3033" t="s">
        <v>51</v>
      </c>
      <c r="AJ3033" t="s">
        <v>51</v>
      </c>
      <c r="AK3033" t="s">
        <v>51</v>
      </c>
    </row>
    <row r="3034" spans="1:37" x14ac:dyDescent="0.2">
      <c r="A3034">
        <v>57236</v>
      </c>
      <c r="B3034" t="s">
        <v>37</v>
      </c>
      <c r="C3034" t="s">
        <v>38</v>
      </c>
      <c r="D3034" t="s">
        <v>106</v>
      </c>
      <c r="E3034" t="s">
        <v>40</v>
      </c>
      <c r="G3034" s="4">
        <v>43945.331643518519</v>
      </c>
      <c r="H3034" s="4">
        <v>43945.331701388889</v>
      </c>
      <c r="I3034" t="s">
        <v>78</v>
      </c>
      <c r="J3034" s="5">
        <v>5</v>
      </c>
      <c r="K3034" t="s">
        <v>38</v>
      </c>
      <c r="M3034">
        <v>57237</v>
      </c>
      <c r="N3034" t="s">
        <v>115</v>
      </c>
      <c r="O3034" t="s">
        <v>116</v>
      </c>
      <c r="P3034" t="s">
        <v>38</v>
      </c>
      <c r="Q3034" t="s">
        <v>50</v>
      </c>
      <c r="R3034">
        <v>.9999999999999999999999999999999999999996</v>
      </c>
      <c r="S3034" t="s">
        <v>45</v>
      </c>
      <c r="T3034" t="str" s="2">
        <f>=HYPERLINK("http://demo.enginatics.com:80/ecc/user/applications/log/57236.log","http://demo.enginatics.com:80/ecc/user/applications/log/57236.log")</f>
        <v>"http://demo.enginatics.com:80/ecc/user/applications/log/57236.log")</v>
      </c>
      <c r="U3034">
        <v>57238</v>
      </c>
      <c r="V3034" t="s">
        <v>38</v>
      </c>
      <c r="W3034" t="s">
        <v>50</v>
      </c>
      <c r="X3034">
        <v>.9999999999999999999999999999999999999996</v>
      </c>
      <c r="Y3034">
        <v>0</v>
      </c>
      <c r="Z3034" t="s">
        <v>46</v>
      </c>
      <c r="AA3034">
        <v>57239</v>
      </c>
      <c r="AB3034" t="s">
        <v>2338</v>
      </c>
      <c r="AC3034" t="s">
        <v>56</v>
      </c>
      <c r="AD3034" t="s">
        <v>38</v>
      </c>
      <c r="AE3034" t="s">
        <v>49</v>
      </c>
      <c r="AF3034" t="s">
        <v>50</v>
      </c>
      <c r="AG3034">
        <v>0</v>
      </c>
      <c r="AH3034">
        <v>0</v>
      </c>
      <c r="AI3034" t="s">
        <v>51</v>
      </c>
      <c r="AJ3034" t="s">
        <v>51</v>
      </c>
      <c r="AK3034" t="s">
        <v>51</v>
      </c>
    </row>
    <row r="3035" spans="1:37" x14ac:dyDescent="0.2">
      <c r="A3035">
        <v>57232</v>
      </c>
      <c r="B3035" t="s">
        <v>37</v>
      </c>
      <c r="C3035" t="s">
        <v>38</v>
      </c>
      <c r="D3035" t="s">
        <v>119</v>
      </c>
      <c r="E3035" t="s">
        <v>40</v>
      </c>
      <c r="G3035" s="4">
        <v>43945.286331018519</v>
      </c>
      <c r="H3035" s="4">
        <v>43945.286354166667</v>
      </c>
      <c r="I3035" t="s">
        <v>88</v>
      </c>
      <c r="J3035" s="5">
        <v>2</v>
      </c>
      <c r="K3035" t="s">
        <v>38</v>
      </c>
      <c r="M3035">
        <v>57233</v>
      </c>
      <c r="N3035" t="s">
        <v>120</v>
      </c>
      <c r="O3035" t="s">
        <v>121</v>
      </c>
      <c r="P3035" t="s">
        <v>38</v>
      </c>
      <c r="Q3035" t="s">
        <v>88</v>
      </c>
      <c r="R3035">
        <v>2</v>
      </c>
      <c r="S3035" t="s">
        <v>45</v>
      </c>
      <c r="T3035" t="str" s="2">
        <f>=HYPERLINK("http://demo.enginatics.com:80/ecc/user/applications/log/57232.log","http://demo.enginatics.com:80/ecc/user/applications/log/57232.log")</f>
        <v>"http://demo.enginatics.com:80/ecc/user/applications/log/57232.log")</v>
      </c>
      <c r="U3035">
        <v>57234</v>
      </c>
      <c r="V3035" t="s">
        <v>38</v>
      </c>
      <c r="W3035" t="s">
        <v>88</v>
      </c>
      <c r="X3035">
        <v>2</v>
      </c>
      <c r="Y3035">
        <v>0</v>
      </c>
      <c r="Z3035" t="s">
        <v>46</v>
      </c>
      <c r="AA3035">
        <v>57235</v>
      </c>
      <c r="AB3035" t="s">
        <v>122</v>
      </c>
      <c r="AC3035" t="s">
        <v>68</v>
      </c>
      <c r="AD3035" t="s">
        <v>38</v>
      </c>
      <c r="AE3035" t="s">
        <v>49</v>
      </c>
      <c r="AF3035" t="s">
        <v>50</v>
      </c>
      <c r="AG3035">
        <v>.9999999999999999999999999999999999999996</v>
      </c>
      <c r="AH3035">
        <v>1</v>
      </c>
      <c r="AI3035" t="s">
        <v>51</v>
      </c>
      <c r="AJ3035" t="s">
        <v>51</v>
      </c>
      <c r="AK3035" t="s">
        <v>51</v>
      </c>
    </row>
    <row r="3036" spans="1:37" x14ac:dyDescent="0.2">
      <c r="A3036">
        <v>57225</v>
      </c>
      <c r="B3036" t="s">
        <v>37</v>
      </c>
      <c r="C3036" t="s">
        <v>38</v>
      </c>
      <c r="D3036" t="s">
        <v>123</v>
      </c>
      <c r="E3036" t="s">
        <v>40</v>
      </c>
      <c r="G3036" s="4">
        <v>43945.282881944444</v>
      </c>
      <c r="H3036" s="4">
        <v>43945.282893518519</v>
      </c>
      <c r="I3036" t="s">
        <v>50</v>
      </c>
      <c r="J3036" s="5">
        <v>.9999999999999999999999999999999999999996</v>
      </c>
      <c r="K3036" t="s">
        <v>38</v>
      </c>
      <c r="M3036">
        <v>57229</v>
      </c>
      <c r="N3036" t="s">
        <v>124</v>
      </c>
      <c r="O3036" t="s">
        <v>125</v>
      </c>
      <c r="P3036" t="s">
        <v>38</v>
      </c>
      <c r="Q3036" t="s">
        <v>50</v>
      </c>
      <c r="R3036">
        <v>0</v>
      </c>
      <c r="S3036" t="s">
        <v>45</v>
      </c>
      <c r="T3036" t="str" s="2">
        <f>=HYPERLINK("http://demo.enginatics.com:80/ecc/user/applications/log/57225.log","http://demo.enginatics.com:80/ecc/user/applications/log/57225.log")</f>
        <v>"http://demo.enginatics.com:80/ecc/user/applications/log/57225.log")</v>
      </c>
      <c r="U3036">
        <v>57230</v>
      </c>
      <c r="V3036" t="s">
        <v>38</v>
      </c>
      <c r="W3036" t="s">
        <v>50</v>
      </c>
      <c r="X3036">
        <v>0</v>
      </c>
      <c r="Y3036">
        <v>0</v>
      </c>
      <c r="Z3036" t="s">
        <v>46</v>
      </c>
      <c r="AA3036">
        <v>57231</v>
      </c>
      <c r="AB3036" t="s">
        <v>2339</v>
      </c>
      <c r="AC3036" t="s">
        <v>68</v>
      </c>
      <c r="AD3036" t="s">
        <v>38</v>
      </c>
      <c r="AE3036" t="s">
        <v>49</v>
      </c>
      <c r="AF3036" t="s">
        <v>50</v>
      </c>
      <c r="AG3036">
        <v>0</v>
      </c>
      <c r="AH3036">
        <v>0</v>
      </c>
      <c r="AI3036" t="s">
        <v>51</v>
      </c>
      <c r="AJ3036" t="s">
        <v>51</v>
      </c>
      <c r="AK3036" t="s">
        <v>51</v>
      </c>
    </row>
    <row r="3037" spans="1:37" x14ac:dyDescent="0.2">
      <c r="A3037">
        <v>57225</v>
      </c>
      <c r="B3037" t="s">
        <v>37</v>
      </c>
      <c r="C3037" t="s">
        <v>38</v>
      </c>
      <c r="D3037" t="s">
        <v>123</v>
      </c>
      <c r="E3037" t="s">
        <v>40</v>
      </c>
      <c r="G3037" s="4">
        <v>43945.282881944444</v>
      </c>
      <c r="H3037" s="4">
        <v>43945.282893518519</v>
      </c>
      <c r="I3037" t="s">
        <v>50</v>
      </c>
      <c r="J3037" s="5">
        <v>.9999999999999999999999999999999999999996</v>
      </c>
      <c r="K3037" t="s">
        <v>38</v>
      </c>
      <c r="M3037">
        <v>57226</v>
      </c>
      <c r="N3037" t="s">
        <v>127</v>
      </c>
      <c r="O3037" t="s">
        <v>128</v>
      </c>
      <c r="P3037" t="s">
        <v>38</v>
      </c>
      <c r="Q3037" t="s">
        <v>50</v>
      </c>
      <c r="R3037">
        <v>.9999999999999999999999999999999999999996</v>
      </c>
      <c r="S3037" t="s">
        <v>45</v>
      </c>
      <c r="T3037" t="str" s="2">
        <f>=HYPERLINK("http://demo.enginatics.com:80/ecc/user/applications/log/57225.log","http://demo.enginatics.com:80/ecc/user/applications/log/57225.log")</f>
        <v>"http://demo.enginatics.com:80/ecc/user/applications/log/57225.log")</v>
      </c>
      <c r="U3037">
        <v>57227</v>
      </c>
      <c r="V3037" t="s">
        <v>38</v>
      </c>
      <c r="W3037" t="s">
        <v>50</v>
      </c>
      <c r="X3037">
        <v>.9999999999999999999999999999999999999996</v>
      </c>
      <c r="Y3037">
        <v>0</v>
      </c>
      <c r="Z3037" t="s">
        <v>46</v>
      </c>
      <c r="AA3037">
        <v>57228</v>
      </c>
      <c r="AB3037" t="s">
        <v>2340</v>
      </c>
      <c r="AC3037" t="s">
        <v>68</v>
      </c>
      <c r="AD3037" t="s">
        <v>38</v>
      </c>
      <c r="AE3037" t="s">
        <v>49</v>
      </c>
      <c r="AF3037" t="s">
        <v>50</v>
      </c>
      <c r="AG3037">
        <v>.9999999999999999999999999999999999999996</v>
      </c>
      <c r="AH3037">
        <v>0</v>
      </c>
      <c r="AI3037" t="s">
        <v>51</v>
      </c>
      <c r="AJ3037" t="s">
        <v>51</v>
      </c>
      <c r="AK3037" t="s">
        <v>51</v>
      </c>
    </row>
    <row r="3038" spans="1:37" x14ac:dyDescent="0.2">
      <c r="A3038">
        <v>57186</v>
      </c>
      <c r="B3038" t="s">
        <v>37</v>
      </c>
      <c r="C3038" t="s">
        <v>38</v>
      </c>
      <c r="D3038" t="s">
        <v>130</v>
      </c>
      <c r="E3038" t="s">
        <v>40</v>
      </c>
      <c r="G3038" s="4">
        <v>43945.198217592593</v>
      </c>
      <c r="H3038" s="4">
        <v>43945.198252314815</v>
      </c>
      <c r="I3038" t="s">
        <v>85</v>
      </c>
      <c r="J3038" s="5">
        <v>3</v>
      </c>
      <c r="K3038" t="s">
        <v>38</v>
      </c>
      <c r="M3038">
        <v>57213</v>
      </c>
      <c r="N3038" t="s">
        <v>131</v>
      </c>
      <c r="O3038" t="s">
        <v>132</v>
      </c>
      <c r="P3038" t="s">
        <v>38</v>
      </c>
      <c r="Q3038" t="s">
        <v>88</v>
      </c>
      <c r="R3038">
        <v>2</v>
      </c>
      <c r="S3038" t="s">
        <v>45</v>
      </c>
      <c r="T3038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38">
        <v>57214</v>
      </c>
      <c r="V3038" t="s">
        <v>38</v>
      </c>
      <c r="W3038" t="s">
        <v>88</v>
      </c>
      <c r="X3038">
        <v>2</v>
      </c>
      <c r="Y3038">
        <v>0</v>
      </c>
      <c r="Z3038" t="s">
        <v>46</v>
      </c>
      <c r="AA3038">
        <v>57224</v>
      </c>
      <c r="AB3038" t="s">
        <v>2341</v>
      </c>
      <c r="AC3038" t="s">
        <v>48</v>
      </c>
      <c r="AD3038" t="s">
        <v>38</v>
      </c>
      <c r="AE3038" t="s">
        <v>49</v>
      </c>
      <c r="AF3038" t="s">
        <v>50</v>
      </c>
      <c r="AG3038">
        <v>0</v>
      </c>
      <c r="AH3038">
        <v>0</v>
      </c>
      <c r="AI3038" t="s">
        <v>51</v>
      </c>
      <c r="AJ3038" t="s">
        <v>51</v>
      </c>
      <c r="AK3038" t="s">
        <v>51</v>
      </c>
    </row>
    <row r="3039" spans="1:37" x14ac:dyDescent="0.2">
      <c r="A3039">
        <v>57186</v>
      </c>
      <c r="B3039" t="s">
        <v>37</v>
      </c>
      <c r="C3039" t="s">
        <v>38</v>
      </c>
      <c r="D3039" t="s">
        <v>130</v>
      </c>
      <c r="E3039" t="s">
        <v>40</v>
      </c>
      <c r="G3039" s="4">
        <v>43945.198217592593</v>
      </c>
      <c r="H3039" s="4">
        <v>43945.198252314815</v>
      </c>
      <c r="I3039" t="s">
        <v>85</v>
      </c>
      <c r="J3039" s="5">
        <v>3</v>
      </c>
      <c r="K3039" t="s">
        <v>38</v>
      </c>
      <c r="M3039">
        <v>57213</v>
      </c>
      <c r="N3039" t="s">
        <v>131</v>
      </c>
      <c r="O3039" t="s">
        <v>132</v>
      </c>
      <c r="P3039" t="s">
        <v>38</v>
      </c>
      <c r="Q3039" t="s">
        <v>88</v>
      </c>
      <c r="R3039">
        <v>2</v>
      </c>
      <c r="S3039" t="s">
        <v>45</v>
      </c>
      <c r="T3039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39">
        <v>57214</v>
      </c>
      <c r="V3039" t="s">
        <v>38</v>
      </c>
      <c r="W3039" t="s">
        <v>88</v>
      </c>
      <c r="X3039">
        <v>2</v>
      </c>
      <c r="Y3039">
        <v>0</v>
      </c>
      <c r="Z3039" t="s">
        <v>46</v>
      </c>
      <c r="AA3039">
        <v>57223</v>
      </c>
      <c r="AB3039" t="s">
        <v>2342</v>
      </c>
      <c r="AC3039" t="s">
        <v>48</v>
      </c>
      <c r="AD3039" t="s">
        <v>38</v>
      </c>
      <c r="AE3039" t="s">
        <v>49</v>
      </c>
      <c r="AF3039" t="s">
        <v>50</v>
      </c>
      <c r="AG3039">
        <v>0</v>
      </c>
      <c r="AH3039">
        <v>0</v>
      </c>
      <c r="AI3039" t="s">
        <v>51</v>
      </c>
      <c r="AJ3039" t="s">
        <v>51</v>
      </c>
      <c r="AK3039" t="s">
        <v>51</v>
      </c>
    </row>
    <row r="3040" spans="1:37" x14ac:dyDescent="0.2">
      <c r="A3040">
        <v>57186</v>
      </c>
      <c r="B3040" t="s">
        <v>37</v>
      </c>
      <c r="C3040" t="s">
        <v>38</v>
      </c>
      <c r="D3040" t="s">
        <v>130</v>
      </c>
      <c r="E3040" t="s">
        <v>40</v>
      </c>
      <c r="G3040" s="4">
        <v>43945.198217592593</v>
      </c>
      <c r="H3040" s="4">
        <v>43945.198252314815</v>
      </c>
      <c r="I3040" t="s">
        <v>85</v>
      </c>
      <c r="J3040" s="5">
        <v>3</v>
      </c>
      <c r="K3040" t="s">
        <v>38</v>
      </c>
      <c r="M3040">
        <v>57213</v>
      </c>
      <c r="N3040" t="s">
        <v>131</v>
      </c>
      <c r="O3040" t="s">
        <v>132</v>
      </c>
      <c r="P3040" t="s">
        <v>38</v>
      </c>
      <c r="Q3040" t="s">
        <v>88</v>
      </c>
      <c r="R3040">
        <v>2</v>
      </c>
      <c r="S3040" t="s">
        <v>45</v>
      </c>
      <c r="T3040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0">
        <v>57214</v>
      </c>
      <c r="V3040" t="s">
        <v>38</v>
      </c>
      <c r="W3040" t="s">
        <v>88</v>
      </c>
      <c r="X3040">
        <v>2</v>
      </c>
      <c r="Y3040">
        <v>0</v>
      </c>
      <c r="Z3040" t="s">
        <v>46</v>
      </c>
      <c r="AA3040">
        <v>57222</v>
      </c>
      <c r="AB3040" t="s">
        <v>2343</v>
      </c>
      <c r="AC3040" t="s">
        <v>48</v>
      </c>
      <c r="AD3040" t="s">
        <v>38</v>
      </c>
      <c r="AE3040" t="s">
        <v>49</v>
      </c>
      <c r="AF3040" t="s">
        <v>50</v>
      </c>
      <c r="AG3040">
        <v>.9999999999999999999999999999999999999996</v>
      </c>
      <c r="AH3040">
        <v>0</v>
      </c>
      <c r="AI3040" t="s">
        <v>51</v>
      </c>
      <c r="AJ3040" t="s">
        <v>51</v>
      </c>
      <c r="AK3040" t="s">
        <v>51</v>
      </c>
    </row>
    <row r="3041" spans="1:37" x14ac:dyDescent="0.2">
      <c r="A3041">
        <v>57186</v>
      </c>
      <c r="B3041" t="s">
        <v>37</v>
      </c>
      <c r="C3041" t="s">
        <v>38</v>
      </c>
      <c r="D3041" t="s">
        <v>130</v>
      </c>
      <c r="E3041" t="s">
        <v>40</v>
      </c>
      <c r="G3041" s="4">
        <v>43945.198217592593</v>
      </c>
      <c r="H3041" s="4">
        <v>43945.198252314815</v>
      </c>
      <c r="I3041" t="s">
        <v>85</v>
      </c>
      <c r="J3041" s="5">
        <v>3</v>
      </c>
      <c r="K3041" t="s">
        <v>38</v>
      </c>
      <c r="M3041">
        <v>57213</v>
      </c>
      <c r="N3041" t="s">
        <v>131</v>
      </c>
      <c r="O3041" t="s">
        <v>132</v>
      </c>
      <c r="P3041" t="s">
        <v>38</v>
      </c>
      <c r="Q3041" t="s">
        <v>88</v>
      </c>
      <c r="R3041">
        <v>2</v>
      </c>
      <c r="S3041" t="s">
        <v>45</v>
      </c>
      <c r="T3041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1">
        <v>57214</v>
      </c>
      <c r="V3041" t="s">
        <v>38</v>
      </c>
      <c r="W3041" t="s">
        <v>88</v>
      </c>
      <c r="X3041">
        <v>2</v>
      </c>
      <c r="Y3041">
        <v>0</v>
      </c>
      <c r="Z3041" t="s">
        <v>46</v>
      </c>
      <c r="AA3041">
        <v>57221</v>
      </c>
      <c r="AB3041" t="s">
        <v>2344</v>
      </c>
      <c r="AC3041" t="s">
        <v>48</v>
      </c>
      <c r="AD3041" t="s">
        <v>38</v>
      </c>
      <c r="AE3041" t="s">
        <v>49</v>
      </c>
      <c r="AF3041" t="s">
        <v>50</v>
      </c>
      <c r="AG3041">
        <v>0</v>
      </c>
      <c r="AH3041">
        <v>0</v>
      </c>
      <c r="AI3041" t="s">
        <v>51</v>
      </c>
      <c r="AJ3041" t="s">
        <v>51</v>
      </c>
      <c r="AK3041" t="s">
        <v>51</v>
      </c>
    </row>
    <row r="3042" spans="1:37" x14ac:dyDescent="0.2">
      <c r="A3042">
        <v>57186</v>
      </c>
      <c r="B3042" t="s">
        <v>37</v>
      </c>
      <c r="C3042" t="s">
        <v>38</v>
      </c>
      <c r="D3042" t="s">
        <v>130</v>
      </c>
      <c r="E3042" t="s">
        <v>40</v>
      </c>
      <c r="G3042" s="4">
        <v>43945.198217592593</v>
      </c>
      <c r="H3042" s="4">
        <v>43945.198252314815</v>
      </c>
      <c r="I3042" t="s">
        <v>85</v>
      </c>
      <c r="J3042" s="5">
        <v>3</v>
      </c>
      <c r="K3042" t="s">
        <v>38</v>
      </c>
      <c r="M3042">
        <v>57213</v>
      </c>
      <c r="N3042" t="s">
        <v>131</v>
      </c>
      <c r="O3042" t="s">
        <v>132</v>
      </c>
      <c r="P3042" t="s">
        <v>38</v>
      </c>
      <c r="Q3042" t="s">
        <v>88</v>
      </c>
      <c r="R3042">
        <v>2</v>
      </c>
      <c r="S3042" t="s">
        <v>45</v>
      </c>
      <c r="T3042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2">
        <v>57214</v>
      </c>
      <c r="V3042" t="s">
        <v>38</v>
      </c>
      <c r="W3042" t="s">
        <v>88</v>
      </c>
      <c r="X3042">
        <v>2</v>
      </c>
      <c r="Y3042">
        <v>0</v>
      </c>
      <c r="Z3042" t="s">
        <v>46</v>
      </c>
      <c r="AA3042">
        <v>57220</v>
      </c>
      <c r="AB3042" t="s">
        <v>2345</v>
      </c>
      <c r="AC3042" t="s">
        <v>48</v>
      </c>
      <c r="AD3042" t="s">
        <v>38</v>
      </c>
      <c r="AE3042" t="s">
        <v>49</v>
      </c>
      <c r="AF3042" t="s">
        <v>50</v>
      </c>
      <c r="AG3042">
        <v>0</v>
      </c>
      <c r="AH3042">
        <v>0</v>
      </c>
      <c r="AI3042" t="s">
        <v>51</v>
      </c>
      <c r="AJ3042" t="s">
        <v>51</v>
      </c>
      <c r="AK3042" t="s">
        <v>51</v>
      </c>
    </row>
    <row r="3043" spans="1:37" x14ac:dyDescent="0.2">
      <c r="A3043">
        <v>57186</v>
      </c>
      <c r="B3043" t="s">
        <v>37</v>
      </c>
      <c r="C3043" t="s">
        <v>38</v>
      </c>
      <c r="D3043" t="s">
        <v>130</v>
      </c>
      <c r="E3043" t="s">
        <v>40</v>
      </c>
      <c r="G3043" s="4">
        <v>43945.198217592593</v>
      </c>
      <c r="H3043" s="4">
        <v>43945.198252314815</v>
      </c>
      <c r="I3043" t="s">
        <v>85</v>
      </c>
      <c r="J3043" s="5">
        <v>3</v>
      </c>
      <c r="K3043" t="s">
        <v>38</v>
      </c>
      <c r="M3043">
        <v>57213</v>
      </c>
      <c r="N3043" t="s">
        <v>131</v>
      </c>
      <c r="O3043" t="s">
        <v>132</v>
      </c>
      <c r="P3043" t="s">
        <v>38</v>
      </c>
      <c r="Q3043" t="s">
        <v>88</v>
      </c>
      <c r="R3043">
        <v>2</v>
      </c>
      <c r="S3043" t="s">
        <v>45</v>
      </c>
      <c r="T3043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3">
        <v>57214</v>
      </c>
      <c r="V3043" t="s">
        <v>38</v>
      </c>
      <c r="W3043" t="s">
        <v>88</v>
      </c>
      <c r="X3043">
        <v>2</v>
      </c>
      <c r="Y3043">
        <v>0</v>
      </c>
      <c r="Z3043" t="s">
        <v>46</v>
      </c>
      <c r="AA3043">
        <v>57219</v>
      </c>
      <c r="AB3043" t="s">
        <v>2346</v>
      </c>
      <c r="AC3043" t="s">
        <v>60</v>
      </c>
      <c r="AD3043" t="s">
        <v>38</v>
      </c>
      <c r="AE3043" t="s">
        <v>49</v>
      </c>
      <c r="AF3043" t="s">
        <v>50</v>
      </c>
      <c r="AG3043">
        <v>0</v>
      </c>
      <c r="AH3043">
        <v>0</v>
      </c>
      <c r="AI3043" t="s">
        <v>51</v>
      </c>
      <c r="AJ3043" t="s">
        <v>51</v>
      </c>
      <c r="AK3043" t="s">
        <v>51</v>
      </c>
    </row>
    <row r="3044" spans="1:37" x14ac:dyDescent="0.2">
      <c r="A3044">
        <v>57186</v>
      </c>
      <c r="B3044" t="s">
        <v>37</v>
      </c>
      <c r="C3044" t="s">
        <v>38</v>
      </c>
      <c r="D3044" t="s">
        <v>130</v>
      </c>
      <c r="E3044" t="s">
        <v>40</v>
      </c>
      <c r="G3044" s="4">
        <v>43945.198217592593</v>
      </c>
      <c r="H3044" s="4">
        <v>43945.198252314815</v>
      </c>
      <c r="I3044" t="s">
        <v>85</v>
      </c>
      <c r="J3044" s="5">
        <v>3</v>
      </c>
      <c r="K3044" t="s">
        <v>38</v>
      </c>
      <c r="M3044">
        <v>57213</v>
      </c>
      <c r="N3044" t="s">
        <v>131</v>
      </c>
      <c r="O3044" t="s">
        <v>132</v>
      </c>
      <c r="P3044" t="s">
        <v>38</v>
      </c>
      <c r="Q3044" t="s">
        <v>88</v>
      </c>
      <c r="R3044">
        <v>2</v>
      </c>
      <c r="S3044" t="s">
        <v>45</v>
      </c>
      <c r="T3044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4">
        <v>57214</v>
      </c>
      <c r="V3044" t="s">
        <v>38</v>
      </c>
      <c r="W3044" t="s">
        <v>88</v>
      </c>
      <c r="X3044">
        <v>2</v>
      </c>
      <c r="Y3044">
        <v>0</v>
      </c>
      <c r="Z3044" t="s">
        <v>46</v>
      </c>
      <c r="AA3044">
        <v>57218</v>
      </c>
      <c r="AB3044" t="s">
        <v>2347</v>
      </c>
      <c r="AC3044" t="s">
        <v>60</v>
      </c>
      <c r="AD3044" t="s">
        <v>38</v>
      </c>
      <c r="AE3044" t="s">
        <v>49</v>
      </c>
      <c r="AF3044" t="s">
        <v>50</v>
      </c>
      <c r="AG3044">
        <v>0</v>
      </c>
      <c r="AH3044">
        <v>0</v>
      </c>
      <c r="AI3044" t="s">
        <v>51</v>
      </c>
      <c r="AJ3044" t="s">
        <v>51</v>
      </c>
      <c r="AK3044" t="s">
        <v>51</v>
      </c>
    </row>
    <row r="3045" spans="1:37" x14ac:dyDescent="0.2">
      <c r="A3045">
        <v>57186</v>
      </c>
      <c r="B3045" t="s">
        <v>37</v>
      </c>
      <c r="C3045" t="s">
        <v>38</v>
      </c>
      <c r="D3045" t="s">
        <v>130</v>
      </c>
      <c r="E3045" t="s">
        <v>40</v>
      </c>
      <c r="G3045" s="4">
        <v>43945.198217592593</v>
      </c>
      <c r="H3045" s="4">
        <v>43945.198252314815</v>
      </c>
      <c r="I3045" t="s">
        <v>85</v>
      </c>
      <c r="J3045" s="5">
        <v>3</v>
      </c>
      <c r="K3045" t="s">
        <v>38</v>
      </c>
      <c r="M3045">
        <v>57213</v>
      </c>
      <c r="N3045" t="s">
        <v>131</v>
      </c>
      <c r="O3045" t="s">
        <v>132</v>
      </c>
      <c r="P3045" t="s">
        <v>38</v>
      </c>
      <c r="Q3045" t="s">
        <v>88</v>
      </c>
      <c r="R3045">
        <v>2</v>
      </c>
      <c r="S3045" t="s">
        <v>45</v>
      </c>
      <c r="T3045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5">
        <v>57214</v>
      </c>
      <c r="V3045" t="s">
        <v>38</v>
      </c>
      <c r="W3045" t="s">
        <v>88</v>
      </c>
      <c r="X3045">
        <v>2</v>
      </c>
      <c r="Y3045">
        <v>0</v>
      </c>
      <c r="Z3045" t="s">
        <v>46</v>
      </c>
      <c r="AA3045">
        <v>57217</v>
      </c>
      <c r="AB3045" t="s">
        <v>2348</v>
      </c>
      <c r="AC3045" t="s">
        <v>56</v>
      </c>
      <c r="AD3045" t="s">
        <v>38</v>
      </c>
      <c r="AE3045" t="s">
        <v>49</v>
      </c>
      <c r="AF3045" t="s">
        <v>50</v>
      </c>
      <c r="AG3045">
        <v>0</v>
      </c>
      <c r="AH3045">
        <v>0</v>
      </c>
      <c r="AI3045" t="s">
        <v>51</v>
      </c>
      <c r="AJ3045" t="s">
        <v>51</v>
      </c>
      <c r="AK3045" t="s">
        <v>51</v>
      </c>
    </row>
    <row r="3046" spans="1:37" x14ac:dyDescent="0.2">
      <c r="A3046">
        <v>57186</v>
      </c>
      <c r="B3046" t="s">
        <v>37</v>
      </c>
      <c r="C3046" t="s">
        <v>38</v>
      </c>
      <c r="D3046" t="s">
        <v>130</v>
      </c>
      <c r="E3046" t="s">
        <v>40</v>
      </c>
      <c r="G3046" s="4">
        <v>43945.198217592593</v>
      </c>
      <c r="H3046" s="4">
        <v>43945.198252314815</v>
      </c>
      <c r="I3046" t="s">
        <v>85</v>
      </c>
      <c r="J3046" s="5">
        <v>3</v>
      </c>
      <c r="K3046" t="s">
        <v>38</v>
      </c>
      <c r="M3046">
        <v>57213</v>
      </c>
      <c r="N3046" t="s">
        <v>131</v>
      </c>
      <c r="O3046" t="s">
        <v>132</v>
      </c>
      <c r="P3046" t="s">
        <v>38</v>
      </c>
      <c r="Q3046" t="s">
        <v>88</v>
      </c>
      <c r="R3046">
        <v>2</v>
      </c>
      <c r="S3046" t="s">
        <v>45</v>
      </c>
      <c r="T3046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6">
        <v>57214</v>
      </c>
      <c r="V3046" t="s">
        <v>38</v>
      </c>
      <c r="W3046" t="s">
        <v>88</v>
      </c>
      <c r="X3046">
        <v>2</v>
      </c>
      <c r="Y3046">
        <v>0</v>
      </c>
      <c r="Z3046" t="s">
        <v>46</v>
      </c>
      <c r="AA3046">
        <v>57216</v>
      </c>
      <c r="AB3046" t="s">
        <v>2349</v>
      </c>
      <c r="AC3046" t="s">
        <v>60</v>
      </c>
      <c r="AD3046" t="s">
        <v>38</v>
      </c>
      <c r="AE3046" t="s">
        <v>49</v>
      </c>
      <c r="AF3046" t="s">
        <v>50</v>
      </c>
      <c r="AG3046">
        <v>.9999999999999999999999999999999999999996</v>
      </c>
      <c r="AH3046">
        <v>0</v>
      </c>
      <c r="AI3046" t="s">
        <v>51</v>
      </c>
      <c r="AJ3046" t="s">
        <v>51</v>
      </c>
      <c r="AK3046" t="s">
        <v>51</v>
      </c>
    </row>
    <row r="3047" spans="1:37" x14ac:dyDescent="0.2">
      <c r="A3047">
        <v>57186</v>
      </c>
      <c r="B3047" t="s">
        <v>37</v>
      </c>
      <c r="C3047" t="s">
        <v>38</v>
      </c>
      <c r="D3047" t="s">
        <v>130</v>
      </c>
      <c r="E3047" t="s">
        <v>40</v>
      </c>
      <c r="G3047" s="4">
        <v>43945.198217592593</v>
      </c>
      <c r="H3047" s="4">
        <v>43945.198252314815</v>
      </c>
      <c r="I3047" t="s">
        <v>85</v>
      </c>
      <c r="J3047" s="5">
        <v>3</v>
      </c>
      <c r="K3047" t="s">
        <v>38</v>
      </c>
      <c r="M3047">
        <v>57213</v>
      </c>
      <c r="N3047" t="s">
        <v>131</v>
      </c>
      <c r="O3047" t="s">
        <v>132</v>
      </c>
      <c r="P3047" t="s">
        <v>38</v>
      </c>
      <c r="Q3047" t="s">
        <v>88</v>
      </c>
      <c r="R3047">
        <v>2</v>
      </c>
      <c r="S3047" t="s">
        <v>45</v>
      </c>
      <c r="T3047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7">
        <v>57214</v>
      </c>
      <c r="V3047" t="s">
        <v>38</v>
      </c>
      <c r="W3047" t="s">
        <v>88</v>
      </c>
      <c r="X3047">
        <v>2</v>
      </c>
      <c r="Y3047">
        <v>0</v>
      </c>
      <c r="Z3047" t="s">
        <v>46</v>
      </c>
      <c r="AA3047">
        <v>57215</v>
      </c>
      <c r="AB3047" t="s">
        <v>2350</v>
      </c>
      <c r="AC3047" t="s">
        <v>56</v>
      </c>
      <c r="AD3047" t="s">
        <v>38</v>
      </c>
      <c r="AE3047" t="s">
        <v>49</v>
      </c>
      <c r="AF3047" t="s">
        <v>50</v>
      </c>
      <c r="AG3047">
        <v>0</v>
      </c>
      <c r="AH3047">
        <v>0</v>
      </c>
      <c r="AI3047" t="s">
        <v>51</v>
      </c>
      <c r="AJ3047" t="s">
        <v>51</v>
      </c>
      <c r="AK3047" t="s">
        <v>51</v>
      </c>
    </row>
    <row r="3048" spans="1:37" x14ac:dyDescent="0.2">
      <c r="A3048">
        <v>57186</v>
      </c>
      <c r="B3048" t="s">
        <v>37</v>
      </c>
      <c r="C3048" t="s">
        <v>38</v>
      </c>
      <c r="D3048" t="s">
        <v>130</v>
      </c>
      <c r="E3048" t="s">
        <v>40</v>
      </c>
      <c r="G3048" s="4">
        <v>43945.198217592593</v>
      </c>
      <c r="H3048" s="4">
        <v>43945.198252314815</v>
      </c>
      <c r="I3048" t="s">
        <v>85</v>
      </c>
      <c r="J3048" s="5">
        <v>3</v>
      </c>
      <c r="K3048" t="s">
        <v>38</v>
      </c>
      <c r="M3048">
        <v>57206</v>
      </c>
      <c r="N3048" t="s">
        <v>143</v>
      </c>
      <c r="O3048" t="s">
        <v>144</v>
      </c>
      <c r="P3048" t="s">
        <v>38</v>
      </c>
      <c r="Q3048" t="s">
        <v>50</v>
      </c>
      <c r="R3048">
        <v>0</v>
      </c>
      <c r="S3048" t="s">
        <v>45</v>
      </c>
      <c r="T3048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8">
        <v>57207</v>
      </c>
      <c r="V3048" t="s">
        <v>38</v>
      </c>
      <c r="W3048" t="s">
        <v>50</v>
      </c>
      <c r="X3048">
        <v>0</v>
      </c>
      <c r="Y3048">
        <v>0</v>
      </c>
      <c r="Z3048" t="s">
        <v>46</v>
      </c>
      <c r="AA3048">
        <v>57212</v>
      </c>
      <c r="AB3048" t="s">
        <v>145</v>
      </c>
      <c r="AC3048" t="s">
        <v>56</v>
      </c>
      <c r="AD3048" t="s">
        <v>38</v>
      </c>
      <c r="AE3048" t="s">
        <v>49</v>
      </c>
      <c r="AF3048" t="s">
        <v>50</v>
      </c>
      <c r="AG3048">
        <v>0</v>
      </c>
      <c r="AH3048">
        <v>0</v>
      </c>
      <c r="AI3048" t="s">
        <v>51</v>
      </c>
      <c r="AJ3048" t="s">
        <v>51</v>
      </c>
      <c r="AK3048" t="s">
        <v>51</v>
      </c>
    </row>
    <row r="3049" spans="1:37" x14ac:dyDescent="0.2">
      <c r="A3049">
        <v>57186</v>
      </c>
      <c r="B3049" t="s">
        <v>37</v>
      </c>
      <c r="C3049" t="s">
        <v>38</v>
      </c>
      <c r="D3049" t="s">
        <v>130</v>
      </c>
      <c r="E3049" t="s">
        <v>40</v>
      </c>
      <c r="G3049" s="4">
        <v>43945.198217592593</v>
      </c>
      <c r="H3049" s="4">
        <v>43945.198252314815</v>
      </c>
      <c r="I3049" t="s">
        <v>85</v>
      </c>
      <c r="J3049" s="5">
        <v>3</v>
      </c>
      <c r="K3049" t="s">
        <v>38</v>
      </c>
      <c r="M3049">
        <v>57206</v>
      </c>
      <c r="N3049" t="s">
        <v>143</v>
      </c>
      <c r="O3049" t="s">
        <v>144</v>
      </c>
      <c r="P3049" t="s">
        <v>38</v>
      </c>
      <c r="Q3049" t="s">
        <v>50</v>
      </c>
      <c r="R3049">
        <v>0</v>
      </c>
      <c r="S3049" t="s">
        <v>45</v>
      </c>
      <c r="T3049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49">
        <v>57207</v>
      </c>
      <c r="V3049" t="s">
        <v>38</v>
      </c>
      <c r="W3049" t="s">
        <v>50</v>
      </c>
      <c r="X3049">
        <v>0</v>
      </c>
      <c r="Y3049">
        <v>0</v>
      </c>
      <c r="Z3049" t="s">
        <v>46</v>
      </c>
      <c r="AA3049">
        <v>57211</v>
      </c>
      <c r="AB3049" t="s">
        <v>146</v>
      </c>
      <c r="AC3049" t="s">
        <v>68</v>
      </c>
      <c r="AD3049" t="s">
        <v>38</v>
      </c>
      <c r="AE3049" t="s">
        <v>49</v>
      </c>
      <c r="AF3049" t="s">
        <v>50</v>
      </c>
      <c r="AG3049">
        <v>0</v>
      </c>
      <c r="AH3049">
        <v>0</v>
      </c>
      <c r="AI3049" t="s">
        <v>51</v>
      </c>
      <c r="AJ3049" t="s">
        <v>51</v>
      </c>
      <c r="AK3049" t="s">
        <v>51</v>
      </c>
    </row>
    <row r="3050" spans="1:37" x14ac:dyDescent="0.2">
      <c r="A3050">
        <v>57186</v>
      </c>
      <c r="B3050" t="s">
        <v>37</v>
      </c>
      <c r="C3050" t="s">
        <v>38</v>
      </c>
      <c r="D3050" t="s">
        <v>130</v>
      </c>
      <c r="E3050" t="s">
        <v>40</v>
      </c>
      <c r="G3050" s="4">
        <v>43945.198217592593</v>
      </c>
      <c r="H3050" s="4">
        <v>43945.198252314815</v>
      </c>
      <c r="I3050" t="s">
        <v>85</v>
      </c>
      <c r="J3050" s="5">
        <v>3</v>
      </c>
      <c r="K3050" t="s">
        <v>38</v>
      </c>
      <c r="M3050">
        <v>57206</v>
      </c>
      <c r="N3050" t="s">
        <v>143</v>
      </c>
      <c r="O3050" t="s">
        <v>144</v>
      </c>
      <c r="P3050" t="s">
        <v>38</v>
      </c>
      <c r="Q3050" t="s">
        <v>50</v>
      </c>
      <c r="R3050">
        <v>0</v>
      </c>
      <c r="S3050" t="s">
        <v>45</v>
      </c>
      <c r="T3050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0">
        <v>57207</v>
      </c>
      <c r="V3050" t="s">
        <v>38</v>
      </c>
      <c r="W3050" t="s">
        <v>50</v>
      </c>
      <c r="X3050">
        <v>0</v>
      </c>
      <c r="Y3050">
        <v>0</v>
      </c>
      <c r="Z3050" t="s">
        <v>46</v>
      </c>
      <c r="AA3050">
        <v>57210</v>
      </c>
      <c r="AB3050" t="s">
        <v>147</v>
      </c>
      <c r="AC3050" t="s">
        <v>68</v>
      </c>
      <c r="AD3050" t="s">
        <v>38</v>
      </c>
      <c r="AE3050" t="s">
        <v>49</v>
      </c>
      <c r="AF3050" t="s">
        <v>50</v>
      </c>
      <c r="AG3050">
        <v>0</v>
      </c>
      <c r="AH3050">
        <v>0</v>
      </c>
      <c r="AI3050" t="s">
        <v>51</v>
      </c>
      <c r="AJ3050" t="s">
        <v>51</v>
      </c>
      <c r="AK3050" t="s">
        <v>51</v>
      </c>
    </row>
    <row r="3051" spans="1:37" x14ac:dyDescent="0.2">
      <c r="A3051">
        <v>57186</v>
      </c>
      <c r="B3051" t="s">
        <v>37</v>
      </c>
      <c r="C3051" t="s">
        <v>38</v>
      </c>
      <c r="D3051" t="s">
        <v>130</v>
      </c>
      <c r="E3051" t="s">
        <v>40</v>
      </c>
      <c r="G3051" s="4">
        <v>43945.198217592593</v>
      </c>
      <c r="H3051" s="4">
        <v>43945.198252314815</v>
      </c>
      <c r="I3051" t="s">
        <v>85</v>
      </c>
      <c r="J3051" s="5">
        <v>3</v>
      </c>
      <c r="K3051" t="s">
        <v>38</v>
      </c>
      <c r="M3051">
        <v>57206</v>
      </c>
      <c r="N3051" t="s">
        <v>143</v>
      </c>
      <c r="O3051" t="s">
        <v>144</v>
      </c>
      <c r="P3051" t="s">
        <v>38</v>
      </c>
      <c r="Q3051" t="s">
        <v>50</v>
      </c>
      <c r="R3051">
        <v>0</v>
      </c>
      <c r="S3051" t="s">
        <v>45</v>
      </c>
      <c r="T3051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1">
        <v>57207</v>
      </c>
      <c r="V3051" t="s">
        <v>38</v>
      </c>
      <c r="W3051" t="s">
        <v>50</v>
      </c>
      <c r="X3051">
        <v>0</v>
      </c>
      <c r="Y3051">
        <v>0</v>
      </c>
      <c r="Z3051" t="s">
        <v>46</v>
      </c>
      <c r="AA3051">
        <v>57209</v>
      </c>
      <c r="AB3051" t="s">
        <v>148</v>
      </c>
      <c r="AC3051" t="s">
        <v>68</v>
      </c>
      <c r="AD3051" t="s">
        <v>38</v>
      </c>
      <c r="AE3051" t="s">
        <v>49</v>
      </c>
      <c r="AF3051" t="s">
        <v>50</v>
      </c>
      <c r="AG3051">
        <v>0</v>
      </c>
      <c r="AH3051">
        <v>0</v>
      </c>
      <c r="AI3051" t="s">
        <v>51</v>
      </c>
      <c r="AJ3051" t="s">
        <v>51</v>
      </c>
      <c r="AK3051" t="s">
        <v>51</v>
      </c>
    </row>
    <row r="3052" spans="1:37" x14ac:dyDescent="0.2">
      <c r="A3052">
        <v>57186</v>
      </c>
      <c r="B3052" t="s">
        <v>37</v>
      </c>
      <c r="C3052" t="s">
        <v>38</v>
      </c>
      <c r="D3052" t="s">
        <v>130</v>
      </c>
      <c r="E3052" t="s">
        <v>40</v>
      </c>
      <c r="G3052" s="4">
        <v>43945.198217592593</v>
      </c>
      <c r="H3052" s="4">
        <v>43945.198252314815</v>
      </c>
      <c r="I3052" t="s">
        <v>85</v>
      </c>
      <c r="J3052" s="5">
        <v>3</v>
      </c>
      <c r="K3052" t="s">
        <v>38</v>
      </c>
      <c r="M3052">
        <v>57206</v>
      </c>
      <c r="N3052" t="s">
        <v>143</v>
      </c>
      <c r="O3052" t="s">
        <v>144</v>
      </c>
      <c r="P3052" t="s">
        <v>38</v>
      </c>
      <c r="Q3052" t="s">
        <v>50</v>
      </c>
      <c r="R3052">
        <v>0</v>
      </c>
      <c r="S3052" t="s">
        <v>45</v>
      </c>
      <c r="T3052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2">
        <v>57207</v>
      </c>
      <c r="V3052" t="s">
        <v>38</v>
      </c>
      <c r="W3052" t="s">
        <v>50</v>
      </c>
      <c r="X3052">
        <v>0</v>
      </c>
      <c r="Y3052">
        <v>0</v>
      </c>
      <c r="Z3052" t="s">
        <v>46</v>
      </c>
      <c r="AA3052">
        <v>57208</v>
      </c>
      <c r="AB3052" t="s">
        <v>149</v>
      </c>
      <c r="AC3052" t="s">
        <v>68</v>
      </c>
      <c r="AD3052" t="s">
        <v>38</v>
      </c>
      <c r="AE3052" t="s">
        <v>49</v>
      </c>
      <c r="AF3052" t="s">
        <v>50</v>
      </c>
      <c r="AG3052">
        <v>0</v>
      </c>
      <c r="AH3052">
        <v>0</v>
      </c>
      <c r="AI3052" t="s">
        <v>51</v>
      </c>
      <c r="AJ3052" t="s">
        <v>51</v>
      </c>
      <c r="AK3052" t="s">
        <v>51</v>
      </c>
    </row>
    <row r="3053" spans="1:37" x14ac:dyDescent="0.2">
      <c r="A3053">
        <v>57186</v>
      </c>
      <c r="B3053" t="s">
        <v>37</v>
      </c>
      <c r="C3053" t="s">
        <v>38</v>
      </c>
      <c r="D3053" t="s">
        <v>130</v>
      </c>
      <c r="E3053" t="s">
        <v>40</v>
      </c>
      <c r="G3053" s="4">
        <v>43945.198217592593</v>
      </c>
      <c r="H3053" s="4">
        <v>43945.198252314815</v>
      </c>
      <c r="I3053" t="s">
        <v>85</v>
      </c>
      <c r="J3053" s="5">
        <v>3</v>
      </c>
      <c r="K3053" t="s">
        <v>38</v>
      </c>
      <c r="M3053">
        <v>57201</v>
      </c>
      <c r="N3053" t="s">
        <v>150</v>
      </c>
      <c r="O3053" t="s">
        <v>151</v>
      </c>
      <c r="P3053" t="s">
        <v>38</v>
      </c>
      <c r="Q3053" t="s">
        <v>50</v>
      </c>
      <c r="R3053">
        <v>0</v>
      </c>
      <c r="S3053" t="s">
        <v>45</v>
      </c>
      <c r="T3053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3">
        <v>57202</v>
      </c>
      <c r="V3053" t="s">
        <v>38</v>
      </c>
      <c r="W3053" t="s">
        <v>50</v>
      </c>
      <c r="X3053">
        <v>0</v>
      </c>
      <c r="Y3053">
        <v>0</v>
      </c>
      <c r="Z3053" t="s">
        <v>46</v>
      </c>
      <c r="AA3053">
        <v>57205</v>
      </c>
      <c r="AB3053" t="s">
        <v>152</v>
      </c>
      <c r="AC3053" t="s">
        <v>56</v>
      </c>
      <c r="AD3053" t="s">
        <v>38</v>
      </c>
      <c r="AE3053" t="s">
        <v>49</v>
      </c>
      <c r="AF3053" t="s">
        <v>50</v>
      </c>
      <c r="AG3053">
        <v>0</v>
      </c>
      <c r="AH3053">
        <v>0</v>
      </c>
      <c r="AI3053" t="s">
        <v>51</v>
      </c>
      <c r="AJ3053" t="s">
        <v>51</v>
      </c>
      <c r="AK3053" t="s">
        <v>51</v>
      </c>
    </row>
    <row r="3054" spans="1:37" x14ac:dyDescent="0.2">
      <c r="A3054">
        <v>57186</v>
      </c>
      <c r="B3054" t="s">
        <v>37</v>
      </c>
      <c r="C3054" t="s">
        <v>38</v>
      </c>
      <c r="D3054" t="s">
        <v>130</v>
      </c>
      <c r="E3054" t="s">
        <v>40</v>
      </c>
      <c r="G3054" s="4">
        <v>43945.198217592593</v>
      </c>
      <c r="H3054" s="4">
        <v>43945.198252314815</v>
      </c>
      <c r="I3054" t="s">
        <v>85</v>
      </c>
      <c r="J3054" s="5">
        <v>3</v>
      </c>
      <c r="K3054" t="s">
        <v>38</v>
      </c>
      <c r="M3054">
        <v>57201</v>
      </c>
      <c r="N3054" t="s">
        <v>150</v>
      </c>
      <c r="O3054" t="s">
        <v>151</v>
      </c>
      <c r="P3054" t="s">
        <v>38</v>
      </c>
      <c r="Q3054" t="s">
        <v>50</v>
      </c>
      <c r="R3054">
        <v>0</v>
      </c>
      <c r="S3054" t="s">
        <v>45</v>
      </c>
      <c r="T3054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4">
        <v>57202</v>
      </c>
      <c r="V3054" t="s">
        <v>38</v>
      </c>
      <c r="W3054" t="s">
        <v>50</v>
      </c>
      <c r="X3054">
        <v>0</v>
      </c>
      <c r="Y3054">
        <v>0</v>
      </c>
      <c r="Z3054" t="s">
        <v>46</v>
      </c>
      <c r="AA3054">
        <v>57204</v>
      </c>
      <c r="AB3054" t="s">
        <v>153</v>
      </c>
      <c r="AC3054" t="s">
        <v>56</v>
      </c>
      <c r="AD3054" t="s">
        <v>38</v>
      </c>
      <c r="AE3054" t="s">
        <v>49</v>
      </c>
      <c r="AF3054" t="s">
        <v>50</v>
      </c>
      <c r="AG3054">
        <v>0</v>
      </c>
      <c r="AH3054">
        <v>0</v>
      </c>
      <c r="AI3054" t="s">
        <v>51</v>
      </c>
      <c r="AJ3054" t="s">
        <v>51</v>
      </c>
      <c r="AK3054" t="s">
        <v>51</v>
      </c>
    </row>
    <row r="3055" spans="1:37" x14ac:dyDescent="0.2">
      <c r="A3055">
        <v>57186</v>
      </c>
      <c r="B3055" t="s">
        <v>37</v>
      </c>
      <c r="C3055" t="s">
        <v>38</v>
      </c>
      <c r="D3055" t="s">
        <v>130</v>
      </c>
      <c r="E3055" t="s">
        <v>40</v>
      </c>
      <c r="G3055" s="4">
        <v>43945.198217592593</v>
      </c>
      <c r="H3055" s="4">
        <v>43945.198252314815</v>
      </c>
      <c r="I3055" t="s">
        <v>85</v>
      </c>
      <c r="J3055" s="5">
        <v>3</v>
      </c>
      <c r="K3055" t="s">
        <v>38</v>
      </c>
      <c r="M3055">
        <v>57201</v>
      </c>
      <c r="N3055" t="s">
        <v>150</v>
      </c>
      <c r="O3055" t="s">
        <v>151</v>
      </c>
      <c r="P3055" t="s">
        <v>38</v>
      </c>
      <c r="Q3055" t="s">
        <v>50</v>
      </c>
      <c r="R3055">
        <v>0</v>
      </c>
      <c r="S3055" t="s">
        <v>45</v>
      </c>
      <c r="T3055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5">
        <v>57202</v>
      </c>
      <c r="V3055" t="s">
        <v>38</v>
      </c>
      <c r="W3055" t="s">
        <v>50</v>
      </c>
      <c r="X3055">
        <v>0</v>
      </c>
      <c r="Y3055">
        <v>0</v>
      </c>
      <c r="Z3055" t="s">
        <v>46</v>
      </c>
      <c r="AA3055">
        <v>57203</v>
      </c>
      <c r="AB3055" t="s">
        <v>154</v>
      </c>
      <c r="AC3055" t="s">
        <v>68</v>
      </c>
      <c r="AD3055" t="s">
        <v>38</v>
      </c>
      <c r="AE3055" t="s">
        <v>49</v>
      </c>
      <c r="AF3055" t="s">
        <v>50</v>
      </c>
      <c r="AG3055">
        <v>0</v>
      </c>
      <c r="AH3055">
        <v>0</v>
      </c>
      <c r="AI3055" t="s">
        <v>51</v>
      </c>
      <c r="AJ3055" t="s">
        <v>51</v>
      </c>
      <c r="AK3055" t="s">
        <v>51</v>
      </c>
    </row>
    <row r="3056" spans="1:37" x14ac:dyDescent="0.2">
      <c r="A3056">
        <v>57186</v>
      </c>
      <c r="B3056" t="s">
        <v>37</v>
      </c>
      <c r="C3056" t="s">
        <v>38</v>
      </c>
      <c r="D3056" t="s">
        <v>130</v>
      </c>
      <c r="E3056" t="s">
        <v>40</v>
      </c>
      <c r="G3056" s="4">
        <v>43945.198217592593</v>
      </c>
      <c r="H3056" s="4">
        <v>43945.198252314815</v>
      </c>
      <c r="I3056" t="s">
        <v>85</v>
      </c>
      <c r="J3056" s="5">
        <v>3</v>
      </c>
      <c r="K3056" t="s">
        <v>38</v>
      </c>
      <c r="M3056">
        <v>57198</v>
      </c>
      <c r="N3056" t="s">
        <v>155</v>
      </c>
      <c r="O3056" t="s">
        <v>156</v>
      </c>
      <c r="P3056" t="s">
        <v>38</v>
      </c>
      <c r="Q3056" t="s">
        <v>50</v>
      </c>
      <c r="R3056">
        <v>.9999999999999999999999999999999999999996</v>
      </c>
      <c r="S3056" t="s">
        <v>45</v>
      </c>
      <c r="T3056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6">
        <v>57199</v>
      </c>
      <c r="V3056" t="s">
        <v>38</v>
      </c>
      <c r="W3056" t="s">
        <v>50</v>
      </c>
      <c r="X3056">
        <v>.9999999999999999999999999999999999999996</v>
      </c>
      <c r="Y3056">
        <v>0</v>
      </c>
      <c r="Z3056" t="s">
        <v>46</v>
      </c>
      <c r="AA3056">
        <v>57200</v>
      </c>
      <c r="AB3056" t="s">
        <v>2351</v>
      </c>
      <c r="AC3056" t="s">
        <v>68</v>
      </c>
      <c r="AD3056" t="s">
        <v>38</v>
      </c>
      <c r="AE3056" t="s">
        <v>49</v>
      </c>
      <c r="AF3056" t="s">
        <v>50</v>
      </c>
      <c r="AG3056">
        <v>.9999999999999999999999999999999999999996</v>
      </c>
      <c r="AH3056">
        <v>0</v>
      </c>
      <c r="AI3056" t="s">
        <v>51</v>
      </c>
      <c r="AJ3056" t="s">
        <v>51</v>
      </c>
      <c r="AK3056" t="s">
        <v>51</v>
      </c>
    </row>
    <row r="3057" spans="1:37" x14ac:dyDescent="0.2">
      <c r="A3057">
        <v>57186</v>
      </c>
      <c r="B3057" t="s">
        <v>37</v>
      </c>
      <c r="C3057" t="s">
        <v>38</v>
      </c>
      <c r="D3057" t="s">
        <v>130</v>
      </c>
      <c r="E3057" t="s">
        <v>40</v>
      </c>
      <c r="G3057" s="4">
        <v>43945.198217592593</v>
      </c>
      <c r="H3057" s="4">
        <v>43945.198252314815</v>
      </c>
      <c r="I3057" t="s">
        <v>85</v>
      </c>
      <c r="J3057" s="5">
        <v>3</v>
      </c>
      <c r="K3057" t="s">
        <v>38</v>
      </c>
      <c r="M3057">
        <v>57193</v>
      </c>
      <c r="N3057" t="s">
        <v>158</v>
      </c>
      <c r="O3057" t="s">
        <v>159</v>
      </c>
      <c r="P3057" t="s">
        <v>38</v>
      </c>
      <c r="Q3057" t="s">
        <v>50</v>
      </c>
      <c r="R3057">
        <v>0</v>
      </c>
      <c r="S3057" t="s">
        <v>45</v>
      </c>
      <c r="T3057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7">
        <v>57194</v>
      </c>
      <c r="V3057" t="s">
        <v>38</v>
      </c>
      <c r="W3057" t="s">
        <v>50</v>
      </c>
      <c r="X3057">
        <v>0</v>
      </c>
      <c r="Y3057">
        <v>0</v>
      </c>
      <c r="Z3057" t="s">
        <v>46</v>
      </c>
      <c r="AA3057">
        <v>57197</v>
      </c>
      <c r="AB3057" t="s">
        <v>160</v>
      </c>
      <c r="AC3057" t="s">
        <v>56</v>
      </c>
      <c r="AD3057" t="s">
        <v>38</v>
      </c>
      <c r="AE3057" t="s">
        <v>49</v>
      </c>
      <c r="AF3057" t="s">
        <v>50</v>
      </c>
      <c r="AG3057">
        <v>0</v>
      </c>
      <c r="AH3057">
        <v>0</v>
      </c>
      <c r="AI3057" t="s">
        <v>51</v>
      </c>
      <c r="AJ3057" t="s">
        <v>51</v>
      </c>
      <c r="AK3057" t="s">
        <v>51</v>
      </c>
    </row>
    <row r="3058" spans="1:37" x14ac:dyDescent="0.2">
      <c r="A3058">
        <v>57186</v>
      </c>
      <c r="B3058" t="s">
        <v>37</v>
      </c>
      <c r="C3058" t="s">
        <v>38</v>
      </c>
      <c r="D3058" t="s">
        <v>130</v>
      </c>
      <c r="E3058" t="s">
        <v>40</v>
      </c>
      <c r="G3058" s="4">
        <v>43945.198217592593</v>
      </c>
      <c r="H3058" s="4">
        <v>43945.198252314815</v>
      </c>
      <c r="I3058" t="s">
        <v>85</v>
      </c>
      <c r="J3058" s="5">
        <v>3</v>
      </c>
      <c r="K3058" t="s">
        <v>38</v>
      </c>
      <c r="M3058">
        <v>57193</v>
      </c>
      <c r="N3058" t="s">
        <v>158</v>
      </c>
      <c r="O3058" t="s">
        <v>159</v>
      </c>
      <c r="P3058" t="s">
        <v>38</v>
      </c>
      <c r="Q3058" t="s">
        <v>50</v>
      </c>
      <c r="R3058">
        <v>0</v>
      </c>
      <c r="S3058" t="s">
        <v>45</v>
      </c>
      <c r="T3058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8">
        <v>57194</v>
      </c>
      <c r="V3058" t="s">
        <v>38</v>
      </c>
      <c r="W3058" t="s">
        <v>50</v>
      </c>
      <c r="X3058">
        <v>0</v>
      </c>
      <c r="Y3058">
        <v>0</v>
      </c>
      <c r="Z3058" t="s">
        <v>46</v>
      </c>
      <c r="AA3058">
        <v>57196</v>
      </c>
      <c r="AB3058" t="s">
        <v>161</v>
      </c>
      <c r="AC3058" t="s">
        <v>68</v>
      </c>
      <c r="AD3058" t="s">
        <v>38</v>
      </c>
      <c r="AE3058" t="s">
        <v>49</v>
      </c>
      <c r="AF3058" t="s">
        <v>50</v>
      </c>
      <c r="AG3058">
        <v>0</v>
      </c>
      <c r="AH3058">
        <v>0</v>
      </c>
      <c r="AI3058" t="s">
        <v>51</v>
      </c>
      <c r="AJ3058" t="s">
        <v>51</v>
      </c>
      <c r="AK3058" t="s">
        <v>51</v>
      </c>
    </row>
    <row r="3059" spans="1:37" x14ac:dyDescent="0.2">
      <c r="A3059">
        <v>57186</v>
      </c>
      <c r="B3059" t="s">
        <v>37</v>
      </c>
      <c r="C3059" t="s">
        <v>38</v>
      </c>
      <c r="D3059" t="s">
        <v>130</v>
      </c>
      <c r="E3059" t="s">
        <v>40</v>
      </c>
      <c r="G3059" s="4">
        <v>43945.198217592593</v>
      </c>
      <c r="H3059" s="4">
        <v>43945.198252314815</v>
      </c>
      <c r="I3059" t="s">
        <v>85</v>
      </c>
      <c r="J3059" s="5">
        <v>3</v>
      </c>
      <c r="K3059" t="s">
        <v>38</v>
      </c>
      <c r="M3059">
        <v>57193</v>
      </c>
      <c r="N3059" t="s">
        <v>158</v>
      </c>
      <c r="O3059" t="s">
        <v>159</v>
      </c>
      <c r="P3059" t="s">
        <v>38</v>
      </c>
      <c r="Q3059" t="s">
        <v>50</v>
      </c>
      <c r="R3059">
        <v>0</v>
      </c>
      <c r="S3059" t="s">
        <v>45</v>
      </c>
      <c r="T3059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59">
        <v>57194</v>
      </c>
      <c r="V3059" t="s">
        <v>38</v>
      </c>
      <c r="W3059" t="s">
        <v>50</v>
      </c>
      <c r="X3059">
        <v>0</v>
      </c>
      <c r="Y3059">
        <v>0</v>
      </c>
      <c r="Z3059" t="s">
        <v>46</v>
      </c>
      <c r="AA3059">
        <v>57195</v>
      </c>
      <c r="AB3059" t="s">
        <v>162</v>
      </c>
      <c r="AC3059" t="s">
        <v>68</v>
      </c>
      <c r="AD3059" t="s">
        <v>38</v>
      </c>
      <c r="AE3059" t="s">
        <v>49</v>
      </c>
      <c r="AF3059" t="s">
        <v>50</v>
      </c>
      <c r="AG3059">
        <v>0</v>
      </c>
      <c r="AH3059">
        <v>0</v>
      </c>
      <c r="AI3059" t="s">
        <v>51</v>
      </c>
      <c r="AJ3059" t="s">
        <v>51</v>
      </c>
      <c r="AK3059" t="s">
        <v>51</v>
      </c>
    </row>
    <row r="3060" spans="1:37" x14ac:dyDescent="0.2">
      <c r="A3060">
        <v>57186</v>
      </c>
      <c r="B3060" t="s">
        <v>37</v>
      </c>
      <c r="C3060" t="s">
        <v>38</v>
      </c>
      <c r="D3060" t="s">
        <v>130</v>
      </c>
      <c r="E3060" t="s">
        <v>40</v>
      </c>
      <c r="G3060" s="4">
        <v>43945.198217592593</v>
      </c>
      <c r="H3060" s="4">
        <v>43945.198252314815</v>
      </c>
      <c r="I3060" t="s">
        <v>85</v>
      </c>
      <c r="J3060" s="5">
        <v>3</v>
      </c>
      <c r="K3060" t="s">
        <v>38</v>
      </c>
      <c r="M3060">
        <v>57187</v>
      </c>
      <c r="N3060" t="s">
        <v>163</v>
      </c>
      <c r="O3060" t="s">
        <v>164</v>
      </c>
      <c r="P3060" t="s">
        <v>38</v>
      </c>
      <c r="Q3060" t="s">
        <v>50</v>
      </c>
      <c r="R3060">
        <v>0</v>
      </c>
      <c r="S3060" t="s">
        <v>45</v>
      </c>
      <c r="T3060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60">
        <v>57188</v>
      </c>
      <c r="V3060" t="s">
        <v>38</v>
      </c>
      <c r="W3060" t="s">
        <v>50</v>
      </c>
      <c r="X3060">
        <v>0</v>
      </c>
      <c r="Y3060">
        <v>0</v>
      </c>
      <c r="Z3060" t="s">
        <v>46</v>
      </c>
      <c r="AA3060">
        <v>57192</v>
      </c>
      <c r="AB3060" t="s">
        <v>165</v>
      </c>
      <c r="AC3060" t="s">
        <v>56</v>
      </c>
      <c r="AD3060" t="s">
        <v>38</v>
      </c>
      <c r="AE3060" t="s">
        <v>49</v>
      </c>
      <c r="AF3060" t="s">
        <v>50</v>
      </c>
      <c r="AG3060">
        <v>0</v>
      </c>
      <c r="AH3060">
        <v>0</v>
      </c>
      <c r="AI3060" t="s">
        <v>51</v>
      </c>
      <c r="AJ3060" t="s">
        <v>51</v>
      </c>
      <c r="AK3060" t="s">
        <v>51</v>
      </c>
    </row>
    <row r="3061" spans="1:37" x14ac:dyDescent="0.2">
      <c r="A3061">
        <v>57186</v>
      </c>
      <c r="B3061" t="s">
        <v>37</v>
      </c>
      <c r="C3061" t="s">
        <v>38</v>
      </c>
      <c r="D3061" t="s">
        <v>130</v>
      </c>
      <c r="E3061" t="s">
        <v>40</v>
      </c>
      <c r="G3061" s="4">
        <v>43945.198217592593</v>
      </c>
      <c r="H3061" s="4">
        <v>43945.198252314815</v>
      </c>
      <c r="I3061" t="s">
        <v>85</v>
      </c>
      <c r="J3061" s="5">
        <v>3</v>
      </c>
      <c r="K3061" t="s">
        <v>38</v>
      </c>
      <c r="M3061">
        <v>57187</v>
      </c>
      <c r="N3061" t="s">
        <v>163</v>
      </c>
      <c r="O3061" t="s">
        <v>164</v>
      </c>
      <c r="P3061" t="s">
        <v>38</v>
      </c>
      <c r="Q3061" t="s">
        <v>50</v>
      </c>
      <c r="R3061">
        <v>0</v>
      </c>
      <c r="S3061" t="s">
        <v>45</v>
      </c>
      <c r="T3061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61">
        <v>57188</v>
      </c>
      <c r="V3061" t="s">
        <v>38</v>
      </c>
      <c r="W3061" t="s">
        <v>50</v>
      </c>
      <c r="X3061">
        <v>0</v>
      </c>
      <c r="Y3061">
        <v>0</v>
      </c>
      <c r="Z3061" t="s">
        <v>46</v>
      </c>
      <c r="AA3061">
        <v>57191</v>
      </c>
      <c r="AB3061" t="s">
        <v>2352</v>
      </c>
      <c r="AC3061" t="s">
        <v>48</v>
      </c>
      <c r="AD3061" t="s">
        <v>38</v>
      </c>
      <c r="AE3061" t="s">
        <v>49</v>
      </c>
      <c r="AF3061" t="s">
        <v>50</v>
      </c>
      <c r="AG3061">
        <v>0</v>
      </c>
      <c r="AH3061">
        <v>0</v>
      </c>
      <c r="AI3061" t="s">
        <v>51</v>
      </c>
      <c r="AJ3061" t="s">
        <v>51</v>
      </c>
      <c r="AK3061" t="s">
        <v>51</v>
      </c>
    </row>
    <row r="3062" spans="1:37" x14ac:dyDescent="0.2">
      <c r="A3062">
        <v>57186</v>
      </c>
      <c r="B3062" t="s">
        <v>37</v>
      </c>
      <c r="C3062" t="s">
        <v>38</v>
      </c>
      <c r="D3062" t="s">
        <v>130</v>
      </c>
      <c r="E3062" t="s">
        <v>40</v>
      </c>
      <c r="G3062" s="4">
        <v>43945.198217592593</v>
      </c>
      <c r="H3062" s="4">
        <v>43945.198252314815</v>
      </c>
      <c r="I3062" t="s">
        <v>85</v>
      </c>
      <c r="J3062" s="5">
        <v>3</v>
      </c>
      <c r="K3062" t="s">
        <v>38</v>
      </c>
      <c r="M3062">
        <v>57187</v>
      </c>
      <c r="N3062" t="s">
        <v>163</v>
      </c>
      <c r="O3062" t="s">
        <v>164</v>
      </c>
      <c r="P3062" t="s">
        <v>38</v>
      </c>
      <c r="Q3062" t="s">
        <v>50</v>
      </c>
      <c r="R3062">
        <v>0</v>
      </c>
      <c r="S3062" t="s">
        <v>45</v>
      </c>
      <c r="T3062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62">
        <v>57188</v>
      </c>
      <c r="V3062" t="s">
        <v>38</v>
      </c>
      <c r="W3062" t="s">
        <v>50</v>
      </c>
      <c r="X3062">
        <v>0</v>
      </c>
      <c r="Y3062">
        <v>0</v>
      </c>
      <c r="Z3062" t="s">
        <v>46</v>
      </c>
      <c r="AA3062">
        <v>57190</v>
      </c>
      <c r="AB3062" t="s">
        <v>167</v>
      </c>
      <c r="AC3062" t="s">
        <v>68</v>
      </c>
      <c r="AD3062" t="s">
        <v>38</v>
      </c>
      <c r="AE3062" t="s">
        <v>49</v>
      </c>
      <c r="AF3062" t="s">
        <v>50</v>
      </c>
      <c r="AG3062">
        <v>0</v>
      </c>
      <c r="AH3062">
        <v>0</v>
      </c>
      <c r="AI3062" t="s">
        <v>51</v>
      </c>
      <c r="AJ3062" t="s">
        <v>51</v>
      </c>
      <c r="AK3062" t="s">
        <v>51</v>
      </c>
    </row>
    <row r="3063" spans="1:37" x14ac:dyDescent="0.2">
      <c r="A3063">
        <v>57186</v>
      </c>
      <c r="B3063" t="s">
        <v>37</v>
      </c>
      <c r="C3063" t="s">
        <v>38</v>
      </c>
      <c r="D3063" t="s">
        <v>130</v>
      </c>
      <c r="E3063" t="s">
        <v>40</v>
      </c>
      <c r="G3063" s="4">
        <v>43945.198217592593</v>
      </c>
      <c r="H3063" s="4">
        <v>43945.198252314815</v>
      </c>
      <c r="I3063" t="s">
        <v>85</v>
      </c>
      <c r="J3063" s="5">
        <v>3</v>
      </c>
      <c r="K3063" t="s">
        <v>38</v>
      </c>
      <c r="M3063">
        <v>57187</v>
      </c>
      <c r="N3063" t="s">
        <v>163</v>
      </c>
      <c r="O3063" t="s">
        <v>164</v>
      </c>
      <c r="P3063" t="s">
        <v>38</v>
      </c>
      <c r="Q3063" t="s">
        <v>50</v>
      </c>
      <c r="R3063">
        <v>0</v>
      </c>
      <c r="S3063" t="s">
        <v>45</v>
      </c>
      <c r="T3063" t="str" s="2">
        <f>=HYPERLINK("http://demo.enginatics.com:80/ecc/user/applications/log/57186.log","http://demo.enginatics.com:80/ecc/user/applications/log/57186.log")</f>
        <v>"http://demo.enginatics.com:80/ecc/user/applications/log/57186.log")</v>
      </c>
      <c r="U3063">
        <v>57188</v>
      </c>
      <c r="V3063" t="s">
        <v>38</v>
      </c>
      <c r="W3063" t="s">
        <v>50</v>
      </c>
      <c r="X3063">
        <v>0</v>
      </c>
      <c r="Y3063">
        <v>0</v>
      </c>
      <c r="Z3063" t="s">
        <v>46</v>
      </c>
      <c r="AA3063">
        <v>57189</v>
      </c>
      <c r="AB3063" t="s">
        <v>168</v>
      </c>
      <c r="AC3063" t="s">
        <v>68</v>
      </c>
      <c r="AD3063" t="s">
        <v>38</v>
      </c>
      <c r="AE3063" t="s">
        <v>49</v>
      </c>
      <c r="AF3063" t="s">
        <v>50</v>
      </c>
      <c r="AG3063">
        <v>0</v>
      </c>
      <c r="AH3063">
        <v>0</v>
      </c>
      <c r="AI3063" t="s">
        <v>51</v>
      </c>
      <c r="AJ3063" t="s">
        <v>51</v>
      </c>
      <c r="AK3063" t="s">
        <v>51</v>
      </c>
    </row>
    <row r="3064" spans="1:37" x14ac:dyDescent="0.2">
      <c r="A3064">
        <v>57182</v>
      </c>
      <c r="B3064" t="s">
        <v>37</v>
      </c>
      <c r="C3064" t="s">
        <v>38</v>
      </c>
      <c r="D3064" t="s">
        <v>169</v>
      </c>
      <c r="E3064" t="s">
        <v>170</v>
      </c>
      <c r="G3064" s="4">
        <v>43945.172662037037</v>
      </c>
      <c r="H3064" s="4">
        <v>43945.172673611111</v>
      </c>
      <c r="I3064" t="s">
        <v>50</v>
      </c>
      <c r="J3064" s="5">
        <v>.9999999999999999999999999999999999999996</v>
      </c>
      <c r="K3064" t="s">
        <v>38</v>
      </c>
      <c r="M3064">
        <v>57183</v>
      </c>
      <c r="N3064" t="s">
        <v>170</v>
      </c>
      <c r="O3064" t="s">
        <v>171</v>
      </c>
      <c r="P3064" t="s">
        <v>38</v>
      </c>
      <c r="Q3064" t="s">
        <v>50</v>
      </c>
      <c r="R3064">
        <v>0</v>
      </c>
      <c r="S3064" t="s">
        <v>45</v>
      </c>
      <c r="T3064" t="str" s="2">
        <f>=HYPERLINK("http://demo.enginatics.com:80/ecc/user/applications/log/57182.log","http://demo.enginatics.com:80/ecc/user/applications/log/57182.log")</f>
        <v>"http://demo.enginatics.com:80/ecc/user/applications/log/57182.log")</v>
      </c>
      <c r="U3064">
        <v>57184</v>
      </c>
      <c r="V3064" t="s">
        <v>38</v>
      </c>
      <c r="W3064" t="s">
        <v>50</v>
      </c>
      <c r="X3064">
        <v>0</v>
      </c>
      <c r="Y3064">
        <v>0</v>
      </c>
      <c r="Z3064" t="s">
        <v>46</v>
      </c>
      <c r="AA3064">
        <v>57185</v>
      </c>
      <c r="AB3064" t="s">
        <v>172</v>
      </c>
      <c r="AC3064" t="s">
        <v>68</v>
      </c>
      <c r="AD3064" t="s">
        <v>38</v>
      </c>
      <c r="AE3064" t="s">
        <v>49</v>
      </c>
      <c r="AF3064" t="s">
        <v>50</v>
      </c>
      <c r="AG3064">
        <v>0</v>
      </c>
      <c r="AH3064">
        <v>0</v>
      </c>
      <c r="AI3064" t="s">
        <v>51</v>
      </c>
      <c r="AJ3064" t="s">
        <v>51</v>
      </c>
      <c r="AK3064" t="s">
        <v>51</v>
      </c>
    </row>
    <row r="3065" spans="1:37" x14ac:dyDescent="0.2">
      <c r="A3065">
        <v>57178</v>
      </c>
      <c r="B3065" t="s">
        <v>37</v>
      </c>
      <c r="C3065" t="s">
        <v>38</v>
      </c>
      <c r="D3065" t="s">
        <v>169</v>
      </c>
      <c r="E3065" t="s">
        <v>173</v>
      </c>
      <c r="G3065" s="4">
        <v>43945.172476851852</v>
      </c>
      <c r="H3065" s="4">
        <v>43945.172488425926</v>
      </c>
      <c r="I3065" t="s">
        <v>50</v>
      </c>
      <c r="J3065" s="5">
        <v>.9999999999999999999999999999999999999996</v>
      </c>
      <c r="K3065" t="s">
        <v>38</v>
      </c>
      <c r="M3065">
        <v>57179</v>
      </c>
      <c r="N3065" t="s">
        <v>173</v>
      </c>
      <c r="O3065" t="s">
        <v>174</v>
      </c>
      <c r="P3065" t="s">
        <v>38</v>
      </c>
      <c r="Q3065" t="s">
        <v>50</v>
      </c>
      <c r="R3065">
        <v>.9999999999999999999999999999999999999996</v>
      </c>
      <c r="S3065" t="s">
        <v>45</v>
      </c>
      <c r="T3065" t="str" s="2">
        <f>=HYPERLINK("http://demo.enginatics.com:80/ecc/user/applications/log/57178.log","http://demo.enginatics.com:80/ecc/user/applications/log/57178.log")</f>
        <v>"http://demo.enginatics.com:80/ecc/user/applications/log/57178.log")</v>
      </c>
      <c r="U3065">
        <v>57180</v>
      </c>
      <c r="V3065" t="s">
        <v>38</v>
      </c>
      <c r="W3065" t="s">
        <v>50</v>
      </c>
      <c r="X3065">
        <v>.9999999999999999999999999999999999999996</v>
      </c>
      <c r="Y3065">
        <v>0</v>
      </c>
      <c r="Z3065" t="s">
        <v>46</v>
      </c>
      <c r="AA3065">
        <v>57181</v>
      </c>
      <c r="AB3065" t="s">
        <v>175</v>
      </c>
      <c r="AC3065" t="s">
        <v>68</v>
      </c>
      <c r="AD3065" t="s">
        <v>38</v>
      </c>
      <c r="AE3065" t="s">
        <v>49</v>
      </c>
      <c r="AF3065" t="s">
        <v>50</v>
      </c>
      <c r="AG3065">
        <v>0</v>
      </c>
      <c r="AH3065">
        <v>0</v>
      </c>
      <c r="AI3065" t="s">
        <v>51</v>
      </c>
      <c r="AJ3065" t="s">
        <v>51</v>
      </c>
      <c r="AK3065" t="s">
        <v>51</v>
      </c>
    </row>
    <row r="3066" spans="1:37" x14ac:dyDescent="0.2">
      <c r="A3066">
        <v>57174</v>
      </c>
      <c r="B3066" t="s">
        <v>37</v>
      </c>
      <c r="C3066" t="s">
        <v>38</v>
      </c>
      <c r="D3066" t="s">
        <v>169</v>
      </c>
      <c r="E3066" t="s">
        <v>176</v>
      </c>
      <c r="G3066" s="4">
        <v>43945.172291666667</v>
      </c>
      <c r="H3066" s="4">
        <v>43945.172291666667</v>
      </c>
      <c r="I3066" t="s">
        <v>50</v>
      </c>
      <c r="J3066" s="5">
        <v>0</v>
      </c>
      <c r="K3066" t="s">
        <v>38</v>
      </c>
      <c r="M3066">
        <v>57175</v>
      </c>
      <c r="N3066" t="s">
        <v>176</v>
      </c>
      <c r="O3066" t="s">
        <v>177</v>
      </c>
      <c r="P3066" t="s">
        <v>38</v>
      </c>
      <c r="Q3066" t="s">
        <v>50</v>
      </c>
      <c r="R3066">
        <v>0</v>
      </c>
      <c r="S3066" t="s">
        <v>45</v>
      </c>
      <c r="T3066" t="str" s="2">
        <f>=HYPERLINK("http://demo.enginatics.com:80/ecc/user/applications/log/57174.log","http://demo.enginatics.com:80/ecc/user/applications/log/57174.log")</f>
        <v>"http://demo.enginatics.com:80/ecc/user/applications/log/57174.log")</v>
      </c>
      <c r="U3066">
        <v>57176</v>
      </c>
      <c r="V3066" t="s">
        <v>38</v>
      </c>
      <c r="W3066" t="s">
        <v>50</v>
      </c>
      <c r="X3066">
        <v>0</v>
      </c>
      <c r="Y3066">
        <v>0</v>
      </c>
      <c r="Z3066" t="s">
        <v>46</v>
      </c>
      <c r="AA3066">
        <v>57177</v>
      </c>
      <c r="AB3066" t="s">
        <v>178</v>
      </c>
      <c r="AC3066" t="s">
        <v>68</v>
      </c>
      <c r="AD3066" t="s">
        <v>38</v>
      </c>
      <c r="AE3066" t="s">
        <v>49</v>
      </c>
      <c r="AF3066" t="s">
        <v>50</v>
      </c>
      <c r="AG3066">
        <v>0</v>
      </c>
      <c r="AH3066">
        <v>0</v>
      </c>
      <c r="AI3066" t="s">
        <v>51</v>
      </c>
      <c r="AJ3066" t="s">
        <v>51</v>
      </c>
      <c r="AK3066" t="s">
        <v>51</v>
      </c>
    </row>
    <row r="3067" spans="1:37" x14ac:dyDescent="0.2">
      <c r="A3067">
        <v>57170</v>
      </c>
      <c r="B3067" t="s">
        <v>37</v>
      </c>
      <c r="C3067" t="s">
        <v>38</v>
      </c>
      <c r="D3067" t="s">
        <v>169</v>
      </c>
      <c r="E3067" t="s">
        <v>179</v>
      </c>
      <c r="G3067" s="4">
        <v>43945.171944444444</v>
      </c>
      <c r="H3067" s="4">
        <v>43945.172222222222</v>
      </c>
      <c r="I3067" t="s">
        <v>1153</v>
      </c>
      <c r="J3067" s="5">
        <v>24.00000000000000000000000000000000000002</v>
      </c>
      <c r="K3067" t="s">
        <v>38</v>
      </c>
      <c r="M3067">
        <v>57171</v>
      </c>
      <c r="N3067" t="s">
        <v>179</v>
      </c>
      <c r="O3067" t="s">
        <v>181</v>
      </c>
      <c r="P3067" t="s">
        <v>38</v>
      </c>
      <c r="Q3067" t="s">
        <v>183</v>
      </c>
      <c r="R3067">
        <v>23.00000000000000000000000000000000000003</v>
      </c>
      <c r="S3067" t="s">
        <v>45</v>
      </c>
      <c r="T3067" t="str" s="2">
        <f>=HYPERLINK("http://demo.enginatics.com:80/ecc/user/applications/log/57170.log","http://demo.enginatics.com:80/ecc/user/applications/log/57170.log")</f>
        <v>"http://demo.enginatics.com:80/ecc/user/applications/log/57170.log")</v>
      </c>
      <c r="U3067">
        <v>57172</v>
      </c>
      <c r="V3067" t="s">
        <v>38</v>
      </c>
      <c r="W3067" t="s">
        <v>183</v>
      </c>
      <c r="X3067">
        <v>23.00000000000000000000000000000000000003</v>
      </c>
      <c r="Y3067">
        <v>0</v>
      </c>
      <c r="Z3067" t="s">
        <v>46</v>
      </c>
      <c r="AA3067">
        <v>57173</v>
      </c>
      <c r="AB3067" t="s">
        <v>182</v>
      </c>
      <c r="AC3067" t="s">
        <v>68</v>
      </c>
      <c r="AD3067" t="s">
        <v>38</v>
      </c>
      <c r="AE3067" t="s">
        <v>49</v>
      </c>
      <c r="AF3067" t="s">
        <v>183</v>
      </c>
      <c r="AG3067">
        <v>23.00000000000000000000000000000000000003</v>
      </c>
      <c r="AH3067">
        <v>22</v>
      </c>
      <c r="AI3067" t="s">
        <v>51</v>
      </c>
      <c r="AJ3067" t="s">
        <v>51</v>
      </c>
      <c r="AK3067" t="s">
        <v>51</v>
      </c>
    </row>
    <row r="3068" spans="1:37" x14ac:dyDescent="0.2">
      <c r="A3068">
        <v>57166</v>
      </c>
      <c r="B3068" t="s">
        <v>37</v>
      </c>
      <c r="C3068" t="s">
        <v>38</v>
      </c>
      <c r="D3068" t="s">
        <v>169</v>
      </c>
      <c r="E3068" t="s">
        <v>184</v>
      </c>
      <c r="G3068" s="4">
        <v>43945.171840277778</v>
      </c>
      <c r="H3068" s="4">
        <v>43945.171851851852</v>
      </c>
      <c r="I3068" t="s">
        <v>50</v>
      </c>
      <c r="J3068" s="5">
        <v>.9999999999999999999999999999999999999996</v>
      </c>
      <c r="K3068" t="s">
        <v>38</v>
      </c>
      <c r="M3068">
        <v>57167</v>
      </c>
      <c r="N3068" t="s">
        <v>184</v>
      </c>
      <c r="O3068" t="s">
        <v>185</v>
      </c>
      <c r="P3068" t="s">
        <v>38</v>
      </c>
      <c r="Q3068" t="s">
        <v>50</v>
      </c>
      <c r="R3068">
        <v>.9999999999999999999999999999999999999996</v>
      </c>
      <c r="S3068" t="s">
        <v>45</v>
      </c>
      <c r="T3068" t="str" s="2">
        <f>=HYPERLINK("http://demo.enginatics.com:80/ecc/user/applications/log/57166.log","http://demo.enginatics.com:80/ecc/user/applications/log/57166.log")</f>
        <v>"http://demo.enginatics.com:80/ecc/user/applications/log/57166.log")</v>
      </c>
      <c r="U3068">
        <v>57168</v>
      </c>
      <c r="V3068" t="s">
        <v>38</v>
      </c>
      <c r="W3068" t="s">
        <v>50</v>
      </c>
      <c r="X3068">
        <v>0</v>
      </c>
      <c r="Y3068">
        <v>0</v>
      </c>
      <c r="Z3068" t="s">
        <v>46</v>
      </c>
      <c r="AA3068">
        <v>57169</v>
      </c>
      <c r="AB3068" t="s">
        <v>186</v>
      </c>
      <c r="AC3068" t="s">
        <v>68</v>
      </c>
      <c r="AD3068" t="s">
        <v>38</v>
      </c>
      <c r="AE3068" t="s">
        <v>49</v>
      </c>
      <c r="AF3068" t="s">
        <v>50</v>
      </c>
      <c r="AG3068">
        <v>0</v>
      </c>
      <c r="AH3068">
        <v>0</v>
      </c>
      <c r="AI3068" t="s">
        <v>51</v>
      </c>
      <c r="AJ3068" t="s">
        <v>51</v>
      </c>
      <c r="AK3068" t="s">
        <v>51</v>
      </c>
    </row>
    <row r="3069" spans="1:37" x14ac:dyDescent="0.2">
      <c r="A3069">
        <v>57162</v>
      </c>
      <c r="B3069" t="s">
        <v>37</v>
      </c>
      <c r="C3069" t="s">
        <v>38</v>
      </c>
      <c r="D3069" t="s">
        <v>169</v>
      </c>
      <c r="E3069" t="s">
        <v>187</v>
      </c>
      <c r="G3069" s="4">
        <v>43945.171712962963</v>
      </c>
      <c r="H3069" s="4">
        <v>43945.171747685185</v>
      </c>
      <c r="I3069" t="s">
        <v>85</v>
      </c>
      <c r="J3069" s="5">
        <v>3</v>
      </c>
      <c r="K3069" t="s">
        <v>38</v>
      </c>
      <c r="M3069">
        <v>57163</v>
      </c>
      <c r="N3069" t="s">
        <v>187</v>
      </c>
      <c r="O3069" t="s">
        <v>188</v>
      </c>
      <c r="P3069" t="s">
        <v>38</v>
      </c>
      <c r="Q3069" t="s">
        <v>85</v>
      </c>
      <c r="R3069">
        <v>3</v>
      </c>
      <c r="S3069" t="s">
        <v>45</v>
      </c>
      <c r="T3069" t="str" s="2">
        <f>=HYPERLINK("http://demo.enginatics.com:80/ecc/user/applications/log/57162.log","http://demo.enginatics.com:80/ecc/user/applications/log/57162.log")</f>
        <v>"http://demo.enginatics.com:80/ecc/user/applications/log/57162.log")</v>
      </c>
      <c r="U3069">
        <v>57164</v>
      </c>
      <c r="V3069" t="s">
        <v>38</v>
      </c>
      <c r="W3069" t="s">
        <v>85</v>
      </c>
      <c r="X3069">
        <v>3</v>
      </c>
      <c r="Y3069">
        <v>0</v>
      </c>
      <c r="Z3069" t="s">
        <v>46</v>
      </c>
      <c r="AA3069">
        <v>57165</v>
      </c>
      <c r="AB3069" t="s">
        <v>189</v>
      </c>
      <c r="AC3069" t="s">
        <v>68</v>
      </c>
      <c r="AD3069" t="s">
        <v>38</v>
      </c>
      <c r="AE3069" t="s">
        <v>49</v>
      </c>
      <c r="AF3069" t="s">
        <v>85</v>
      </c>
      <c r="AG3069">
        <v>3</v>
      </c>
      <c r="AH3069">
        <v>3</v>
      </c>
      <c r="AI3069" t="s">
        <v>51</v>
      </c>
      <c r="AJ3069" t="s">
        <v>51</v>
      </c>
      <c r="AK3069" t="s">
        <v>51</v>
      </c>
    </row>
    <row r="3070" spans="1:37" x14ac:dyDescent="0.2">
      <c r="A3070">
        <v>57158</v>
      </c>
      <c r="B3070" t="s">
        <v>37</v>
      </c>
      <c r="C3070" t="s">
        <v>38</v>
      </c>
      <c r="D3070" t="s">
        <v>169</v>
      </c>
      <c r="E3070" t="s">
        <v>190</v>
      </c>
      <c r="G3070" s="4">
        <v>43945.171585648148</v>
      </c>
      <c r="H3070" s="4">
        <v>43945.171608796296</v>
      </c>
      <c r="I3070" t="s">
        <v>88</v>
      </c>
      <c r="J3070" s="5">
        <v>2</v>
      </c>
      <c r="K3070" t="s">
        <v>38</v>
      </c>
      <c r="M3070">
        <v>57159</v>
      </c>
      <c r="N3070" t="s">
        <v>190</v>
      </c>
      <c r="O3070" t="s">
        <v>191</v>
      </c>
      <c r="P3070" t="s">
        <v>38</v>
      </c>
      <c r="Q3070" t="s">
        <v>88</v>
      </c>
      <c r="R3070">
        <v>2</v>
      </c>
      <c r="S3070" t="s">
        <v>45</v>
      </c>
      <c r="T3070" t="str" s="2">
        <f>=HYPERLINK("http://demo.enginatics.com:80/ecc/user/applications/log/57158.log","http://demo.enginatics.com:80/ecc/user/applications/log/57158.log")</f>
        <v>"http://demo.enginatics.com:80/ecc/user/applications/log/57158.log")</v>
      </c>
      <c r="U3070">
        <v>57160</v>
      </c>
      <c r="V3070" t="s">
        <v>38</v>
      </c>
      <c r="W3070" t="s">
        <v>88</v>
      </c>
      <c r="X3070">
        <v>2</v>
      </c>
      <c r="Y3070">
        <v>0</v>
      </c>
      <c r="Z3070" t="s">
        <v>46</v>
      </c>
      <c r="AA3070">
        <v>57161</v>
      </c>
      <c r="AB3070" t="s">
        <v>192</v>
      </c>
      <c r="AC3070" t="s">
        <v>68</v>
      </c>
      <c r="AD3070" t="s">
        <v>38</v>
      </c>
      <c r="AE3070" t="s">
        <v>49</v>
      </c>
      <c r="AF3070" t="s">
        <v>50</v>
      </c>
      <c r="AG3070">
        <v>0</v>
      </c>
      <c r="AH3070">
        <v>0</v>
      </c>
      <c r="AI3070" t="s">
        <v>51</v>
      </c>
      <c r="AJ3070" t="s">
        <v>51</v>
      </c>
      <c r="AK3070" t="s">
        <v>51</v>
      </c>
    </row>
    <row r="3071" spans="1:37" x14ac:dyDescent="0.2">
      <c r="A3071">
        <v>57154</v>
      </c>
      <c r="B3071" t="s">
        <v>37</v>
      </c>
      <c r="C3071" t="s">
        <v>38</v>
      </c>
      <c r="D3071" t="s">
        <v>169</v>
      </c>
      <c r="E3071" t="s">
        <v>193</v>
      </c>
      <c r="G3071" s="4">
        <v>43945.171423611111</v>
      </c>
      <c r="H3071" s="4">
        <v>43945.171435185185</v>
      </c>
      <c r="I3071" t="s">
        <v>50</v>
      </c>
      <c r="J3071" s="5">
        <v>.9999999999999999999999999999999999999996</v>
      </c>
      <c r="K3071" t="s">
        <v>38</v>
      </c>
      <c r="M3071">
        <v>57155</v>
      </c>
      <c r="N3071" t="s">
        <v>193</v>
      </c>
      <c r="O3071" t="s">
        <v>194</v>
      </c>
      <c r="P3071" t="s">
        <v>38</v>
      </c>
      <c r="Q3071" t="s">
        <v>50</v>
      </c>
      <c r="R3071">
        <v>.9999999999999999999999999999999999999996</v>
      </c>
      <c r="S3071" t="s">
        <v>45</v>
      </c>
      <c r="T3071" t="str" s="2">
        <f>=HYPERLINK("http://demo.enginatics.com:80/ecc/user/applications/log/57154.log","http://demo.enginatics.com:80/ecc/user/applications/log/57154.log")</f>
        <v>"http://demo.enginatics.com:80/ecc/user/applications/log/57154.log")</v>
      </c>
      <c r="U3071">
        <v>57156</v>
      </c>
      <c r="V3071" t="s">
        <v>38</v>
      </c>
      <c r="W3071" t="s">
        <v>50</v>
      </c>
      <c r="X3071">
        <v>0</v>
      </c>
      <c r="Y3071">
        <v>0</v>
      </c>
      <c r="Z3071" t="s">
        <v>46</v>
      </c>
      <c r="AA3071">
        <v>57157</v>
      </c>
      <c r="AB3071" t="s">
        <v>195</v>
      </c>
      <c r="AC3071" t="s">
        <v>68</v>
      </c>
      <c r="AD3071" t="s">
        <v>38</v>
      </c>
      <c r="AE3071" t="s">
        <v>49</v>
      </c>
      <c r="AF3071" t="s">
        <v>50</v>
      </c>
      <c r="AG3071">
        <v>0</v>
      </c>
      <c r="AH3071">
        <v>0</v>
      </c>
      <c r="AI3071" t="s">
        <v>51</v>
      </c>
      <c r="AJ3071" t="s">
        <v>51</v>
      </c>
      <c r="AK3071" t="s">
        <v>51</v>
      </c>
    </row>
    <row r="3072" spans="1:37" x14ac:dyDescent="0.2">
      <c r="A3072">
        <v>57151</v>
      </c>
      <c r="B3072" t="s">
        <v>37</v>
      </c>
      <c r="C3072" t="s">
        <v>196</v>
      </c>
      <c r="D3072" t="s">
        <v>169</v>
      </c>
      <c r="E3072" t="s">
        <v>197</v>
      </c>
      <c r="G3072" s="4">
        <v>43945.171273148148</v>
      </c>
      <c r="H3072" s="4">
        <v>43945.171284722222</v>
      </c>
      <c r="I3072" t="s">
        <v>50</v>
      </c>
      <c r="J3072" s="5">
        <v>.9999999999999999999999999999999999999996</v>
      </c>
      <c r="K3072" t="s">
        <v>196</v>
      </c>
      <c r="M3072">
        <v>57152</v>
      </c>
      <c r="N3072" t="s">
        <v>197</v>
      </c>
      <c r="O3072" t="s">
        <v>198</v>
      </c>
      <c r="P3072" t="s">
        <v>196</v>
      </c>
      <c r="Q3072" t="s">
        <v>50</v>
      </c>
      <c r="R3072">
        <v>0</v>
      </c>
      <c r="S3072" t="s">
        <v>199</v>
      </c>
      <c r="T3072" t="str" s="2">
        <f>=HYPERLINK("http://demo.enginatics.com:80/ecc/user/applications/log/57151.log","http://demo.enginatics.com:80/ecc/user/applications/log/57151.log")</f>
        <v>"http://demo.enginatics.com:80/ecc/user/applications/log/57151.log")</v>
      </c>
      <c r="U3072">
        <v>57153</v>
      </c>
      <c r="V3072" t="s">
        <v>196</v>
      </c>
      <c r="W3072" t="s">
        <v>50</v>
      </c>
      <c r="X3072">
        <v>0</v>
      </c>
      <c r="Y3072">
        <v>0</v>
      </c>
      <c r="Z3072" t="s">
        <v>2353</v>
      </c>
    </row>
    <row r="3073" spans="1:37" x14ac:dyDescent="0.2">
      <c r="A3073">
        <v>57147</v>
      </c>
      <c r="B3073" t="s">
        <v>37</v>
      </c>
      <c r="C3073" t="s">
        <v>38</v>
      </c>
      <c r="D3073" t="s">
        <v>169</v>
      </c>
      <c r="E3073" t="s">
        <v>201</v>
      </c>
      <c r="G3073" s="4">
        <v>43945.169178240741</v>
      </c>
      <c r="H3073" s="4">
        <v>43945.169189814815</v>
      </c>
      <c r="I3073" t="s">
        <v>50</v>
      </c>
      <c r="J3073" s="5">
        <v>.9999999999999999999999999999999999999996</v>
      </c>
      <c r="K3073" t="s">
        <v>38</v>
      </c>
      <c r="M3073">
        <v>57148</v>
      </c>
      <c r="N3073" t="s">
        <v>201</v>
      </c>
      <c r="O3073" t="s">
        <v>202</v>
      </c>
      <c r="P3073" t="s">
        <v>38</v>
      </c>
      <c r="Q3073" t="s">
        <v>50</v>
      </c>
      <c r="R3073">
        <v>.9999999999999999999999999999999999999996</v>
      </c>
      <c r="S3073" t="s">
        <v>45</v>
      </c>
      <c r="T3073" t="str" s="2">
        <f>=HYPERLINK("http://demo.enginatics.com:80/ecc/user/applications/log/57147.log","http://demo.enginatics.com:80/ecc/user/applications/log/57147.log")</f>
        <v>"http://demo.enginatics.com:80/ecc/user/applications/log/57147.log")</v>
      </c>
      <c r="U3073">
        <v>57149</v>
      </c>
      <c r="V3073" t="s">
        <v>38</v>
      </c>
      <c r="W3073" t="s">
        <v>50</v>
      </c>
      <c r="X3073">
        <v>.9999999999999999999999999999999999999996</v>
      </c>
      <c r="Y3073">
        <v>0</v>
      </c>
      <c r="Z3073" t="s">
        <v>46</v>
      </c>
      <c r="AA3073">
        <v>57150</v>
      </c>
      <c r="AB3073" t="s">
        <v>2354</v>
      </c>
      <c r="AC3073" t="s">
        <v>68</v>
      </c>
      <c r="AD3073" t="s">
        <v>38</v>
      </c>
      <c r="AE3073" t="s">
        <v>49</v>
      </c>
      <c r="AF3073" t="s">
        <v>50</v>
      </c>
      <c r="AG3073">
        <v>.9999999999999999999999999999999999999996</v>
      </c>
      <c r="AH3073">
        <v>0</v>
      </c>
      <c r="AI3073" t="s">
        <v>51</v>
      </c>
      <c r="AJ3073" t="s">
        <v>51</v>
      </c>
      <c r="AK3073" t="s">
        <v>51</v>
      </c>
    </row>
    <row r="3074" spans="1:37" x14ac:dyDescent="0.2">
      <c r="A3074">
        <v>57142</v>
      </c>
      <c r="B3074" t="s">
        <v>37</v>
      </c>
      <c r="C3074" t="s">
        <v>38</v>
      </c>
      <c r="D3074" t="s">
        <v>169</v>
      </c>
      <c r="E3074" t="s">
        <v>204</v>
      </c>
      <c r="G3074" s="4">
        <v>43945.16900462963</v>
      </c>
      <c r="H3074" s="4">
        <v>43945.169085648148</v>
      </c>
      <c r="I3074" t="s">
        <v>247</v>
      </c>
      <c r="J3074" s="5">
        <v>7</v>
      </c>
      <c r="K3074" t="s">
        <v>38</v>
      </c>
      <c r="M3074">
        <v>57143</v>
      </c>
      <c r="N3074" t="s">
        <v>204</v>
      </c>
      <c r="O3074" t="s">
        <v>205</v>
      </c>
      <c r="P3074" t="s">
        <v>38</v>
      </c>
      <c r="Q3074" t="s">
        <v>85</v>
      </c>
      <c r="R3074">
        <v>3</v>
      </c>
      <c r="S3074" t="s">
        <v>45</v>
      </c>
      <c r="T3074" t="str" s="2">
        <f>=HYPERLINK("http://demo.enginatics.com:80/ecc/user/applications/log/57142.log","http://demo.enginatics.com:80/ecc/user/applications/log/57142.log")</f>
        <v>"http://demo.enginatics.com:80/ecc/user/applications/log/57142.log")</v>
      </c>
      <c r="U3074">
        <v>57144</v>
      </c>
      <c r="V3074" t="s">
        <v>38</v>
      </c>
      <c r="W3074" t="s">
        <v>85</v>
      </c>
      <c r="X3074">
        <v>3</v>
      </c>
      <c r="Y3074">
        <v>1</v>
      </c>
      <c r="Z3074" t="s">
        <v>46</v>
      </c>
      <c r="AA3074">
        <v>57146</v>
      </c>
      <c r="AB3074" t="s">
        <v>206</v>
      </c>
      <c r="AC3074" t="s">
        <v>68</v>
      </c>
      <c r="AD3074" t="s">
        <v>38</v>
      </c>
      <c r="AE3074" t="s">
        <v>49</v>
      </c>
      <c r="AF3074" t="s">
        <v>50</v>
      </c>
      <c r="AG3074">
        <v>.9999999999999999999999999999999999999996</v>
      </c>
      <c r="AH3074">
        <v>0</v>
      </c>
      <c r="AI3074" t="s">
        <v>51</v>
      </c>
      <c r="AJ3074" t="s">
        <v>51</v>
      </c>
      <c r="AK3074" t="s">
        <v>51</v>
      </c>
    </row>
    <row r="3075" spans="1:37" x14ac:dyDescent="0.2">
      <c r="A3075">
        <v>57142</v>
      </c>
      <c r="B3075" t="s">
        <v>37</v>
      </c>
      <c r="C3075" t="s">
        <v>38</v>
      </c>
      <c r="D3075" t="s">
        <v>169</v>
      </c>
      <c r="E3075" t="s">
        <v>204</v>
      </c>
      <c r="G3075" s="4">
        <v>43945.16900462963</v>
      </c>
      <c r="H3075" s="4">
        <v>43945.169085648148</v>
      </c>
      <c r="I3075" t="s">
        <v>247</v>
      </c>
      <c r="J3075" s="5">
        <v>7</v>
      </c>
      <c r="K3075" t="s">
        <v>38</v>
      </c>
      <c r="M3075">
        <v>57143</v>
      </c>
      <c r="N3075" t="s">
        <v>204</v>
      </c>
      <c r="O3075" t="s">
        <v>205</v>
      </c>
      <c r="P3075" t="s">
        <v>38</v>
      </c>
      <c r="Q3075" t="s">
        <v>85</v>
      </c>
      <c r="R3075">
        <v>3</v>
      </c>
      <c r="S3075" t="s">
        <v>45</v>
      </c>
      <c r="T3075" t="str" s="2">
        <f>=HYPERLINK("http://demo.enginatics.com:80/ecc/user/applications/log/57142.log","http://demo.enginatics.com:80/ecc/user/applications/log/57142.log")</f>
        <v>"http://demo.enginatics.com:80/ecc/user/applications/log/57142.log")</v>
      </c>
      <c r="U3075">
        <v>57144</v>
      </c>
      <c r="V3075" t="s">
        <v>38</v>
      </c>
      <c r="W3075" t="s">
        <v>85</v>
      </c>
      <c r="X3075">
        <v>3</v>
      </c>
      <c r="Y3075">
        <v>1</v>
      </c>
      <c r="Z3075" t="s">
        <v>46</v>
      </c>
      <c r="AA3075">
        <v>57145</v>
      </c>
      <c r="AB3075" t="s">
        <v>207</v>
      </c>
      <c r="AC3075" t="s">
        <v>56</v>
      </c>
      <c r="AD3075" t="s">
        <v>38</v>
      </c>
      <c r="AE3075" t="s">
        <v>49</v>
      </c>
      <c r="AF3075" t="s">
        <v>50</v>
      </c>
      <c r="AG3075">
        <v>.9999999999999999999999999999999999999996</v>
      </c>
      <c r="AH3075">
        <v>1</v>
      </c>
      <c r="AI3075" t="s">
        <v>51</v>
      </c>
      <c r="AJ3075" t="s">
        <v>51</v>
      </c>
      <c r="AK3075" t="s">
        <v>51</v>
      </c>
    </row>
    <row r="3076" spans="1:37" x14ac:dyDescent="0.2">
      <c r="A3076">
        <v>57137</v>
      </c>
      <c r="B3076" t="s">
        <v>37</v>
      </c>
      <c r="C3076" t="s">
        <v>38</v>
      </c>
      <c r="D3076" t="s">
        <v>169</v>
      </c>
      <c r="E3076" t="s">
        <v>208</v>
      </c>
      <c r="G3076" s="4">
        <v>43945.168842592593</v>
      </c>
      <c r="H3076" s="4">
        <v>43945.168888888889</v>
      </c>
      <c r="I3076" t="s">
        <v>44</v>
      </c>
      <c r="J3076" s="5">
        <v>4</v>
      </c>
      <c r="K3076" t="s">
        <v>38</v>
      </c>
      <c r="M3076">
        <v>57138</v>
      </c>
      <c r="N3076" t="s">
        <v>208</v>
      </c>
      <c r="O3076" t="s">
        <v>209</v>
      </c>
      <c r="P3076" t="s">
        <v>38</v>
      </c>
      <c r="Q3076" t="s">
        <v>50</v>
      </c>
      <c r="R3076">
        <v>0</v>
      </c>
      <c r="S3076" t="s">
        <v>45</v>
      </c>
      <c r="T3076" t="str" s="2">
        <f>=HYPERLINK("http://demo.enginatics.com:80/ecc/user/applications/log/57137.log","http://demo.enginatics.com:80/ecc/user/applications/log/57137.log")</f>
        <v>"http://demo.enginatics.com:80/ecc/user/applications/log/57137.log")</v>
      </c>
      <c r="U3076">
        <v>57139</v>
      </c>
      <c r="V3076" t="s">
        <v>38</v>
      </c>
      <c r="W3076" t="s">
        <v>50</v>
      </c>
      <c r="X3076">
        <v>0</v>
      </c>
      <c r="Y3076">
        <v>0</v>
      </c>
      <c r="Z3076" t="s">
        <v>46</v>
      </c>
      <c r="AA3076">
        <v>57141</v>
      </c>
      <c r="AB3076" t="s">
        <v>210</v>
      </c>
      <c r="AC3076" t="s">
        <v>48</v>
      </c>
      <c r="AD3076" t="s">
        <v>38</v>
      </c>
      <c r="AE3076" t="s">
        <v>49</v>
      </c>
      <c r="AF3076" t="s">
        <v>50</v>
      </c>
      <c r="AG3076">
        <v>0</v>
      </c>
      <c r="AH3076">
        <v>0</v>
      </c>
      <c r="AI3076" t="s">
        <v>51</v>
      </c>
      <c r="AJ3076" t="s">
        <v>51</v>
      </c>
      <c r="AK3076" t="s">
        <v>51</v>
      </c>
    </row>
    <row r="3077" spans="1:37" x14ac:dyDescent="0.2">
      <c r="A3077">
        <v>57137</v>
      </c>
      <c r="B3077" t="s">
        <v>37</v>
      </c>
      <c r="C3077" t="s">
        <v>38</v>
      </c>
      <c r="D3077" t="s">
        <v>169</v>
      </c>
      <c r="E3077" t="s">
        <v>208</v>
      </c>
      <c r="G3077" s="4">
        <v>43945.168842592593</v>
      </c>
      <c r="H3077" s="4">
        <v>43945.168888888889</v>
      </c>
      <c r="I3077" t="s">
        <v>44</v>
      </c>
      <c r="J3077" s="5">
        <v>4</v>
      </c>
      <c r="K3077" t="s">
        <v>38</v>
      </c>
      <c r="M3077">
        <v>57138</v>
      </c>
      <c r="N3077" t="s">
        <v>208</v>
      </c>
      <c r="O3077" t="s">
        <v>209</v>
      </c>
      <c r="P3077" t="s">
        <v>38</v>
      </c>
      <c r="Q3077" t="s">
        <v>50</v>
      </c>
      <c r="R3077">
        <v>0</v>
      </c>
      <c r="S3077" t="s">
        <v>45</v>
      </c>
      <c r="T3077" t="str" s="2">
        <f>=HYPERLINK("http://demo.enginatics.com:80/ecc/user/applications/log/57137.log","http://demo.enginatics.com:80/ecc/user/applications/log/57137.log")</f>
        <v>"http://demo.enginatics.com:80/ecc/user/applications/log/57137.log")</v>
      </c>
      <c r="U3077">
        <v>57139</v>
      </c>
      <c r="V3077" t="s">
        <v>38</v>
      </c>
      <c r="W3077" t="s">
        <v>50</v>
      </c>
      <c r="X3077">
        <v>0</v>
      </c>
      <c r="Y3077">
        <v>0</v>
      </c>
      <c r="Z3077" t="s">
        <v>46</v>
      </c>
      <c r="AA3077">
        <v>57140</v>
      </c>
      <c r="AB3077" t="s">
        <v>211</v>
      </c>
      <c r="AC3077" t="s">
        <v>56</v>
      </c>
      <c r="AD3077" t="s">
        <v>38</v>
      </c>
      <c r="AE3077" t="s">
        <v>49</v>
      </c>
      <c r="AF3077" t="s">
        <v>50</v>
      </c>
      <c r="AG3077">
        <v>0</v>
      </c>
      <c r="AH3077">
        <v>0</v>
      </c>
      <c r="AI3077" t="s">
        <v>51</v>
      </c>
      <c r="AJ3077" t="s">
        <v>51</v>
      </c>
      <c r="AK3077" t="s">
        <v>51</v>
      </c>
    </row>
    <row r="3078" spans="1:37" x14ac:dyDescent="0.2">
      <c r="A3078">
        <v>57133</v>
      </c>
      <c r="B3078" t="s">
        <v>37</v>
      </c>
      <c r="C3078" t="s">
        <v>38</v>
      </c>
      <c r="D3078" t="s">
        <v>169</v>
      </c>
      <c r="E3078" t="s">
        <v>212</v>
      </c>
      <c r="G3078" s="4">
        <v>43945.168680555556</v>
      </c>
      <c r="H3078" s="4">
        <v>43945.16869212963</v>
      </c>
      <c r="I3078" t="s">
        <v>50</v>
      </c>
      <c r="J3078" s="5">
        <v>.9999999999999999999999999999999999999996</v>
      </c>
      <c r="K3078" t="s">
        <v>38</v>
      </c>
      <c r="M3078">
        <v>57134</v>
      </c>
      <c r="N3078" t="s">
        <v>212</v>
      </c>
      <c r="O3078" t="s">
        <v>213</v>
      </c>
      <c r="P3078" t="s">
        <v>38</v>
      </c>
      <c r="Q3078" t="s">
        <v>50</v>
      </c>
      <c r="R3078">
        <v>.9999999999999999999999999999999999999996</v>
      </c>
      <c r="S3078" t="s">
        <v>45</v>
      </c>
      <c r="T3078" t="str" s="2">
        <f>=HYPERLINK("http://demo.enginatics.com:80/ecc/user/applications/log/57133.log","http://demo.enginatics.com:80/ecc/user/applications/log/57133.log")</f>
        <v>"http://demo.enginatics.com:80/ecc/user/applications/log/57133.log")</v>
      </c>
      <c r="U3078">
        <v>57135</v>
      </c>
      <c r="V3078" t="s">
        <v>38</v>
      </c>
      <c r="W3078" t="s">
        <v>50</v>
      </c>
      <c r="X3078">
        <v>.9999999999999999999999999999999999999996</v>
      </c>
      <c r="Y3078">
        <v>0</v>
      </c>
      <c r="Z3078" t="s">
        <v>46</v>
      </c>
      <c r="AA3078">
        <v>57136</v>
      </c>
      <c r="AB3078" t="s">
        <v>2355</v>
      </c>
      <c r="AC3078" t="s">
        <v>68</v>
      </c>
      <c r="AD3078" t="s">
        <v>38</v>
      </c>
      <c r="AE3078" t="s">
        <v>49</v>
      </c>
      <c r="AF3078" t="s">
        <v>50</v>
      </c>
      <c r="AG3078">
        <v>0</v>
      </c>
      <c r="AH3078">
        <v>0</v>
      </c>
      <c r="AI3078" t="s">
        <v>51</v>
      </c>
      <c r="AJ3078" t="s">
        <v>51</v>
      </c>
      <c r="AK3078" t="s">
        <v>51</v>
      </c>
    </row>
    <row r="3079" spans="1:37" x14ac:dyDescent="0.2">
      <c r="A3079">
        <v>57129</v>
      </c>
      <c r="B3079" t="s">
        <v>37</v>
      </c>
      <c r="C3079" t="s">
        <v>38</v>
      </c>
      <c r="D3079" t="s">
        <v>169</v>
      </c>
      <c r="E3079" t="s">
        <v>223</v>
      </c>
      <c r="G3079" s="4">
        <v>43945.168611111111</v>
      </c>
      <c r="H3079" s="4">
        <v>43945.168622685185</v>
      </c>
      <c r="I3079" t="s">
        <v>50</v>
      </c>
      <c r="J3079" s="5">
        <v>.9999999999999999999999999999999999999996</v>
      </c>
      <c r="K3079" t="s">
        <v>38</v>
      </c>
      <c r="M3079">
        <v>57130</v>
      </c>
      <c r="N3079" t="s">
        <v>223</v>
      </c>
      <c r="O3079" t="s">
        <v>224</v>
      </c>
      <c r="P3079" t="s">
        <v>38</v>
      </c>
      <c r="Q3079" t="s">
        <v>50</v>
      </c>
      <c r="R3079">
        <v>.9999999999999999999999999999999999999996</v>
      </c>
      <c r="S3079" t="s">
        <v>45</v>
      </c>
      <c r="T3079" t="str" s="2">
        <f>=HYPERLINK("http://demo.enginatics.com:80/ecc/user/applications/log/57129.log","http://demo.enginatics.com:80/ecc/user/applications/log/57129.log")</f>
        <v>"http://demo.enginatics.com:80/ecc/user/applications/log/57129.log")</v>
      </c>
      <c r="U3079">
        <v>57131</v>
      </c>
      <c r="V3079" t="s">
        <v>38</v>
      </c>
      <c r="W3079" t="s">
        <v>50</v>
      </c>
      <c r="X3079">
        <v>0</v>
      </c>
      <c r="Y3079">
        <v>0</v>
      </c>
      <c r="Z3079" t="s">
        <v>46</v>
      </c>
      <c r="AA3079">
        <v>57132</v>
      </c>
      <c r="AB3079" t="s">
        <v>225</v>
      </c>
      <c r="AC3079" t="s">
        <v>68</v>
      </c>
      <c r="AD3079" t="s">
        <v>38</v>
      </c>
      <c r="AE3079" t="s">
        <v>49</v>
      </c>
      <c r="AF3079" t="s">
        <v>50</v>
      </c>
      <c r="AG3079">
        <v>0</v>
      </c>
      <c r="AH3079">
        <v>0</v>
      </c>
      <c r="AI3079" t="s">
        <v>51</v>
      </c>
      <c r="AJ3079" t="s">
        <v>51</v>
      </c>
      <c r="AK3079" t="s">
        <v>51</v>
      </c>
    </row>
    <row r="3080" spans="1:37" x14ac:dyDescent="0.2">
      <c r="A3080">
        <v>57124</v>
      </c>
      <c r="B3080" t="s">
        <v>37</v>
      </c>
      <c r="C3080" t="s">
        <v>38</v>
      </c>
      <c r="D3080" t="s">
        <v>169</v>
      </c>
      <c r="E3080" t="s">
        <v>215</v>
      </c>
      <c r="G3080" s="4">
        <v>43945.168530092593</v>
      </c>
      <c r="H3080" s="4">
        <v>43945.168541666667</v>
      </c>
      <c r="I3080" t="s">
        <v>50</v>
      </c>
      <c r="J3080" s="5">
        <v>.9999999999999999999999999999999999999996</v>
      </c>
      <c r="K3080" t="s">
        <v>38</v>
      </c>
      <c r="M3080">
        <v>57125</v>
      </c>
      <c r="N3080" t="s">
        <v>215</v>
      </c>
      <c r="O3080" t="s">
        <v>216</v>
      </c>
      <c r="P3080" t="s">
        <v>38</v>
      </c>
      <c r="Q3080" t="s">
        <v>50</v>
      </c>
      <c r="R3080">
        <v>.9999999999999999999999999999999999999996</v>
      </c>
      <c r="S3080" t="s">
        <v>45</v>
      </c>
      <c r="T3080" t="str" s="2">
        <f>=HYPERLINK("http://demo.enginatics.com:80/ecc/user/applications/log/57124.log","http://demo.enginatics.com:80/ecc/user/applications/log/57124.log")</f>
        <v>"http://demo.enginatics.com:80/ecc/user/applications/log/57124.log")</v>
      </c>
      <c r="U3080">
        <v>57126</v>
      </c>
      <c r="V3080" t="s">
        <v>38</v>
      </c>
      <c r="W3080" t="s">
        <v>50</v>
      </c>
      <c r="X3080">
        <v>.9999999999999999999999999999999999999996</v>
      </c>
      <c r="Y3080">
        <v>0</v>
      </c>
      <c r="Z3080" t="s">
        <v>46</v>
      </c>
      <c r="AA3080">
        <v>57128</v>
      </c>
      <c r="AB3080" t="s">
        <v>217</v>
      </c>
      <c r="AC3080" t="s">
        <v>48</v>
      </c>
      <c r="AD3080" t="s">
        <v>38</v>
      </c>
      <c r="AE3080" t="s">
        <v>49</v>
      </c>
      <c r="AF3080" t="s">
        <v>50</v>
      </c>
      <c r="AG3080">
        <v>0</v>
      </c>
      <c r="AH3080">
        <v>0</v>
      </c>
      <c r="AI3080" t="s">
        <v>51</v>
      </c>
      <c r="AJ3080" t="s">
        <v>51</v>
      </c>
      <c r="AK3080" t="s">
        <v>51</v>
      </c>
    </row>
    <row r="3081" spans="1:37" x14ac:dyDescent="0.2">
      <c r="A3081">
        <v>57124</v>
      </c>
      <c r="B3081" t="s">
        <v>37</v>
      </c>
      <c r="C3081" t="s">
        <v>38</v>
      </c>
      <c r="D3081" t="s">
        <v>169</v>
      </c>
      <c r="E3081" t="s">
        <v>215</v>
      </c>
      <c r="G3081" s="4">
        <v>43945.168530092593</v>
      </c>
      <c r="H3081" s="4">
        <v>43945.168541666667</v>
      </c>
      <c r="I3081" t="s">
        <v>50</v>
      </c>
      <c r="J3081" s="5">
        <v>.9999999999999999999999999999999999999996</v>
      </c>
      <c r="K3081" t="s">
        <v>38</v>
      </c>
      <c r="M3081">
        <v>57125</v>
      </c>
      <c r="N3081" t="s">
        <v>215</v>
      </c>
      <c r="O3081" t="s">
        <v>216</v>
      </c>
      <c r="P3081" t="s">
        <v>38</v>
      </c>
      <c r="Q3081" t="s">
        <v>50</v>
      </c>
      <c r="R3081">
        <v>.9999999999999999999999999999999999999996</v>
      </c>
      <c r="S3081" t="s">
        <v>45</v>
      </c>
      <c r="T3081" t="str" s="2">
        <f>=HYPERLINK("http://demo.enginatics.com:80/ecc/user/applications/log/57124.log","http://demo.enginatics.com:80/ecc/user/applications/log/57124.log")</f>
        <v>"http://demo.enginatics.com:80/ecc/user/applications/log/57124.log")</v>
      </c>
      <c r="U3081">
        <v>57126</v>
      </c>
      <c r="V3081" t="s">
        <v>38</v>
      </c>
      <c r="W3081" t="s">
        <v>50</v>
      </c>
      <c r="X3081">
        <v>.9999999999999999999999999999999999999996</v>
      </c>
      <c r="Y3081">
        <v>0</v>
      </c>
      <c r="Z3081" t="s">
        <v>46</v>
      </c>
      <c r="AA3081">
        <v>57127</v>
      </c>
      <c r="AB3081" t="s">
        <v>218</v>
      </c>
      <c r="AC3081" t="s">
        <v>56</v>
      </c>
      <c r="AD3081" t="s">
        <v>38</v>
      </c>
      <c r="AE3081" t="s">
        <v>49</v>
      </c>
      <c r="AF3081" t="s">
        <v>50</v>
      </c>
      <c r="AG3081">
        <v>0</v>
      </c>
      <c r="AH3081">
        <v>0</v>
      </c>
      <c r="AI3081" t="s">
        <v>51</v>
      </c>
      <c r="AJ3081" t="s">
        <v>51</v>
      </c>
      <c r="AK3081" t="s">
        <v>51</v>
      </c>
    </row>
    <row r="3082" spans="1:37" x14ac:dyDescent="0.2">
      <c r="A3082">
        <v>57120</v>
      </c>
      <c r="B3082" t="s">
        <v>37</v>
      </c>
      <c r="C3082" t="s">
        <v>38</v>
      </c>
      <c r="D3082" t="s">
        <v>169</v>
      </c>
      <c r="E3082" t="s">
        <v>226</v>
      </c>
      <c r="G3082" s="4">
        <v>43945.168483796296</v>
      </c>
      <c r="H3082" s="4">
        <v>43945.16849537037</v>
      </c>
      <c r="I3082" t="s">
        <v>50</v>
      </c>
      <c r="J3082" s="5">
        <v>.9999999999999999999999999999999999999996</v>
      </c>
      <c r="K3082" t="s">
        <v>38</v>
      </c>
      <c r="M3082">
        <v>57121</v>
      </c>
      <c r="N3082" t="s">
        <v>226</v>
      </c>
      <c r="O3082" t="s">
        <v>227</v>
      </c>
      <c r="P3082" t="s">
        <v>38</v>
      </c>
      <c r="Q3082" t="s">
        <v>50</v>
      </c>
      <c r="R3082">
        <v>.9999999999999999999999999999999999999996</v>
      </c>
      <c r="S3082" t="s">
        <v>45</v>
      </c>
      <c r="T3082" t="str" s="2">
        <f>=HYPERLINK("http://demo.enginatics.com:80/ecc/user/applications/log/57120.log","http://demo.enginatics.com:80/ecc/user/applications/log/57120.log")</f>
        <v>"http://demo.enginatics.com:80/ecc/user/applications/log/57120.log")</v>
      </c>
      <c r="U3082">
        <v>57122</v>
      </c>
      <c r="V3082" t="s">
        <v>38</v>
      </c>
      <c r="W3082" t="s">
        <v>50</v>
      </c>
      <c r="X3082">
        <v>.9999999999999999999999999999999999999996</v>
      </c>
      <c r="Y3082">
        <v>0</v>
      </c>
      <c r="Z3082" t="s">
        <v>46</v>
      </c>
      <c r="AA3082">
        <v>57123</v>
      </c>
      <c r="AB3082" t="s">
        <v>228</v>
      </c>
      <c r="AC3082" t="s">
        <v>68</v>
      </c>
      <c r="AD3082" t="s">
        <v>38</v>
      </c>
      <c r="AE3082" t="s">
        <v>49</v>
      </c>
      <c r="AF3082" t="s">
        <v>50</v>
      </c>
      <c r="AG3082">
        <v>0</v>
      </c>
      <c r="AH3082">
        <v>0</v>
      </c>
      <c r="AI3082" t="s">
        <v>51</v>
      </c>
      <c r="AJ3082" t="s">
        <v>51</v>
      </c>
      <c r="AK3082" t="s">
        <v>51</v>
      </c>
    </row>
    <row r="3083" spans="1:37" x14ac:dyDescent="0.2">
      <c r="A3083">
        <v>57114</v>
      </c>
      <c r="B3083" t="s">
        <v>37</v>
      </c>
      <c r="C3083" t="s">
        <v>38</v>
      </c>
      <c r="D3083" t="s">
        <v>169</v>
      </c>
      <c r="E3083" t="s">
        <v>246</v>
      </c>
      <c r="G3083" s="4">
        <v>43945.16837962963</v>
      </c>
      <c r="H3083" s="4">
        <v>43945.168460648148</v>
      </c>
      <c r="I3083" t="s">
        <v>247</v>
      </c>
      <c r="J3083" s="5">
        <v>7</v>
      </c>
      <c r="K3083" t="s">
        <v>38</v>
      </c>
      <c r="M3083">
        <v>57115</v>
      </c>
      <c r="N3083" t="s">
        <v>246</v>
      </c>
      <c r="O3083" t="s">
        <v>248</v>
      </c>
      <c r="P3083" t="s">
        <v>38</v>
      </c>
      <c r="Q3083" t="s">
        <v>247</v>
      </c>
      <c r="R3083">
        <v>7</v>
      </c>
      <c r="S3083" t="s">
        <v>45</v>
      </c>
      <c r="T3083" t="str" s="2">
        <f>=HYPERLINK("http://demo.enginatics.com:80/ecc/user/applications/log/57114.log","http://demo.enginatics.com:80/ecc/user/applications/log/57114.log")</f>
        <v>"http://demo.enginatics.com:80/ecc/user/applications/log/57114.log")</v>
      </c>
      <c r="U3083">
        <v>57116</v>
      </c>
      <c r="V3083" t="s">
        <v>38</v>
      </c>
      <c r="W3083" t="s">
        <v>75</v>
      </c>
      <c r="X3083">
        <v>6</v>
      </c>
      <c r="Y3083">
        <v>6</v>
      </c>
      <c r="Z3083" t="s">
        <v>46</v>
      </c>
      <c r="AA3083">
        <v>57119</v>
      </c>
      <c r="AB3083" t="s">
        <v>249</v>
      </c>
      <c r="AC3083" t="s">
        <v>68</v>
      </c>
      <c r="AD3083" t="s">
        <v>38</v>
      </c>
      <c r="AE3083" t="s">
        <v>49</v>
      </c>
      <c r="AF3083" t="s">
        <v>50</v>
      </c>
      <c r="AG3083">
        <v>0</v>
      </c>
      <c r="AH3083">
        <v>0</v>
      </c>
      <c r="AI3083" t="s">
        <v>51</v>
      </c>
      <c r="AJ3083" t="s">
        <v>51</v>
      </c>
      <c r="AK3083" t="s">
        <v>51</v>
      </c>
    </row>
    <row r="3084" spans="1:37" x14ac:dyDescent="0.2">
      <c r="A3084">
        <v>57110</v>
      </c>
      <c r="B3084" t="s">
        <v>37</v>
      </c>
      <c r="C3084" t="s">
        <v>38</v>
      </c>
      <c r="D3084" t="s">
        <v>169</v>
      </c>
      <c r="E3084" t="s">
        <v>229</v>
      </c>
      <c r="G3084" s="4">
        <v>43945.168356481481</v>
      </c>
      <c r="H3084" s="4">
        <v>43945.168368055556</v>
      </c>
      <c r="I3084" t="s">
        <v>50</v>
      </c>
      <c r="J3084" s="5">
        <v>.9999999999999999999999999999999999999996</v>
      </c>
      <c r="K3084" t="s">
        <v>38</v>
      </c>
      <c r="M3084">
        <v>57111</v>
      </c>
      <c r="N3084" t="s">
        <v>229</v>
      </c>
      <c r="O3084" t="s">
        <v>230</v>
      </c>
      <c r="P3084" t="s">
        <v>38</v>
      </c>
      <c r="Q3084" t="s">
        <v>50</v>
      </c>
      <c r="R3084">
        <v>.9999999999999999999999999999999999999996</v>
      </c>
      <c r="S3084" t="s">
        <v>45</v>
      </c>
      <c r="T3084" t="str" s="2">
        <f>=HYPERLINK("http://demo.enginatics.com:80/ecc/user/applications/log/57110.log","http://demo.enginatics.com:80/ecc/user/applications/log/57110.log")</f>
        <v>"http://demo.enginatics.com:80/ecc/user/applications/log/57110.log")</v>
      </c>
      <c r="U3084">
        <v>57112</v>
      </c>
      <c r="V3084" t="s">
        <v>38</v>
      </c>
      <c r="W3084" t="s">
        <v>50</v>
      </c>
      <c r="X3084">
        <v>.9999999999999999999999999999999999999996</v>
      </c>
      <c r="Y3084">
        <v>0</v>
      </c>
      <c r="Z3084" t="s">
        <v>46</v>
      </c>
      <c r="AA3084">
        <v>57113</v>
      </c>
      <c r="AB3084" t="s">
        <v>231</v>
      </c>
      <c r="AC3084" t="s">
        <v>68</v>
      </c>
      <c r="AD3084" t="s">
        <v>38</v>
      </c>
      <c r="AE3084" t="s">
        <v>49</v>
      </c>
      <c r="AF3084" t="s">
        <v>50</v>
      </c>
      <c r="AG3084">
        <v>0</v>
      </c>
      <c r="AH3084">
        <v>0</v>
      </c>
      <c r="AI3084" t="s">
        <v>51</v>
      </c>
      <c r="AJ3084" t="s">
        <v>51</v>
      </c>
      <c r="AK3084" t="s">
        <v>51</v>
      </c>
    </row>
    <row r="3085" spans="1:37" x14ac:dyDescent="0.2">
      <c r="A3085">
        <v>57105</v>
      </c>
      <c r="B3085" t="s">
        <v>37</v>
      </c>
      <c r="C3085" t="s">
        <v>38</v>
      </c>
      <c r="D3085" t="s">
        <v>169</v>
      </c>
      <c r="E3085" t="s">
        <v>232</v>
      </c>
      <c r="G3085" s="4">
        <v>43945.168217592593</v>
      </c>
      <c r="H3085" s="4">
        <v>43945.168252314815</v>
      </c>
      <c r="I3085" t="s">
        <v>85</v>
      </c>
      <c r="J3085" s="5">
        <v>3</v>
      </c>
      <c r="K3085" t="s">
        <v>38</v>
      </c>
      <c r="M3085">
        <v>57107</v>
      </c>
      <c r="N3085" t="s">
        <v>232</v>
      </c>
      <c r="O3085" t="s">
        <v>233</v>
      </c>
      <c r="P3085" t="s">
        <v>38</v>
      </c>
      <c r="Q3085" t="s">
        <v>50</v>
      </c>
      <c r="R3085">
        <v>0</v>
      </c>
      <c r="S3085" t="s">
        <v>45</v>
      </c>
      <c r="T3085" t="str" s="2">
        <f>=HYPERLINK("http://demo.enginatics.com:80/ecc/user/applications/log/57105.log","http://demo.enginatics.com:80/ecc/user/applications/log/57105.log")</f>
        <v>"http://demo.enginatics.com:80/ecc/user/applications/log/57105.log")</v>
      </c>
      <c r="U3085">
        <v>57108</v>
      </c>
      <c r="V3085" t="s">
        <v>38</v>
      </c>
      <c r="W3085" t="s">
        <v>50</v>
      </c>
      <c r="X3085">
        <v>0</v>
      </c>
      <c r="Y3085">
        <v>0</v>
      </c>
      <c r="Z3085" t="s">
        <v>46</v>
      </c>
      <c r="AA3085">
        <v>57109</v>
      </c>
      <c r="AB3085" t="s">
        <v>234</v>
      </c>
      <c r="AC3085" t="s">
        <v>68</v>
      </c>
      <c r="AD3085" t="s">
        <v>38</v>
      </c>
      <c r="AE3085" t="s">
        <v>49</v>
      </c>
      <c r="AF3085" t="s">
        <v>50</v>
      </c>
      <c r="AG3085">
        <v>0</v>
      </c>
      <c r="AH3085">
        <v>0</v>
      </c>
      <c r="AI3085" t="s">
        <v>51</v>
      </c>
      <c r="AJ3085" t="s">
        <v>51</v>
      </c>
      <c r="AK3085" t="s">
        <v>51</v>
      </c>
    </row>
    <row r="3086" spans="1:37" x14ac:dyDescent="0.2">
      <c r="A3086">
        <v>57102</v>
      </c>
      <c r="B3086" t="s">
        <v>37</v>
      </c>
      <c r="C3086" t="s">
        <v>38</v>
      </c>
      <c r="D3086" t="s">
        <v>169</v>
      </c>
      <c r="E3086" t="s">
        <v>250</v>
      </c>
      <c r="G3086" s="4">
        <v>43945.168171296296</v>
      </c>
      <c r="H3086" s="4">
        <v>43945.168240740741</v>
      </c>
      <c r="I3086" t="s">
        <v>75</v>
      </c>
      <c r="J3086" s="5">
        <v>6</v>
      </c>
      <c r="K3086" t="s">
        <v>38</v>
      </c>
      <c r="M3086">
        <v>57103</v>
      </c>
      <c r="N3086" t="s">
        <v>250</v>
      </c>
      <c r="O3086" t="s">
        <v>251</v>
      </c>
      <c r="P3086" t="s">
        <v>38</v>
      </c>
      <c r="Q3086" t="s">
        <v>75</v>
      </c>
      <c r="R3086">
        <v>6</v>
      </c>
      <c r="S3086" t="s">
        <v>45</v>
      </c>
      <c r="T3086" t="str" s="2">
        <f>=HYPERLINK("http://demo.enginatics.com:80/ecc/user/applications/log/57102.log","http://demo.enginatics.com:80/ecc/user/applications/log/57102.log")</f>
        <v>"http://demo.enginatics.com:80/ecc/user/applications/log/57102.log")</v>
      </c>
      <c r="U3086">
        <v>57104</v>
      </c>
      <c r="V3086" t="s">
        <v>38</v>
      </c>
      <c r="W3086" t="s">
        <v>75</v>
      </c>
      <c r="X3086">
        <v>6</v>
      </c>
      <c r="Y3086">
        <v>3</v>
      </c>
      <c r="Z3086" t="s">
        <v>46</v>
      </c>
      <c r="AA3086">
        <v>57106</v>
      </c>
      <c r="AB3086" t="s">
        <v>252</v>
      </c>
      <c r="AC3086" t="s">
        <v>68</v>
      </c>
      <c r="AD3086" t="s">
        <v>38</v>
      </c>
      <c r="AE3086" t="s">
        <v>49</v>
      </c>
      <c r="AF3086" t="s">
        <v>50</v>
      </c>
      <c r="AG3086">
        <v>0</v>
      </c>
      <c r="AH3086">
        <v>0</v>
      </c>
      <c r="AI3086" t="s">
        <v>51</v>
      </c>
      <c r="AJ3086" t="s">
        <v>51</v>
      </c>
      <c r="AK3086" t="s">
        <v>51</v>
      </c>
    </row>
    <row r="3087" spans="1:37" x14ac:dyDescent="0.2">
      <c r="A3087">
        <v>57099</v>
      </c>
      <c r="B3087" t="s">
        <v>37</v>
      </c>
      <c r="C3087" t="s">
        <v>38</v>
      </c>
      <c r="D3087" t="s">
        <v>169</v>
      </c>
      <c r="E3087" t="s">
        <v>219</v>
      </c>
      <c r="G3087" s="4">
        <v>43945.168148148148</v>
      </c>
      <c r="H3087" s="4">
        <v>43945.168425925926</v>
      </c>
      <c r="I3087" t="s">
        <v>1153</v>
      </c>
      <c r="J3087" s="5">
        <v>24.00000000000000000000000000000000000002</v>
      </c>
      <c r="K3087" t="s">
        <v>38</v>
      </c>
      <c r="M3087">
        <v>57100</v>
      </c>
      <c r="N3087" t="s">
        <v>219</v>
      </c>
      <c r="O3087" t="s">
        <v>220</v>
      </c>
      <c r="P3087" t="s">
        <v>38</v>
      </c>
      <c r="Q3087" t="s">
        <v>1153</v>
      </c>
      <c r="R3087">
        <v>24.00000000000000000000000000000000000002</v>
      </c>
      <c r="S3087" t="s">
        <v>45</v>
      </c>
      <c r="T3087" t="str" s="2">
        <f>=HYPERLINK("http://demo.enginatics.com:80/ecc/user/applications/log/57099.log","http://demo.enginatics.com:80/ecc/user/applications/log/57099.log")</f>
        <v>"http://demo.enginatics.com:80/ecc/user/applications/log/57099.log")</v>
      </c>
      <c r="U3087">
        <v>57101</v>
      </c>
      <c r="V3087" t="s">
        <v>38</v>
      </c>
      <c r="W3087" t="s">
        <v>1153</v>
      </c>
      <c r="X3087">
        <v>24.00000000000000000000000000000000000002</v>
      </c>
      <c r="Y3087">
        <v>22</v>
      </c>
      <c r="Z3087" t="s">
        <v>46</v>
      </c>
      <c r="AA3087">
        <v>57118</v>
      </c>
      <c r="AB3087" t="s">
        <v>221</v>
      </c>
      <c r="AC3087" t="s">
        <v>48</v>
      </c>
      <c r="AD3087" t="s">
        <v>38</v>
      </c>
      <c r="AE3087" t="s">
        <v>49</v>
      </c>
      <c r="AF3087" t="s">
        <v>50</v>
      </c>
      <c r="AG3087">
        <v>.9999999999999999999999999999999999999996</v>
      </c>
      <c r="AH3087">
        <v>0</v>
      </c>
      <c r="AI3087" t="s">
        <v>51</v>
      </c>
      <c r="AJ3087" t="s">
        <v>51</v>
      </c>
      <c r="AK3087" t="s">
        <v>51</v>
      </c>
    </row>
    <row r="3088" spans="1:37" x14ac:dyDescent="0.2">
      <c r="A3088">
        <v>57099</v>
      </c>
      <c r="B3088" t="s">
        <v>37</v>
      </c>
      <c r="C3088" t="s">
        <v>38</v>
      </c>
      <c r="D3088" t="s">
        <v>169</v>
      </c>
      <c r="E3088" t="s">
        <v>219</v>
      </c>
      <c r="G3088" s="4">
        <v>43945.168148148148</v>
      </c>
      <c r="H3088" s="4">
        <v>43945.168425925926</v>
      </c>
      <c r="I3088" t="s">
        <v>1153</v>
      </c>
      <c r="J3088" s="5">
        <v>24.00000000000000000000000000000000000002</v>
      </c>
      <c r="K3088" t="s">
        <v>38</v>
      </c>
      <c r="M3088">
        <v>57100</v>
      </c>
      <c r="N3088" t="s">
        <v>219</v>
      </c>
      <c r="O3088" t="s">
        <v>220</v>
      </c>
      <c r="P3088" t="s">
        <v>38</v>
      </c>
      <c r="Q3088" t="s">
        <v>1153</v>
      </c>
      <c r="R3088">
        <v>24.00000000000000000000000000000000000002</v>
      </c>
      <c r="S3088" t="s">
        <v>45</v>
      </c>
      <c r="T3088" t="str" s="2">
        <f>=HYPERLINK("http://demo.enginatics.com:80/ecc/user/applications/log/57099.log","http://demo.enginatics.com:80/ecc/user/applications/log/57099.log")</f>
        <v>"http://demo.enginatics.com:80/ecc/user/applications/log/57099.log")</v>
      </c>
      <c r="U3088">
        <v>57101</v>
      </c>
      <c r="V3088" t="s">
        <v>38</v>
      </c>
      <c r="W3088" t="s">
        <v>1153</v>
      </c>
      <c r="X3088">
        <v>24.00000000000000000000000000000000000002</v>
      </c>
      <c r="Y3088">
        <v>22</v>
      </c>
      <c r="Z3088" t="s">
        <v>46</v>
      </c>
      <c r="AA3088">
        <v>57117</v>
      </c>
      <c r="AB3088" t="s">
        <v>222</v>
      </c>
      <c r="AC3088" t="s">
        <v>56</v>
      </c>
      <c r="AD3088" t="s">
        <v>38</v>
      </c>
      <c r="AE3088" t="s">
        <v>49</v>
      </c>
      <c r="AF3088" t="s">
        <v>50</v>
      </c>
      <c r="AG3088">
        <v>0</v>
      </c>
      <c r="AH3088">
        <v>0</v>
      </c>
      <c r="AI3088" t="s">
        <v>51</v>
      </c>
      <c r="AJ3088" t="s">
        <v>51</v>
      </c>
      <c r="AK3088" t="s">
        <v>51</v>
      </c>
    </row>
    <row r="3089" spans="1:37" x14ac:dyDescent="0.2">
      <c r="A3089">
        <v>57095</v>
      </c>
      <c r="B3089" t="s">
        <v>37</v>
      </c>
      <c r="C3089" t="s">
        <v>38</v>
      </c>
      <c r="D3089" t="s">
        <v>169</v>
      </c>
      <c r="E3089" t="s">
        <v>235</v>
      </c>
      <c r="G3089" s="4">
        <v>43945.167905092593</v>
      </c>
      <c r="H3089" s="4">
        <v>43945.167974537037</v>
      </c>
      <c r="I3089" t="s">
        <v>75</v>
      </c>
      <c r="J3089" s="5">
        <v>6</v>
      </c>
      <c r="K3089" t="s">
        <v>38</v>
      </c>
      <c r="M3089">
        <v>57096</v>
      </c>
      <c r="N3089" t="s">
        <v>235</v>
      </c>
      <c r="O3089" t="s">
        <v>237</v>
      </c>
      <c r="P3089" t="s">
        <v>38</v>
      </c>
      <c r="Q3089" t="s">
        <v>75</v>
      </c>
      <c r="R3089">
        <v>6</v>
      </c>
      <c r="S3089" t="s">
        <v>45</v>
      </c>
      <c r="T3089" t="str" s="2">
        <f>=HYPERLINK("http://demo.enginatics.com:80/ecc/user/applications/log/57095.log","http://demo.enginatics.com:80/ecc/user/applications/log/57095.log")</f>
        <v>"http://demo.enginatics.com:80/ecc/user/applications/log/57095.log")</v>
      </c>
      <c r="U3089">
        <v>57097</v>
      </c>
      <c r="V3089" t="s">
        <v>38</v>
      </c>
      <c r="W3089" t="s">
        <v>78</v>
      </c>
      <c r="X3089">
        <v>5</v>
      </c>
      <c r="Y3089">
        <v>0</v>
      </c>
      <c r="Z3089" t="s">
        <v>46</v>
      </c>
      <c r="AA3089">
        <v>57098</v>
      </c>
      <c r="AB3089" t="s">
        <v>239</v>
      </c>
      <c r="AC3089" t="s">
        <v>68</v>
      </c>
      <c r="AD3089" t="s">
        <v>38</v>
      </c>
      <c r="AE3089" t="s">
        <v>240</v>
      </c>
      <c r="AF3089" t="s">
        <v>44</v>
      </c>
      <c r="AG3089">
        <v>4</v>
      </c>
      <c r="AH3089">
        <v>0</v>
      </c>
      <c r="AI3089" t="s">
        <v>241</v>
      </c>
      <c r="AJ3089" t="s">
        <v>51</v>
      </c>
      <c r="AK3089" t="s">
        <v>241</v>
      </c>
    </row>
    <row r="3090" spans="1:37" x14ac:dyDescent="0.2">
      <c r="A3090">
        <v>57090</v>
      </c>
      <c r="B3090" t="s">
        <v>37</v>
      </c>
      <c r="C3090" t="s">
        <v>38</v>
      </c>
      <c r="D3090" t="s">
        <v>169</v>
      </c>
      <c r="E3090" t="s">
        <v>242</v>
      </c>
      <c r="G3090" s="4">
        <v>43945.167800925926</v>
      </c>
      <c r="H3090" s="4">
        <v>43945.1678125</v>
      </c>
      <c r="I3090" t="s">
        <v>50</v>
      </c>
      <c r="J3090" s="5">
        <v>.9999999999999999999999999999999999999996</v>
      </c>
      <c r="K3090" t="s">
        <v>38</v>
      </c>
      <c r="M3090">
        <v>57091</v>
      </c>
      <c r="N3090" t="s">
        <v>242</v>
      </c>
      <c r="O3090" t="s">
        <v>243</v>
      </c>
      <c r="P3090" t="s">
        <v>38</v>
      </c>
      <c r="Q3090" t="s">
        <v>50</v>
      </c>
      <c r="R3090">
        <v>.9999999999999999999999999999999999999996</v>
      </c>
      <c r="S3090" t="s">
        <v>45</v>
      </c>
      <c r="T3090" t="str" s="2">
        <f>=HYPERLINK("http://demo.enginatics.com:80/ecc/user/applications/log/57090.log","http://demo.enginatics.com:80/ecc/user/applications/log/57090.log")</f>
        <v>"http://demo.enginatics.com:80/ecc/user/applications/log/57090.log")</v>
      </c>
      <c r="U3090">
        <v>57092</v>
      </c>
      <c r="V3090" t="s">
        <v>38</v>
      </c>
      <c r="W3090" t="s">
        <v>50</v>
      </c>
      <c r="X3090">
        <v>.9999999999999999999999999999999999999996</v>
      </c>
      <c r="Y3090">
        <v>0</v>
      </c>
      <c r="Z3090" t="s">
        <v>46</v>
      </c>
      <c r="AA3090">
        <v>57094</v>
      </c>
      <c r="AB3090" t="s">
        <v>244</v>
      </c>
      <c r="AC3090" t="s">
        <v>56</v>
      </c>
      <c r="AD3090" t="s">
        <v>38</v>
      </c>
      <c r="AE3090" t="s">
        <v>49</v>
      </c>
      <c r="AF3090" t="s">
        <v>50</v>
      </c>
      <c r="AG3090">
        <v>0</v>
      </c>
      <c r="AH3090">
        <v>0</v>
      </c>
      <c r="AI3090" t="s">
        <v>51</v>
      </c>
      <c r="AJ3090" t="s">
        <v>51</v>
      </c>
      <c r="AK3090" t="s">
        <v>51</v>
      </c>
    </row>
    <row r="3091" spans="1:37" x14ac:dyDescent="0.2">
      <c r="A3091">
        <v>57090</v>
      </c>
      <c r="B3091" t="s">
        <v>37</v>
      </c>
      <c r="C3091" t="s">
        <v>38</v>
      </c>
      <c r="D3091" t="s">
        <v>169</v>
      </c>
      <c r="E3091" t="s">
        <v>242</v>
      </c>
      <c r="G3091" s="4">
        <v>43945.167800925926</v>
      </c>
      <c r="H3091" s="4">
        <v>43945.1678125</v>
      </c>
      <c r="I3091" t="s">
        <v>50</v>
      </c>
      <c r="J3091" s="5">
        <v>.9999999999999999999999999999999999999996</v>
      </c>
      <c r="K3091" t="s">
        <v>38</v>
      </c>
      <c r="M3091">
        <v>57091</v>
      </c>
      <c r="N3091" t="s">
        <v>242</v>
      </c>
      <c r="O3091" t="s">
        <v>243</v>
      </c>
      <c r="P3091" t="s">
        <v>38</v>
      </c>
      <c r="Q3091" t="s">
        <v>50</v>
      </c>
      <c r="R3091">
        <v>.9999999999999999999999999999999999999996</v>
      </c>
      <c r="S3091" t="s">
        <v>45</v>
      </c>
      <c r="T3091" t="str" s="2">
        <f>=HYPERLINK("http://demo.enginatics.com:80/ecc/user/applications/log/57090.log","http://demo.enginatics.com:80/ecc/user/applications/log/57090.log")</f>
        <v>"http://demo.enginatics.com:80/ecc/user/applications/log/57090.log")</v>
      </c>
      <c r="U3091">
        <v>57092</v>
      </c>
      <c r="V3091" t="s">
        <v>38</v>
      </c>
      <c r="W3091" t="s">
        <v>50</v>
      </c>
      <c r="X3091">
        <v>.9999999999999999999999999999999999999996</v>
      </c>
      <c r="Y3091">
        <v>0</v>
      </c>
      <c r="Z3091" t="s">
        <v>46</v>
      </c>
      <c r="AA3091">
        <v>57093</v>
      </c>
      <c r="AB3091" t="s">
        <v>245</v>
      </c>
      <c r="AC3091" t="s">
        <v>68</v>
      </c>
      <c r="AD3091" t="s">
        <v>38</v>
      </c>
      <c r="AE3091" t="s">
        <v>49</v>
      </c>
      <c r="AF3091" t="s">
        <v>50</v>
      </c>
      <c r="AG3091">
        <v>0</v>
      </c>
      <c r="AH3091">
        <v>0</v>
      </c>
      <c r="AI3091" t="s">
        <v>51</v>
      </c>
      <c r="AJ3091" t="s">
        <v>51</v>
      </c>
      <c r="AK3091" t="s">
        <v>51</v>
      </c>
    </row>
    <row r="3092" spans="1:37" x14ac:dyDescent="0.2">
      <c r="A3092">
        <v>57065</v>
      </c>
      <c r="B3092" t="s">
        <v>37</v>
      </c>
      <c r="C3092" t="s">
        <v>38</v>
      </c>
      <c r="D3092" t="s">
        <v>270</v>
      </c>
      <c r="E3092" t="s">
        <v>40</v>
      </c>
      <c r="G3092" s="4">
        <v>43945.164490740741</v>
      </c>
      <c r="H3092" s="4">
        <v>43945.164571759259</v>
      </c>
      <c r="I3092" t="s">
        <v>247</v>
      </c>
      <c r="J3092" s="5">
        <v>7</v>
      </c>
      <c r="K3092" t="s">
        <v>38</v>
      </c>
      <c r="M3092">
        <v>57087</v>
      </c>
      <c r="N3092" t="s">
        <v>271</v>
      </c>
      <c r="O3092" t="s">
        <v>272</v>
      </c>
      <c r="P3092" t="s">
        <v>38</v>
      </c>
      <c r="Q3092" t="s">
        <v>50</v>
      </c>
      <c r="R3092">
        <v>0</v>
      </c>
      <c r="S3092" t="s">
        <v>45</v>
      </c>
      <c r="T3092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2">
        <v>57088</v>
      </c>
      <c r="V3092" t="s">
        <v>38</v>
      </c>
      <c r="W3092" t="s">
        <v>50</v>
      </c>
      <c r="X3092">
        <v>0</v>
      </c>
      <c r="Y3092">
        <v>0</v>
      </c>
      <c r="Z3092" t="s">
        <v>46</v>
      </c>
      <c r="AA3092">
        <v>57089</v>
      </c>
      <c r="AB3092" t="s">
        <v>273</v>
      </c>
      <c r="AC3092" t="s">
        <v>68</v>
      </c>
      <c r="AD3092" t="s">
        <v>38</v>
      </c>
      <c r="AE3092" t="s">
        <v>49</v>
      </c>
      <c r="AF3092" t="s">
        <v>50</v>
      </c>
      <c r="AG3092">
        <v>0</v>
      </c>
      <c r="AH3092">
        <v>0</v>
      </c>
      <c r="AI3092" t="s">
        <v>51</v>
      </c>
      <c r="AJ3092" t="s">
        <v>51</v>
      </c>
      <c r="AK3092" t="s">
        <v>51</v>
      </c>
    </row>
    <row r="3093" spans="1:37" x14ac:dyDescent="0.2">
      <c r="A3093">
        <v>57065</v>
      </c>
      <c r="B3093" t="s">
        <v>37</v>
      </c>
      <c r="C3093" t="s">
        <v>38</v>
      </c>
      <c r="D3093" t="s">
        <v>270</v>
      </c>
      <c r="E3093" t="s">
        <v>40</v>
      </c>
      <c r="G3093" s="4">
        <v>43945.164490740741</v>
      </c>
      <c r="H3093" s="4">
        <v>43945.164571759259</v>
      </c>
      <c r="I3093" t="s">
        <v>247</v>
      </c>
      <c r="J3093" s="5">
        <v>7</v>
      </c>
      <c r="K3093" t="s">
        <v>38</v>
      </c>
      <c r="M3093">
        <v>57084</v>
      </c>
      <c r="N3093" t="s">
        <v>274</v>
      </c>
      <c r="O3093" t="s">
        <v>275</v>
      </c>
      <c r="P3093" t="s">
        <v>38</v>
      </c>
      <c r="Q3093" t="s">
        <v>50</v>
      </c>
      <c r="R3093">
        <v>0</v>
      </c>
      <c r="S3093" t="s">
        <v>45</v>
      </c>
      <c r="T3093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3">
        <v>57085</v>
      </c>
      <c r="V3093" t="s">
        <v>38</v>
      </c>
      <c r="W3093" t="s">
        <v>50</v>
      </c>
      <c r="X3093">
        <v>0</v>
      </c>
      <c r="Y3093">
        <v>0</v>
      </c>
      <c r="Z3093" t="s">
        <v>46</v>
      </c>
      <c r="AA3093">
        <v>57086</v>
      </c>
      <c r="AB3093" t="s">
        <v>276</v>
      </c>
      <c r="AC3093" t="s">
        <v>68</v>
      </c>
      <c r="AD3093" t="s">
        <v>38</v>
      </c>
      <c r="AE3093" t="s">
        <v>49</v>
      </c>
      <c r="AF3093" t="s">
        <v>50</v>
      </c>
      <c r="AG3093">
        <v>0</v>
      </c>
      <c r="AH3093">
        <v>0</v>
      </c>
      <c r="AI3093" t="s">
        <v>51</v>
      </c>
      <c r="AJ3093" t="s">
        <v>51</v>
      </c>
      <c r="AK3093" t="s">
        <v>51</v>
      </c>
    </row>
    <row r="3094" spans="1:37" x14ac:dyDescent="0.2">
      <c r="A3094">
        <v>57065</v>
      </c>
      <c r="B3094" t="s">
        <v>37</v>
      </c>
      <c r="C3094" t="s">
        <v>38</v>
      </c>
      <c r="D3094" t="s">
        <v>270</v>
      </c>
      <c r="E3094" t="s">
        <v>40</v>
      </c>
      <c r="G3094" s="4">
        <v>43945.164490740741</v>
      </c>
      <c r="H3094" s="4">
        <v>43945.164571759259</v>
      </c>
      <c r="I3094" t="s">
        <v>247</v>
      </c>
      <c r="J3094" s="5">
        <v>7</v>
      </c>
      <c r="K3094" t="s">
        <v>38</v>
      </c>
      <c r="M3094">
        <v>57081</v>
      </c>
      <c r="N3094" t="s">
        <v>277</v>
      </c>
      <c r="O3094" t="s">
        <v>278</v>
      </c>
      <c r="P3094" t="s">
        <v>38</v>
      </c>
      <c r="Q3094" t="s">
        <v>50</v>
      </c>
      <c r="R3094">
        <v>0</v>
      </c>
      <c r="S3094" t="s">
        <v>45</v>
      </c>
      <c r="T3094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4">
        <v>57082</v>
      </c>
      <c r="V3094" t="s">
        <v>38</v>
      </c>
      <c r="W3094" t="s">
        <v>50</v>
      </c>
      <c r="X3094">
        <v>0</v>
      </c>
      <c r="Y3094">
        <v>0</v>
      </c>
      <c r="Z3094" t="s">
        <v>46</v>
      </c>
      <c r="AA3094">
        <v>57083</v>
      </c>
      <c r="AB3094" t="s">
        <v>279</v>
      </c>
      <c r="AC3094" t="s">
        <v>68</v>
      </c>
      <c r="AD3094" t="s">
        <v>38</v>
      </c>
      <c r="AE3094" t="s">
        <v>49</v>
      </c>
      <c r="AF3094" t="s">
        <v>50</v>
      </c>
      <c r="AG3094">
        <v>0</v>
      </c>
      <c r="AH3094">
        <v>0</v>
      </c>
      <c r="AI3094" t="s">
        <v>51</v>
      </c>
      <c r="AJ3094" t="s">
        <v>51</v>
      </c>
      <c r="AK3094" t="s">
        <v>51</v>
      </c>
    </row>
    <row r="3095" spans="1:37" x14ac:dyDescent="0.2">
      <c r="A3095">
        <v>57065</v>
      </c>
      <c r="B3095" t="s">
        <v>37</v>
      </c>
      <c r="C3095" t="s">
        <v>38</v>
      </c>
      <c r="D3095" t="s">
        <v>270</v>
      </c>
      <c r="E3095" t="s">
        <v>40</v>
      </c>
      <c r="G3095" s="4">
        <v>43945.164490740741</v>
      </c>
      <c r="H3095" s="4">
        <v>43945.164571759259</v>
      </c>
      <c r="I3095" t="s">
        <v>247</v>
      </c>
      <c r="J3095" s="5">
        <v>7</v>
      </c>
      <c r="K3095" t="s">
        <v>38</v>
      </c>
      <c r="M3095">
        <v>57078</v>
      </c>
      <c r="N3095" t="s">
        <v>280</v>
      </c>
      <c r="O3095" t="s">
        <v>281</v>
      </c>
      <c r="P3095" t="s">
        <v>38</v>
      </c>
      <c r="Q3095" t="s">
        <v>50</v>
      </c>
      <c r="R3095">
        <v>0</v>
      </c>
      <c r="S3095" t="s">
        <v>45</v>
      </c>
      <c r="T3095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5">
        <v>57079</v>
      </c>
      <c r="V3095" t="s">
        <v>38</v>
      </c>
      <c r="W3095" t="s">
        <v>50</v>
      </c>
      <c r="X3095">
        <v>0</v>
      </c>
      <c r="Y3095">
        <v>0</v>
      </c>
      <c r="Z3095" t="s">
        <v>46</v>
      </c>
      <c r="AA3095">
        <v>57080</v>
      </c>
      <c r="AB3095" t="s">
        <v>282</v>
      </c>
      <c r="AC3095" t="s">
        <v>68</v>
      </c>
      <c r="AD3095" t="s">
        <v>38</v>
      </c>
      <c r="AE3095" t="s">
        <v>49</v>
      </c>
      <c r="AF3095" t="s">
        <v>50</v>
      </c>
      <c r="AG3095">
        <v>0</v>
      </c>
      <c r="AH3095">
        <v>0</v>
      </c>
      <c r="AI3095" t="s">
        <v>51</v>
      </c>
      <c r="AJ3095" t="s">
        <v>51</v>
      </c>
      <c r="AK3095" t="s">
        <v>51</v>
      </c>
    </row>
    <row r="3096" spans="1:37" x14ac:dyDescent="0.2">
      <c r="A3096">
        <v>57065</v>
      </c>
      <c r="B3096" t="s">
        <v>37</v>
      </c>
      <c r="C3096" t="s">
        <v>38</v>
      </c>
      <c r="D3096" t="s">
        <v>270</v>
      </c>
      <c r="E3096" t="s">
        <v>40</v>
      </c>
      <c r="G3096" s="4">
        <v>43945.164490740741</v>
      </c>
      <c r="H3096" s="4">
        <v>43945.164571759259</v>
      </c>
      <c r="I3096" t="s">
        <v>247</v>
      </c>
      <c r="J3096" s="5">
        <v>7</v>
      </c>
      <c r="K3096" t="s">
        <v>38</v>
      </c>
      <c r="M3096">
        <v>57075</v>
      </c>
      <c r="N3096" t="s">
        <v>283</v>
      </c>
      <c r="O3096" t="s">
        <v>284</v>
      </c>
      <c r="P3096" t="s">
        <v>38</v>
      </c>
      <c r="Q3096" t="s">
        <v>247</v>
      </c>
      <c r="R3096">
        <v>7</v>
      </c>
      <c r="S3096" t="s">
        <v>45</v>
      </c>
      <c r="T3096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6">
        <v>57076</v>
      </c>
      <c r="V3096" t="s">
        <v>38</v>
      </c>
      <c r="W3096" t="s">
        <v>247</v>
      </c>
      <c r="X3096">
        <v>7</v>
      </c>
      <c r="Y3096">
        <v>0</v>
      </c>
      <c r="Z3096" t="s">
        <v>46</v>
      </c>
      <c r="AA3096">
        <v>57077</v>
      </c>
      <c r="AB3096" t="s">
        <v>285</v>
      </c>
      <c r="AC3096" t="s">
        <v>68</v>
      </c>
      <c r="AD3096" t="s">
        <v>38</v>
      </c>
      <c r="AE3096" t="s">
        <v>49</v>
      </c>
      <c r="AF3096" t="s">
        <v>247</v>
      </c>
      <c r="AG3096">
        <v>7</v>
      </c>
      <c r="AH3096">
        <v>6</v>
      </c>
      <c r="AI3096" t="s">
        <v>51</v>
      </c>
      <c r="AJ3096" t="s">
        <v>51</v>
      </c>
      <c r="AK3096" t="s">
        <v>51</v>
      </c>
    </row>
    <row r="3097" spans="1:37" x14ac:dyDescent="0.2">
      <c r="A3097">
        <v>57065</v>
      </c>
      <c r="B3097" t="s">
        <v>37</v>
      </c>
      <c r="C3097" t="s">
        <v>38</v>
      </c>
      <c r="D3097" t="s">
        <v>270</v>
      </c>
      <c r="E3097" t="s">
        <v>40</v>
      </c>
      <c r="G3097" s="4">
        <v>43945.164490740741</v>
      </c>
      <c r="H3097" s="4">
        <v>43945.164571759259</v>
      </c>
      <c r="I3097" t="s">
        <v>247</v>
      </c>
      <c r="J3097" s="5">
        <v>7</v>
      </c>
      <c r="K3097" t="s">
        <v>38</v>
      </c>
      <c r="M3097">
        <v>57072</v>
      </c>
      <c r="N3097" t="s">
        <v>286</v>
      </c>
      <c r="O3097" t="s">
        <v>287</v>
      </c>
      <c r="P3097" t="s">
        <v>38</v>
      </c>
      <c r="Q3097" t="s">
        <v>50</v>
      </c>
      <c r="R3097">
        <v>0</v>
      </c>
      <c r="S3097" t="s">
        <v>45</v>
      </c>
      <c r="T3097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7">
        <v>57073</v>
      </c>
      <c r="V3097" t="s">
        <v>38</v>
      </c>
      <c r="W3097" t="s">
        <v>50</v>
      </c>
      <c r="X3097">
        <v>0</v>
      </c>
      <c r="Y3097">
        <v>0</v>
      </c>
      <c r="Z3097" t="s">
        <v>46</v>
      </c>
      <c r="AA3097">
        <v>57074</v>
      </c>
      <c r="AB3097" t="s">
        <v>288</v>
      </c>
      <c r="AC3097" t="s">
        <v>68</v>
      </c>
      <c r="AD3097" t="s">
        <v>38</v>
      </c>
      <c r="AE3097" t="s">
        <v>49</v>
      </c>
      <c r="AF3097" t="s">
        <v>50</v>
      </c>
      <c r="AG3097">
        <v>0</v>
      </c>
      <c r="AH3097">
        <v>0</v>
      </c>
      <c r="AI3097" t="s">
        <v>51</v>
      </c>
      <c r="AJ3097" t="s">
        <v>51</v>
      </c>
      <c r="AK3097" t="s">
        <v>51</v>
      </c>
    </row>
    <row r="3098" spans="1:37" x14ac:dyDescent="0.2">
      <c r="A3098">
        <v>57065</v>
      </c>
      <c r="B3098" t="s">
        <v>37</v>
      </c>
      <c r="C3098" t="s">
        <v>38</v>
      </c>
      <c r="D3098" t="s">
        <v>270</v>
      </c>
      <c r="E3098" t="s">
        <v>40</v>
      </c>
      <c r="G3098" s="4">
        <v>43945.164490740741</v>
      </c>
      <c r="H3098" s="4">
        <v>43945.164571759259</v>
      </c>
      <c r="I3098" t="s">
        <v>247</v>
      </c>
      <c r="J3098" s="5">
        <v>7</v>
      </c>
      <c r="K3098" t="s">
        <v>38</v>
      </c>
      <c r="M3098">
        <v>57069</v>
      </c>
      <c r="N3098" t="s">
        <v>289</v>
      </c>
      <c r="O3098" t="s">
        <v>290</v>
      </c>
      <c r="P3098" t="s">
        <v>38</v>
      </c>
      <c r="Q3098" t="s">
        <v>50</v>
      </c>
      <c r="R3098">
        <v>0</v>
      </c>
      <c r="S3098" t="s">
        <v>45</v>
      </c>
      <c r="T3098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8">
        <v>57070</v>
      </c>
      <c r="V3098" t="s">
        <v>38</v>
      </c>
      <c r="W3098" t="s">
        <v>50</v>
      </c>
      <c r="X3098">
        <v>0</v>
      </c>
      <c r="Y3098">
        <v>0</v>
      </c>
      <c r="Z3098" t="s">
        <v>46</v>
      </c>
      <c r="AA3098">
        <v>57071</v>
      </c>
      <c r="AB3098" t="s">
        <v>291</v>
      </c>
      <c r="AC3098" t="s">
        <v>68</v>
      </c>
      <c r="AD3098" t="s">
        <v>38</v>
      </c>
      <c r="AE3098" t="s">
        <v>49</v>
      </c>
      <c r="AF3098" t="s">
        <v>50</v>
      </c>
      <c r="AG3098">
        <v>0</v>
      </c>
      <c r="AH3098">
        <v>0</v>
      </c>
      <c r="AI3098" t="s">
        <v>51</v>
      </c>
      <c r="AJ3098" t="s">
        <v>51</v>
      </c>
      <c r="AK3098" t="s">
        <v>51</v>
      </c>
    </row>
    <row r="3099" spans="1:37" x14ac:dyDescent="0.2">
      <c r="A3099">
        <v>57065</v>
      </c>
      <c r="B3099" t="s">
        <v>37</v>
      </c>
      <c r="C3099" t="s">
        <v>38</v>
      </c>
      <c r="D3099" t="s">
        <v>270</v>
      </c>
      <c r="E3099" t="s">
        <v>40</v>
      </c>
      <c r="G3099" s="4">
        <v>43945.164490740741</v>
      </c>
      <c r="H3099" s="4">
        <v>43945.164571759259</v>
      </c>
      <c r="I3099" t="s">
        <v>247</v>
      </c>
      <c r="J3099" s="5">
        <v>7</v>
      </c>
      <c r="K3099" t="s">
        <v>38</v>
      </c>
      <c r="M3099">
        <v>57066</v>
      </c>
      <c r="N3099" t="s">
        <v>292</v>
      </c>
      <c r="O3099" t="s">
        <v>293</v>
      </c>
      <c r="P3099" t="s">
        <v>38</v>
      </c>
      <c r="Q3099" t="s">
        <v>50</v>
      </c>
      <c r="R3099">
        <v>0</v>
      </c>
      <c r="S3099" t="s">
        <v>45</v>
      </c>
      <c r="T3099" t="str" s="2">
        <f>=HYPERLINK("http://demo.enginatics.com:80/ecc/user/applications/log/57065.log","http://demo.enginatics.com:80/ecc/user/applications/log/57065.log")</f>
        <v>"http://demo.enginatics.com:80/ecc/user/applications/log/57065.log")</v>
      </c>
      <c r="U3099">
        <v>57067</v>
      </c>
      <c r="V3099" t="s">
        <v>38</v>
      </c>
      <c r="W3099" t="s">
        <v>50</v>
      </c>
      <c r="X3099">
        <v>0</v>
      </c>
      <c r="Y3099">
        <v>0</v>
      </c>
      <c r="Z3099" t="s">
        <v>46</v>
      </c>
      <c r="AA3099">
        <v>57068</v>
      </c>
      <c r="AB3099" t="s">
        <v>294</v>
      </c>
      <c r="AC3099" t="s">
        <v>68</v>
      </c>
      <c r="AD3099" t="s">
        <v>38</v>
      </c>
      <c r="AE3099" t="s">
        <v>49</v>
      </c>
      <c r="AF3099" t="s">
        <v>50</v>
      </c>
      <c r="AG3099">
        <v>0</v>
      </c>
      <c r="AH3099">
        <v>0</v>
      </c>
      <c r="AI3099" t="s">
        <v>51</v>
      </c>
      <c r="AJ3099" t="s">
        <v>51</v>
      </c>
      <c r="AK3099" t="s">
        <v>51</v>
      </c>
    </row>
    <row r="3100" spans="1:37" x14ac:dyDescent="0.2">
      <c r="A3100">
        <v>57061</v>
      </c>
      <c r="B3100" t="s">
        <v>37</v>
      </c>
      <c r="C3100" t="s">
        <v>38</v>
      </c>
      <c r="D3100" t="s">
        <v>253</v>
      </c>
      <c r="E3100" t="s">
        <v>254</v>
      </c>
      <c r="G3100" s="4">
        <v>43945.162106481481</v>
      </c>
      <c r="H3100" s="4">
        <v>43945.162106481481</v>
      </c>
      <c r="I3100" t="s">
        <v>50</v>
      </c>
      <c r="J3100" s="5">
        <v>0</v>
      </c>
      <c r="K3100" t="s">
        <v>38</v>
      </c>
      <c r="M3100">
        <v>57062</v>
      </c>
      <c r="N3100" t="s">
        <v>254</v>
      </c>
      <c r="O3100" t="s">
        <v>255</v>
      </c>
      <c r="P3100" t="s">
        <v>38</v>
      </c>
      <c r="Q3100" t="s">
        <v>50</v>
      </c>
      <c r="R3100">
        <v>0</v>
      </c>
      <c r="S3100" t="s">
        <v>45</v>
      </c>
      <c r="T3100" t="str" s="2">
        <f>=HYPERLINK("http://demo.enginatics.com:80/ecc/user/applications/log/57061.log","http://demo.enginatics.com:80/ecc/user/applications/log/57061.log")</f>
        <v>"http://demo.enginatics.com:80/ecc/user/applications/log/57061.log")</v>
      </c>
      <c r="U3100">
        <v>57063</v>
      </c>
      <c r="V3100" t="s">
        <v>38</v>
      </c>
      <c r="W3100" t="s">
        <v>50</v>
      </c>
      <c r="X3100">
        <v>0</v>
      </c>
      <c r="Y3100">
        <v>0</v>
      </c>
      <c r="Z3100" t="s">
        <v>46</v>
      </c>
      <c r="AA3100">
        <v>57064</v>
      </c>
      <c r="AB3100" t="s">
        <v>2356</v>
      </c>
      <c r="AC3100" t="s">
        <v>68</v>
      </c>
      <c r="AD3100" t="s">
        <v>38</v>
      </c>
      <c r="AE3100" t="s">
        <v>49</v>
      </c>
      <c r="AF3100" t="s">
        <v>50</v>
      </c>
      <c r="AG3100">
        <v>0</v>
      </c>
      <c r="AH3100">
        <v>0</v>
      </c>
      <c r="AI3100" t="s">
        <v>51</v>
      </c>
      <c r="AJ3100" t="s">
        <v>51</v>
      </c>
      <c r="AK3100" t="s">
        <v>51</v>
      </c>
    </row>
    <row r="3101" spans="1:37" x14ac:dyDescent="0.2">
      <c r="A3101">
        <v>57057</v>
      </c>
      <c r="B3101" t="s">
        <v>37</v>
      </c>
      <c r="C3101" t="s">
        <v>38</v>
      </c>
      <c r="D3101" t="s">
        <v>253</v>
      </c>
      <c r="E3101" t="s">
        <v>257</v>
      </c>
      <c r="G3101" s="4">
        <v>43945.161921296296</v>
      </c>
      <c r="H3101" s="4">
        <v>43945.161979166667</v>
      </c>
      <c r="I3101" t="s">
        <v>78</v>
      </c>
      <c r="J3101" s="5">
        <v>5</v>
      </c>
      <c r="K3101" t="s">
        <v>38</v>
      </c>
      <c r="M3101">
        <v>57058</v>
      </c>
      <c r="N3101" t="s">
        <v>257</v>
      </c>
      <c r="O3101" t="s">
        <v>258</v>
      </c>
      <c r="P3101" t="s">
        <v>38</v>
      </c>
      <c r="Q3101" t="s">
        <v>78</v>
      </c>
      <c r="R3101">
        <v>5</v>
      </c>
      <c r="S3101" t="s">
        <v>45</v>
      </c>
      <c r="T3101" t="str" s="2">
        <f>=HYPERLINK("http://demo.enginatics.com:80/ecc/user/applications/log/57057.log","http://demo.enginatics.com:80/ecc/user/applications/log/57057.log")</f>
        <v>"http://demo.enginatics.com:80/ecc/user/applications/log/57057.log")</v>
      </c>
      <c r="U3101">
        <v>57059</v>
      </c>
      <c r="V3101" t="s">
        <v>38</v>
      </c>
      <c r="W3101" t="s">
        <v>78</v>
      </c>
      <c r="X3101">
        <v>5</v>
      </c>
      <c r="Y3101">
        <v>0</v>
      </c>
      <c r="Z3101" t="s">
        <v>46</v>
      </c>
      <c r="AA3101">
        <v>57060</v>
      </c>
      <c r="AB3101" t="s">
        <v>2120</v>
      </c>
      <c r="AC3101" t="s">
        <v>68</v>
      </c>
      <c r="AD3101" t="s">
        <v>38</v>
      </c>
      <c r="AE3101" t="s">
        <v>260</v>
      </c>
      <c r="AF3101" t="s">
        <v>78</v>
      </c>
      <c r="AG3101">
        <v>5</v>
      </c>
      <c r="AH3101">
        <v>2</v>
      </c>
      <c r="AI3101" t="s">
        <v>261</v>
      </c>
      <c r="AJ3101" t="s">
        <v>51</v>
      </c>
      <c r="AK3101" t="s">
        <v>261</v>
      </c>
    </row>
    <row r="3102" spans="1:37" x14ac:dyDescent="0.2">
      <c r="A3102">
        <v>57052</v>
      </c>
      <c r="B3102" t="s">
        <v>37</v>
      </c>
      <c r="C3102" t="s">
        <v>38</v>
      </c>
      <c r="D3102" t="s">
        <v>253</v>
      </c>
      <c r="E3102" t="s">
        <v>262</v>
      </c>
      <c r="G3102" s="4">
        <v>43945.161828703704</v>
      </c>
      <c r="H3102" s="4">
        <v>43945.161828703704</v>
      </c>
      <c r="I3102" t="s">
        <v>50</v>
      </c>
      <c r="J3102" s="5">
        <v>0</v>
      </c>
      <c r="K3102" t="s">
        <v>38</v>
      </c>
      <c r="M3102">
        <v>57053</v>
      </c>
      <c r="N3102" t="s">
        <v>262</v>
      </c>
      <c r="O3102" t="s">
        <v>263</v>
      </c>
      <c r="P3102" t="s">
        <v>38</v>
      </c>
      <c r="Q3102" t="s">
        <v>50</v>
      </c>
      <c r="R3102">
        <v>0</v>
      </c>
      <c r="S3102" t="s">
        <v>45</v>
      </c>
      <c r="T3102" t="str" s="2">
        <f>=HYPERLINK("http://demo.enginatics.com:80/ecc/user/applications/log/57052.log","http://demo.enginatics.com:80/ecc/user/applications/log/57052.log")</f>
        <v>"http://demo.enginatics.com:80/ecc/user/applications/log/57052.log")</v>
      </c>
      <c r="U3102">
        <v>57054</v>
      </c>
      <c r="V3102" t="s">
        <v>38</v>
      </c>
      <c r="W3102" t="s">
        <v>50</v>
      </c>
      <c r="X3102">
        <v>0</v>
      </c>
      <c r="Y3102">
        <v>0</v>
      </c>
      <c r="Z3102" t="s">
        <v>46</v>
      </c>
      <c r="AA3102">
        <v>57056</v>
      </c>
      <c r="AB3102" t="s">
        <v>264</v>
      </c>
      <c r="AC3102" t="s">
        <v>68</v>
      </c>
      <c r="AD3102" t="s">
        <v>38</v>
      </c>
      <c r="AE3102" t="s">
        <v>49</v>
      </c>
      <c r="AF3102" t="s">
        <v>50</v>
      </c>
      <c r="AG3102">
        <v>0</v>
      </c>
      <c r="AH3102">
        <v>0</v>
      </c>
      <c r="AI3102" t="s">
        <v>51</v>
      </c>
      <c r="AJ3102" t="s">
        <v>51</v>
      </c>
      <c r="AK3102" t="s">
        <v>51</v>
      </c>
    </row>
    <row r="3103" spans="1:37" x14ac:dyDescent="0.2">
      <c r="A3103">
        <v>57052</v>
      </c>
      <c r="B3103" t="s">
        <v>37</v>
      </c>
      <c r="C3103" t="s">
        <v>38</v>
      </c>
      <c r="D3103" t="s">
        <v>253</v>
      </c>
      <c r="E3103" t="s">
        <v>262</v>
      </c>
      <c r="G3103" s="4">
        <v>43945.161828703704</v>
      </c>
      <c r="H3103" s="4">
        <v>43945.161828703704</v>
      </c>
      <c r="I3103" t="s">
        <v>50</v>
      </c>
      <c r="J3103" s="5">
        <v>0</v>
      </c>
      <c r="K3103" t="s">
        <v>38</v>
      </c>
      <c r="M3103">
        <v>57053</v>
      </c>
      <c r="N3103" t="s">
        <v>262</v>
      </c>
      <c r="O3103" t="s">
        <v>263</v>
      </c>
      <c r="P3103" t="s">
        <v>38</v>
      </c>
      <c r="Q3103" t="s">
        <v>50</v>
      </c>
      <c r="R3103">
        <v>0</v>
      </c>
      <c r="S3103" t="s">
        <v>45</v>
      </c>
      <c r="T3103" t="str" s="2">
        <f>=HYPERLINK("http://demo.enginatics.com:80/ecc/user/applications/log/57052.log","http://demo.enginatics.com:80/ecc/user/applications/log/57052.log")</f>
        <v>"http://demo.enginatics.com:80/ecc/user/applications/log/57052.log")</v>
      </c>
      <c r="U3103">
        <v>57054</v>
      </c>
      <c r="V3103" t="s">
        <v>38</v>
      </c>
      <c r="W3103" t="s">
        <v>50</v>
      </c>
      <c r="X3103">
        <v>0</v>
      </c>
      <c r="Y3103">
        <v>0</v>
      </c>
      <c r="Z3103" t="s">
        <v>46</v>
      </c>
      <c r="AA3103">
        <v>57055</v>
      </c>
      <c r="AB3103" t="s">
        <v>2357</v>
      </c>
      <c r="AC3103" t="s">
        <v>56</v>
      </c>
      <c r="AD3103" t="s">
        <v>38</v>
      </c>
      <c r="AE3103" t="s">
        <v>49</v>
      </c>
      <c r="AF3103" t="s">
        <v>50</v>
      </c>
      <c r="AG3103">
        <v>0</v>
      </c>
      <c r="AH3103">
        <v>0</v>
      </c>
      <c r="AI3103" t="s">
        <v>51</v>
      </c>
      <c r="AJ3103" t="s">
        <v>51</v>
      </c>
      <c r="AK3103" t="s">
        <v>51</v>
      </c>
    </row>
    <row r="3104" spans="1:37" x14ac:dyDescent="0.2">
      <c r="A3104">
        <v>57046</v>
      </c>
      <c r="B3104" t="s">
        <v>37</v>
      </c>
      <c r="C3104" t="s">
        <v>38</v>
      </c>
      <c r="D3104" t="s">
        <v>253</v>
      </c>
      <c r="E3104" t="s">
        <v>266</v>
      </c>
      <c r="G3104" s="4">
        <v>43945.161678240741</v>
      </c>
      <c r="H3104" s="4">
        <v>43945.161678240741</v>
      </c>
      <c r="I3104" t="s">
        <v>50</v>
      </c>
      <c r="J3104" s="5">
        <v>0</v>
      </c>
      <c r="K3104" t="s">
        <v>38</v>
      </c>
      <c r="M3104">
        <v>57047</v>
      </c>
      <c r="N3104" t="s">
        <v>266</v>
      </c>
      <c r="O3104" t="s">
        <v>267</v>
      </c>
      <c r="P3104" t="s">
        <v>38</v>
      </c>
      <c r="Q3104" t="s">
        <v>50</v>
      </c>
      <c r="R3104">
        <v>0</v>
      </c>
      <c r="S3104" t="s">
        <v>45</v>
      </c>
      <c r="T3104" t="str" s="2">
        <f>=HYPERLINK("http://demo.enginatics.com:80/ecc/user/applications/log/57046.log","http://demo.enginatics.com:80/ecc/user/applications/log/57046.log")</f>
        <v>"http://demo.enginatics.com:80/ecc/user/applications/log/57046.log")</v>
      </c>
      <c r="U3104">
        <v>57050</v>
      </c>
      <c r="V3104" t="s">
        <v>38</v>
      </c>
      <c r="W3104" t="s">
        <v>50</v>
      </c>
      <c r="X3104">
        <v>0</v>
      </c>
      <c r="Y3104">
        <v>0</v>
      </c>
      <c r="Z3104" t="s">
        <v>46</v>
      </c>
      <c r="AA3104">
        <v>57051</v>
      </c>
      <c r="AB3104" t="s">
        <v>268</v>
      </c>
      <c r="AC3104" t="s">
        <v>48</v>
      </c>
      <c r="AD3104" t="s">
        <v>38</v>
      </c>
      <c r="AE3104" t="s">
        <v>49</v>
      </c>
      <c r="AF3104" t="s">
        <v>50</v>
      </c>
      <c r="AG3104">
        <v>0</v>
      </c>
      <c r="AH3104">
        <v>0</v>
      </c>
      <c r="AI3104" t="s">
        <v>51</v>
      </c>
      <c r="AJ3104" t="s">
        <v>51</v>
      </c>
      <c r="AK3104" t="s">
        <v>51</v>
      </c>
    </row>
    <row r="3105" spans="1:37" x14ac:dyDescent="0.2">
      <c r="A3105">
        <v>57046</v>
      </c>
      <c r="B3105" t="s">
        <v>37</v>
      </c>
      <c r="C3105" t="s">
        <v>38</v>
      </c>
      <c r="D3105" t="s">
        <v>253</v>
      </c>
      <c r="E3105" t="s">
        <v>266</v>
      </c>
      <c r="G3105" s="4">
        <v>43945.161678240741</v>
      </c>
      <c r="H3105" s="4">
        <v>43945.161678240741</v>
      </c>
      <c r="I3105" t="s">
        <v>50</v>
      </c>
      <c r="J3105" s="5">
        <v>0</v>
      </c>
      <c r="K3105" t="s">
        <v>38</v>
      </c>
      <c r="M3105">
        <v>57047</v>
      </c>
      <c r="N3105" t="s">
        <v>266</v>
      </c>
      <c r="O3105" t="s">
        <v>267</v>
      </c>
      <c r="P3105" t="s">
        <v>38</v>
      </c>
      <c r="Q3105" t="s">
        <v>50</v>
      </c>
      <c r="R3105">
        <v>0</v>
      </c>
      <c r="S3105" t="s">
        <v>45</v>
      </c>
      <c r="T3105" t="str" s="2">
        <f>=HYPERLINK("http://demo.enginatics.com:80/ecc/user/applications/log/57046.log","http://demo.enginatics.com:80/ecc/user/applications/log/57046.log")</f>
        <v>"http://demo.enginatics.com:80/ecc/user/applications/log/57046.log")</v>
      </c>
      <c r="U3105">
        <v>57048</v>
      </c>
      <c r="V3105" t="s">
        <v>38</v>
      </c>
      <c r="W3105" t="s">
        <v>50</v>
      </c>
      <c r="X3105">
        <v>0</v>
      </c>
      <c r="Y3105">
        <v>0</v>
      </c>
      <c r="Z3105" t="s">
        <v>46</v>
      </c>
      <c r="AA3105">
        <v>57049</v>
      </c>
      <c r="AB3105" t="s">
        <v>269</v>
      </c>
      <c r="AC3105" t="s">
        <v>56</v>
      </c>
      <c r="AD3105" t="s">
        <v>38</v>
      </c>
      <c r="AE3105" t="s">
        <v>49</v>
      </c>
      <c r="AF3105" t="s">
        <v>50</v>
      </c>
      <c r="AG3105">
        <v>0</v>
      </c>
      <c r="AH3105">
        <v>0</v>
      </c>
      <c r="AI3105" t="s">
        <v>51</v>
      </c>
      <c r="AJ3105" t="s">
        <v>51</v>
      </c>
      <c r="AK3105" t="s">
        <v>51</v>
      </c>
    </row>
    <row r="3106" spans="1:37" x14ac:dyDescent="0.2">
      <c r="A3106">
        <v>57039</v>
      </c>
      <c r="B3106" t="s">
        <v>37</v>
      </c>
      <c r="C3106" t="s">
        <v>38</v>
      </c>
      <c r="D3106" t="s">
        <v>295</v>
      </c>
      <c r="E3106" t="s">
        <v>296</v>
      </c>
      <c r="G3106" s="4">
        <v>43945.161365740741</v>
      </c>
      <c r="H3106" s="4">
        <v>43945.161412037037</v>
      </c>
      <c r="I3106" t="s">
        <v>44</v>
      </c>
      <c r="J3106" s="5">
        <v>4</v>
      </c>
      <c r="K3106" t="s">
        <v>38</v>
      </c>
      <c r="M3106">
        <v>57041</v>
      </c>
      <c r="N3106" t="s">
        <v>296</v>
      </c>
      <c r="O3106" t="s">
        <v>297</v>
      </c>
      <c r="P3106" t="s">
        <v>38</v>
      </c>
      <c r="Q3106" t="s">
        <v>50</v>
      </c>
      <c r="R3106">
        <v>0</v>
      </c>
      <c r="S3106" t="s">
        <v>45</v>
      </c>
      <c r="T3106" t="str" s="2">
        <f>=HYPERLINK("http://demo.enginatics.com:80/ecc/user/applications/log/57039.log","http://demo.enginatics.com:80/ecc/user/applications/log/57039.log")</f>
        <v>"http://demo.enginatics.com:80/ecc/user/applications/log/57039.log")</v>
      </c>
      <c r="U3106">
        <v>57042</v>
      </c>
      <c r="V3106" t="s">
        <v>38</v>
      </c>
      <c r="W3106" t="s">
        <v>50</v>
      </c>
      <c r="X3106">
        <v>0</v>
      </c>
      <c r="Y3106">
        <v>0</v>
      </c>
      <c r="Z3106" t="s">
        <v>46</v>
      </c>
      <c r="AA3106">
        <v>57043</v>
      </c>
      <c r="AB3106" t="s">
        <v>1880</v>
      </c>
      <c r="AC3106" t="s">
        <v>68</v>
      </c>
      <c r="AD3106" t="s">
        <v>38</v>
      </c>
      <c r="AE3106" t="s">
        <v>49</v>
      </c>
      <c r="AF3106" t="s">
        <v>50</v>
      </c>
      <c r="AG3106">
        <v>0</v>
      </c>
      <c r="AH3106">
        <v>0</v>
      </c>
      <c r="AI3106" t="s">
        <v>51</v>
      </c>
      <c r="AJ3106" t="s">
        <v>51</v>
      </c>
      <c r="AK3106" t="s">
        <v>51</v>
      </c>
    </row>
    <row r="3107" spans="1:37" x14ac:dyDescent="0.2">
      <c r="A3107">
        <v>57036</v>
      </c>
      <c r="B3107" t="s">
        <v>37</v>
      </c>
      <c r="C3107" t="s">
        <v>38</v>
      </c>
      <c r="D3107" t="s">
        <v>295</v>
      </c>
      <c r="E3107" t="s">
        <v>299</v>
      </c>
      <c r="G3107" s="4">
        <v>43945.161342592593</v>
      </c>
      <c r="H3107" s="4">
        <v>43945.161481481481</v>
      </c>
      <c r="I3107" t="s">
        <v>236</v>
      </c>
      <c r="J3107" s="5">
        <v>12.00000000000000000000000000000000000001</v>
      </c>
      <c r="K3107" t="s">
        <v>38</v>
      </c>
      <c r="M3107">
        <v>57037</v>
      </c>
      <c r="N3107" t="s">
        <v>299</v>
      </c>
      <c r="O3107" t="s">
        <v>301</v>
      </c>
      <c r="P3107" t="s">
        <v>38</v>
      </c>
      <c r="Q3107" t="s">
        <v>236</v>
      </c>
      <c r="R3107">
        <v>12.00000000000000000000000000000000000001</v>
      </c>
      <c r="S3107" t="s">
        <v>45</v>
      </c>
      <c r="T3107" t="str" s="2">
        <f>=HYPERLINK("http://demo.enginatics.com:80/ecc/user/applications/log/57036.log","http://demo.enginatics.com:80/ecc/user/applications/log/57036.log")</f>
        <v>"http://demo.enginatics.com:80/ecc/user/applications/log/57036.log")</v>
      </c>
      <c r="U3107">
        <v>57038</v>
      </c>
      <c r="V3107" t="s">
        <v>38</v>
      </c>
      <c r="W3107" t="s">
        <v>300</v>
      </c>
      <c r="X3107">
        <v>10.00000000000000000000000000000000000002</v>
      </c>
      <c r="Y3107">
        <v>10</v>
      </c>
      <c r="Z3107" t="s">
        <v>46</v>
      </c>
      <c r="AA3107">
        <v>57045</v>
      </c>
      <c r="AB3107" t="s">
        <v>302</v>
      </c>
      <c r="AC3107" t="s">
        <v>68</v>
      </c>
      <c r="AD3107" t="s">
        <v>38</v>
      </c>
      <c r="AE3107" t="s">
        <v>49</v>
      </c>
      <c r="AF3107" t="s">
        <v>50</v>
      </c>
      <c r="AG3107">
        <v>0</v>
      </c>
      <c r="AH3107">
        <v>0</v>
      </c>
      <c r="AI3107" t="s">
        <v>51</v>
      </c>
      <c r="AJ3107" t="s">
        <v>51</v>
      </c>
      <c r="AK3107" t="s">
        <v>51</v>
      </c>
    </row>
    <row r="3108" spans="1:37" x14ac:dyDescent="0.2">
      <c r="A3108">
        <v>57036</v>
      </c>
      <c r="B3108" t="s">
        <v>37</v>
      </c>
      <c r="C3108" t="s">
        <v>38</v>
      </c>
      <c r="D3108" t="s">
        <v>295</v>
      </c>
      <c r="E3108" t="s">
        <v>299</v>
      </c>
      <c r="G3108" s="4">
        <v>43945.161342592593</v>
      </c>
      <c r="H3108" s="4">
        <v>43945.161481481481</v>
      </c>
      <c r="I3108" t="s">
        <v>236</v>
      </c>
      <c r="J3108" s="5">
        <v>12.00000000000000000000000000000000000001</v>
      </c>
      <c r="K3108" t="s">
        <v>38</v>
      </c>
      <c r="M3108">
        <v>57037</v>
      </c>
      <c r="N3108" t="s">
        <v>299</v>
      </c>
      <c r="O3108" t="s">
        <v>301</v>
      </c>
      <c r="P3108" t="s">
        <v>38</v>
      </c>
      <c r="Q3108" t="s">
        <v>236</v>
      </c>
      <c r="R3108">
        <v>12.00000000000000000000000000000000000001</v>
      </c>
      <c r="S3108" t="s">
        <v>45</v>
      </c>
      <c r="T3108" t="str" s="2">
        <f>=HYPERLINK("http://demo.enginatics.com:80/ecc/user/applications/log/57036.log","http://demo.enginatics.com:80/ecc/user/applications/log/57036.log")</f>
        <v>"http://demo.enginatics.com:80/ecc/user/applications/log/57036.log")</v>
      </c>
      <c r="U3108">
        <v>57038</v>
      </c>
      <c r="V3108" t="s">
        <v>38</v>
      </c>
      <c r="W3108" t="s">
        <v>300</v>
      </c>
      <c r="X3108">
        <v>10.00000000000000000000000000000000000002</v>
      </c>
      <c r="Y3108">
        <v>10</v>
      </c>
      <c r="Z3108" t="s">
        <v>46</v>
      </c>
      <c r="AA3108">
        <v>57044</v>
      </c>
      <c r="AB3108" t="s">
        <v>303</v>
      </c>
      <c r="AC3108" t="s">
        <v>56</v>
      </c>
      <c r="AD3108" t="s">
        <v>38</v>
      </c>
      <c r="AE3108" t="s">
        <v>49</v>
      </c>
      <c r="AF3108" t="s">
        <v>50</v>
      </c>
      <c r="AG3108">
        <v>0</v>
      </c>
      <c r="AH3108">
        <v>0</v>
      </c>
      <c r="AI3108" t="s">
        <v>51</v>
      </c>
      <c r="AJ3108" t="s">
        <v>51</v>
      </c>
      <c r="AK3108" t="s">
        <v>51</v>
      </c>
    </row>
    <row r="3109" spans="1:37" x14ac:dyDescent="0.2">
      <c r="A3109">
        <v>57027</v>
      </c>
      <c r="B3109" t="s">
        <v>37</v>
      </c>
      <c r="C3109" t="s">
        <v>38</v>
      </c>
      <c r="D3109" t="s">
        <v>253</v>
      </c>
      <c r="E3109" t="s">
        <v>319</v>
      </c>
      <c r="G3109" s="4">
        <v>43945.161180555556</v>
      </c>
      <c r="H3109" s="4">
        <v>43945.161215277778</v>
      </c>
      <c r="I3109" t="s">
        <v>85</v>
      </c>
      <c r="J3109" s="5">
        <v>3</v>
      </c>
      <c r="K3109" t="s">
        <v>38</v>
      </c>
      <c r="M3109">
        <v>57031</v>
      </c>
      <c r="N3109" t="s">
        <v>319</v>
      </c>
      <c r="O3109" t="s">
        <v>320</v>
      </c>
      <c r="P3109" t="s">
        <v>38</v>
      </c>
      <c r="Q3109" t="s">
        <v>88</v>
      </c>
      <c r="R3109">
        <v>2</v>
      </c>
      <c r="S3109" t="s">
        <v>45</v>
      </c>
      <c r="T3109" t="str" s="2">
        <f>=HYPERLINK("http://demo.enginatics.com:80/ecc/user/applications/log/57027.log","http://demo.enginatics.com:80/ecc/user/applications/log/57027.log")</f>
        <v>"http://demo.enginatics.com:80/ecc/user/applications/log/57027.log")</v>
      </c>
      <c r="U3109">
        <v>57032</v>
      </c>
      <c r="V3109" t="s">
        <v>38</v>
      </c>
      <c r="W3109" t="s">
        <v>88</v>
      </c>
      <c r="X3109">
        <v>2</v>
      </c>
      <c r="Y3109">
        <v>1</v>
      </c>
      <c r="Z3109" t="s">
        <v>46</v>
      </c>
      <c r="AA3109">
        <v>57034</v>
      </c>
      <c r="AB3109" t="s">
        <v>321</v>
      </c>
      <c r="AC3109" t="s">
        <v>68</v>
      </c>
      <c r="AD3109" t="s">
        <v>38</v>
      </c>
      <c r="AE3109" t="s">
        <v>49</v>
      </c>
      <c r="AF3109" t="s">
        <v>50</v>
      </c>
      <c r="AG3109">
        <v>0</v>
      </c>
      <c r="AH3109">
        <v>0</v>
      </c>
      <c r="AI3109" t="s">
        <v>51</v>
      </c>
      <c r="AJ3109" t="s">
        <v>51</v>
      </c>
      <c r="AK3109" t="s">
        <v>51</v>
      </c>
    </row>
    <row r="3110" spans="1:37" x14ac:dyDescent="0.2">
      <c r="A3110">
        <v>57027</v>
      </c>
      <c r="B3110" t="s">
        <v>37</v>
      </c>
      <c r="C3110" t="s">
        <v>38</v>
      </c>
      <c r="D3110" t="s">
        <v>253</v>
      </c>
      <c r="E3110" t="s">
        <v>319</v>
      </c>
      <c r="G3110" s="4">
        <v>43945.161180555556</v>
      </c>
      <c r="H3110" s="4">
        <v>43945.161215277778</v>
      </c>
      <c r="I3110" t="s">
        <v>85</v>
      </c>
      <c r="J3110" s="5">
        <v>3</v>
      </c>
      <c r="K3110" t="s">
        <v>38</v>
      </c>
      <c r="M3110">
        <v>57031</v>
      </c>
      <c r="N3110" t="s">
        <v>319</v>
      </c>
      <c r="O3110" t="s">
        <v>320</v>
      </c>
      <c r="P3110" t="s">
        <v>38</v>
      </c>
      <c r="Q3110" t="s">
        <v>88</v>
      </c>
      <c r="R3110">
        <v>2</v>
      </c>
      <c r="S3110" t="s">
        <v>45</v>
      </c>
      <c r="T3110" t="str" s="2">
        <f>=HYPERLINK("http://demo.enginatics.com:80/ecc/user/applications/log/57027.log","http://demo.enginatics.com:80/ecc/user/applications/log/57027.log")</f>
        <v>"http://demo.enginatics.com:80/ecc/user/applications/log/57027.log")</v>
      </c>
      <c r="U3110">
        <v>57032</v>
      </c>
      <c r="V3110" t="s">
        <v>38</v>
      </c>
      <c r="W3110" t="s">
        <v>88</v>
      </c>
      <c r="X3110">
        <v>2</v>
      </c>
      <c r="Y3110">
        <v>1</v>
      </c>
      <c r="Z3110" t="s">
        <v>46</v>
      </c>
      <c r="AA3110">
        <v>57033</v>
      </c>
      <c r="AB3110" t="s">
        <v>322</v>
      </c>
      <c r="AC3110" t="s">
        <v>56</v>
      </c>
      <c r="AD3110" t="s">
        <v>38</v>
      </c>
      <c r="AE3110" t="s">
        <v>49</v>
      </c>
      <c r="AF3110" t="s">
        <v>50</v>
      </c>
      <c r="AG3110">
        <v>0</v>
      </c>
      <c r="AH3110">
        <v>0</v>
      </c>
      <c r="AI3110" t="s">
        <v>51</v>
      </c>
      <c r="AJ3110" t="s">
        <v>51</v>
      </c>
      <c r="AK3110" t="s">
        <v>51</v>
      </c>
    </row>
    <row r="3111" spans="1:37" x14ac:dyDescent="0.2">
      <c r="A3111">
        <v>57026</v>
      </c>
      <c r="B3111" t="s">
        <v>37</v>
      </c>
      <c r="C3111" t="s">
        <v>38</v>
      </c>
      <c r="D3111" t="s">
        <v>295</v>
      </c>
      <c r="E3111" t="s">
        <v>304</v>
      </c>
      <c r="G3111" s="4">
        <v>43945.161180555556</v>
      </c>
      <c r="H3111" s="4">
        <v>43945.16119212963</v>
      </c>
      <c r="I3111" t="s">
        <v>50</v>
      </c>
      <c r="J3111" s="5">
        <v>.9999999999999999999999999999999999999996</v>
      </c>
      <c r="K3111" t="s">
        <v>38</v>
      </c>
      <c r="M3111">
        <v>57028</v>
      </c>
      <c r="N3111" t="s">
        <v>304</v>
      </c>
      <c r="O3111" t="s">
        <v>305</v>
      </c>
      <c r="P3111" t="s">
        <v>38</v>
      </c>
      <c r="Q3111" t="s">
        <v>50</v>
      </c>
      <c r="R3111">
        <v>.9999999999999999999999999999999999999996</v>
      </c>
      <c r="S3111" t="s">
        <v>45</v>
      </c>
      <c r="T3111" t="str" s="2">
        <f>=HYPERLINK("http://demo.enginatics.com:80/ecc/user/applications/log/57026.log","http://demo.enginatics.com:80/ecc/user/applications/log/57026.log")</f>
        <v>"http://demo.enginatics.com:80/ecc/user/applications/log/57026.log")</v>
      </c>
      <c r="U3111">
        <v>57029</v>
      </c>
      <c r="V3111" t="s">
        <v>38</v>
      </c>
      <c r="W3111" t="s">
        <v>50</v>
      </c>
      <c r="X3111">
        <v>.9999999999999999999999999999999999999996</v>
      </c>
      <c r="Y3111">
        <v>0</v>
      </c>
      <c r="Z3111" t="s">
        <v>46</v>
      </c>
      <c r="AA3111">
        <v>57030</v>
      </c>
      <c r="AB3111" t="s">
        <v>306</v>
      </c>
      <c r="AC3111" t="s">
        <v>68</v>
      </c>
      <c r="AD3111" t="s">
        <v>38</v>
      </c>
      <c r="AE3111" t="s">
        <v>49</v>
      </c>
      <c r="AF3111" t="s">
        <v>50</v>
      </c>
      <c r="AG3111">
        <v>0</v>
      </c>
      <c r="AH3111">
        <v>0</v>
      </c>
      <c r="AI3111" t="s">
        <v>51</v>
      </c>
      <c r="AJ3111" t="s">
        <v>51</v>
      </c>
      <c r="AK3111" t="s">
        <v>51</v>
      </c>
    </row>
    <row r="3112" spans="1:37" x14ac:dyDescent="0.2">
      <c r="A3112">
        <v>57019</v>
      </c>
      <c r="B3112" t="s">
        <v>37</v>
      </c>
      <c r="C3112" t="s">
        <v>38</v>
      </c>
      <c r="D3112" t="s">
        <v>307</v>
      </c>
      <c r="E3112" t="s">
        <v>40</v>
      </c>
      <c r="G3112" s="4">
        <v>43945.161134259259</v>
      </c>
      <c r="H3112" s="4">
        <v>43945.161412037037</v>
      </c>
      <c r="I3112" t="s">
        <v>1153</v>
      </c>
      <c r="J3112" s="5">
        <v>24.00000000000000000000000000000000000002</v>
      </c>
      <c r="K3112" t="s">
        <v>38</v>
      </c>
      <c r="M3112">
        <v>57023</v>
      </c>
      <c r="N3112" t="s">
        <v>309</v>
      </c>
      <c r="O3112" t="s">
        <v>310</v>
      </c>
      <c r="P3112" t="s">
        <v>38</v>
      </c>
      <c r="Q3112" t="s">
        <v>1153</v>
      </c>
      <c r="R3112">
        <v>24.00000000000000000000000000000000000002</v>
      </c>
      <c r="S3112" t="s">
        <v>45</v>
      </c>
      <c r="T3112" t="str" s="2">
        <f>=HYPERLINK("http://demo.enginatics.com:80/ecc/user/applications/log/57019.log","http://demo.enginatics.com:80/ecc/user/applications/log/57019.log")</f>
        <v>"http://demo.enginatics.com:80/ecc/user/applications/log/57019.log")</v>
      </c>
      <c r="U3112">
        <v>57024</v>
      </c>
      <c r="V3112" t="s">
        <v>38</v>
      </c>
      <c r="W3112" t="s">
        <v>1153</v>
      </c>
      <c r="X3112">
        <v>24.00000000000000000000000000000000000002</v>
      </c>
      <c r="Y3112">
        <v>0</v>
      </c>
      <c r="Z3112" t="s">
        <v>46</v>
      </c>
      <c r="AA3112">
        <v>57040</v>
      </c>
      <c r="AB3112" t="s">
        <v>2358</v>
      </c>
      <c r="AC3112" t="s">
        <v>56</v>
      </c>
      <c r="AD3112" t="s">
        <v>38</v>
      </c>
      <c r="AE3112" t="s">
        <v>49</v>
      </c>
      <c r="AF3112" t="s">
        <v>50</v>
      </c>
      <c r="AG3112">
        <v>0</v>
      </c>
      <c r="AH3112">
        <v>0</v>
      </c>
      <c r="AI3112" t="s">
        <v>51</v>
      </c>
      <c r="AJ3112" t="s">
        <v>51</v>
      </c>
      <c r="AK3112" t="s">
        <v>51</v>
      </c>
    </row>
    <row r="3113" spans="1:37" x14ac:dyDescent="0.2">
      <c r="A3113">
        <v>57019</v>
      </c>
      <c r="B3113" t="s">
        <v>37</v>
      </c>
      <c r="C3113" t="s">
        <v>38</v>
      </c>
      <c r="D3113" t="s">
        <v>307</v>
      </c>
      <c r="E3113" t="s">
        <v>40</v>
      </c>
      <c r="G3113" s="4">
        <v>43945.161134259259</v>
      </c>
      <c r="H3113" s="4">
        <v>43945.161412037037</v>
      </c>
      <c r="I3113" t="s">
        <v>1153</v>
      </c>
      <c r="J3113" s="5">
        <v>24.00000000000000000000000000000000000002</v>
      </c>
      <c r="K3113" t="s">
        <v>38</v>
      </c>
      <c r="M3113">
        <v>57023</v>
      </c>
      <c r="N3113" t="s">
        <v>309</v>
      </c>
      <c r="O3113" t="s">
        <v>310</v>
      </c>
      <c r="P3113" t="s">
        <v>38</v>
      </c>
      <c r="Q3113" t="s">
        <v>1153</v>
      </c>
      <c r="R3113">
        <v>24.00000000000000000000000000000000000002</v>
      </c>
      <c r="S3113" t="s">
        <v>45</v>
      </c>
      <c r="T3113" t="str" s="2">
        <f>=HYPERLINK("http://demo.enginatics.com:80/ecc/user/applications/log/57019.log","http://demo.enginatics.com:80/ecc/user/applications/log/57019.log")</f>
        <v>"http://demo.enginatics.com:80/ecc/user/applications/log/57019.log")</v>
      </c>
      <c r="U3113">
        <v>57024</v>
      </c>
      <c r="V3113" t="s">
        <v>38</v>
      </c>
      <c r="W3113" t="s">
        <v>1153</v>
      </c>
      <c r="X3113">
        <v>24.00000000000000000000000000000000000002</v>
      </c>
      <c r="Y3113">
        <v>0</v>
      </c>
      <c r="Z3113" t="s">
        <v>46</v>
      </c>
      <c r="AA3113">
        <v>57035</v>
      </c>
      <c r="AB3113" t="s">
        <v>2359</v>
      </c>
      <c r="AC3113" t="s">
        <v>97</v>
      </c>
      <c r="AD3113" t="s">
        <v>38</v>
      </c>
      <c r="AE3113" t="s">
        <v>49</v>
      </c>
      <c r="AF3113" t="s">
        <v>236</v>
      </c>
      <c r="AG3113">
        <v>12.00000000000000000000000000000000000001</v>
      </c>
      <c r="AH3113">
        <v>11</v>
      </c>
      <c r="AI3113" t="s">
        <v>51</v>
      </c>
      <c r="AJ3113" t="s">
        <v>51</v>
      </c>
      <c r="AK3113" t="s">
        <v>51</v>
      </c>
    </row>
    <row r="3114" spans="1:37" x14ac:dyDescent="0.2">
      <c r="A3114">
        <v>57019</v>
      </c>
      <c r="B3114" t="s">
        <v>37</v>
      </c>
      <c r="C3114" t="s">
        <v>38</v>
      </c>
      <c r="D3114" t="s">
        <v>307</v>
      </c>
      <c r="E3114" t="s">
        <v>40</v>
      </c>
      <c r="G3114" s="4">
        <v>43945.161134259259</v>
      </c>
      <c r="H3114" s="4">
        <v>43945.161412037037</v>
      </c>
      <c r="I3114" t="s">
        <v>1153</v>
      </c>
      <c r="J3114" s="5">
        <v>24.00000000000000000000000000000000000002</v>
      </c>
      <c r="K3114" t="s">
        <v>38</v>
      </c>
      <c r="M3114">
        <v>57023</v>
      </c>
      <c r="N3114" t="s">
        <v>309</v>
      </c>
      <c r="O3114" t="s">
        <v>310</v>
      </c>
      <c r="P3114" t="s">
        <v>38</v>
      </c>
      <c r="Q3114" t="s">
        <v>1153</v>
      </c>
      <c r="R3114">
        <v>24.00000000000000000000000000000000000002</v>
      </c>
      <c r="S3114" t="s">
        <v>45</v>
      </c>
      <c r="T3114" t="str" s="2">
        <f>=HYPERLINK("http://demo.enginatics.com:80/ecc/user/applications/log/57019.log","http://demo.enginatics.com:80/ecc/user/applications/log/57019.log")</f>
        <v>"http://demo.enginatics.com:80/ecc/user/applications/log/57019.log")</v>
      </c>
      <c r="U3114">
        <v>57024</v>
      </c>
      <c r="V3114" t="s">
        <v>38</v>
      </c>
      <c r="W3114" t="s">
        <v>1153</v>
      </c>
      <c r="X3114">
        <v>24.00000000000000000000000000000000000002</v>
      </c>
      <c r="Y3114">
        <v>0</v>
      </c>
      <c r="Z3114" t="s">
        <v>46</v>
      </c>
      <c r="AA3114">
        <v>57025</v>
      </c>
      <c r="AB3114" t="s">
        <v>2360</v>
      </c>
      <c r="AC3114" t="s">
        <v>97</v>
      </c>
      <c r="AD3114" t="s">
        <v>38</v>
      </c>
      <c r="AE3114" t="s">
        <v>49</v>
      </c>
      <c r="AF3114" t="s">
        <v>236</v>
      </c>
      <c r="AG3114">
        <v>12.00000000000000000000000000000000000001</v>
      </c>
      <c r="AH3114">
        <v>11</v>
      </c>
      <c r="AI3114" t="s">
        <v>51</v>
      </c>
      <c r="AJ3114" t="s">
        <v>51</v>
      </c>
      <c r="AK3114" t="s">
        <v>51</v>
      </c>
    </row>
    <row r="3115" spans="1:37" x14ac:dyDescent="0.2">
      <c r="A3115">
        <v>57019</v>
      </c>
      <c r="B3115" t="s">
        <v>37</v>
      </c>
      <c r="C3115" t="s">
        <v>38</v>
      </c>
      <c r="D3115" t="s">
        <v>307</v>
      </c>
      <c r="E3115" t="s">
        <v>40</v>
      </c>
      <c r="G3115" s="4">
        <v>43945.161134259259</v>
      </c>
      <c r="H3115" s="4">
        <v>43945.161412037037</v>
      </c>
      <c r="I3115" t="s">
        <v>1153</v>
      </c>
      <c r="J3115" s="5">
        <v>24.00000000000000000000000000000000000002</v>
      </c>
      <c r="K3115" t="s">
        <v>38</v>
      </c>
      <c r="M3115">
        <v>57020</v>
      </c>
      <c r="N3115" t="s">
        <v>316</v>
      </c>
      <c r="O3115" t="s">
        <v>317</v>
      </c>
      <c r="P3115" t="s">
        <v>38</v>
      </c>
      <c r="Q3115" t="s">
        <v>50</v>
      </c>
      <c r="R3115">
        <v>0</v>
      </c>
      <c r="S3115" t="s">
        <v>45</v>
      </c>
      <c r="T3115" t="str" s="2">
        <f>=HYPERLINK("http://demo.enginatics.com:80/ecc/user/applications/log/57019.log","http://demo.enginatics.com:80/ecc/user/applications/log/57019.log")</f>
        <v>"http://demo.enginatics.com:80/ecc/user/applications/log/57019.log")</v>
      </c>
      <c r="U3115">
        <v>57021</v>
      </c>
      <c r="V3115" t="s">
        <v>38</v>
      </c>
      <c r="W3115" t="s">
        <v>50</v>
      </c>
      <c r="X3115">
        <v>0</v>
      </c>
      <c r="Y3115">
        <v>0</v>
      </c>
      <c r="Z3115" t="s">
        <v>46</v>
      </c>
      <c r="AA3115">
        <v>57022</v>
      </c>
      <c r="AB3115" t="s">
        <v>2361</v>
      </c>
      <c r="AC3115" t="s">
        <v>97</v>
      </c>
      <c r="AD3115" t="s">
        <v>38</v>
      </c>
      <c r="AE3115" t="s">
        <v>49</v>
      </c>
      <c r="AF3115" t="s">
        <v>50</v>
      </c>
      <c r="AG3115">
        <v>0</v>
      </c>
      <c r="AH3115">
        <v>0</v>
      </c>
      <c r="AI3115" t="s">
        <v>51</v>
      </c>
      <c r="AJ3115" t="s">
        <v>51</v>
      </c>
      <c r="AK3115" t="s">
        <v>51</v>
      </c>
    </row>
    <row r="3116" spans="1:37" x14ac:dyDescent="0.2">
      <c r="A3116">
        <v>57015</v>
      </c>
      <c r="B3116" t="s">
        <v>37</v>
      </c>
      <c r="C3116" t="s">
        <v>38</v>
      </c>
      <c r="D3116" t="s">
        <v>253</v>
      </c>
      <c r="E3116" t="s">
        <v>358</v>
      </c>
      <c r="G3116" s="4">
        <v>43945.161064814815</v>
      </c>
      <c r="H3116" s="4">
        <v>43945.161064814815</v>
      </c>
      <c r="I3116" t="s">
        <v>50</v>
      </c>
      <c r="J3116" s="5">
        <v>0</v>
      </c>
      <c r="K3116" t="s">
        <v>38</v>
      </c>
      <c r="M3116">
        <v>57016</v>
      </c>
      <c r="N3116" t="s">
        <v>358</v>
      </c>
      <c r="O3116" t="s">
        <v>359</v>
      </c>
      <c r="P3116" t="s">
        <v>38</v>
      </c>
      <c r="Q3116" t="s">
        <v>50</v>
      </c>
      <c r="R3116">
        <v>0</v>
      </c>
      <c r="S3116" t="s">
        <v>45</v>
      </c>
      <c r="T3116" t="str" s="2">
        <f>=HYPERLINK("http://demo.enginatics.com:80/ecc/user/applications/log/57015.log","http://demo.enginatics.com:80/ecc/user/applications/log/57015.log")</f>
        <v>"http://demo.enginatics.com:80/ecc/user/applications/log/57015.log")</v>
      </c>
      <c r="U3116">
        <v>57017</v>
      </c>
      <c r="V3116" t="s">
        <v>38</v>
      </c>
      <c r="W3116" t="s">
        <v>50</v>
      </c>
      <c r="X3116">
        <v>0</v>
      </c>
      <c r="Y3116">
        <v>0</v>
      </c>
      <c r="Z3116" t="s">
        <v>46</v>
      </c>
      <c r="AA3116">
        <v>57018</v>
      </c>
      <c r="AB3116" t="s">
        <v>360</v>
      </c>
      <c r="AC3116" t="s">
        <v>68</v>
      </c>
      <c r="AD3116" t="s">
        <v>38</v>
      </c>
      <c r="AE3116" t="s">
        <v>49</v>
      </c>
      <c r="AF3116" t="s">
        <v>50</v>
      </c>
      <c r="AG3116">
        <v>0</v>
      </c>
      <c r="AH3116">
        <v>0</v>
      </c>
      <c r="AI3116" t="s">
        <v>51</v>
      </c>
      <c r="AJ3116" t="s">
        <v>51</v>
      </c>
      <c r="AK3116" t="s">
        <v>51</v>
      </c>
    </row>
    <row r="3117" spans="1:37" x14ac:dyDescent="0.2">
      <c r="A3117">
        <v>56939</v>
      </c>
      <c r="B3117" t="s">
        <v>37</v>
      </c>
      <c r="C3117" t="s">
        <v>38</v>
      </c>
      <c r="D3117" t="s">
        <v>323</v>
      </c>
      <c r="E3117" t="s">
        <v>40</v>
      </c>
      <c r="G3117" s="4">
        <v>43945.16087962963</v>
      </c>
      <c r="H3117" s="4">
        <v>43945.161053240741</v>
      </c>
      <c r="I3117" t="s">
        <v>315</v>
      </c>
      <c r="J3117" s="5">
        <v>14.99999999999999999999999999999999999999</v>
      </c>
      <c r="K3117" t="s">
        <v>38</v>
      </c>
      <c r="M3117">
        <v>57012</v>
      </c>
      <c r="N3117" t="s">
        <v>325</v>
      </c>
      <c r="O3117" t="s">
        <v>326</v>
      </c>
      <c r="P3117" t="s">
        <v>38</v>
      </c>
      <c r="Q3117" t="s">
        <v>50</v>
      </c>
      <c r="R3117">
        <v>.9999999999999999999999999999999999999996</v>
      </c>
      <c r="S3117" t="s">
        <v>45</v>
      </c>
      <c r="T3117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17">
        <v>57013</v>
      </c>
      <c r="V3117" t="s">
        <v>38</v>
      </c>
      <c r="W3117" t="s">
        <v>50</v>
      </c>
      <c r="X3117">
        <v>0</v>
      </c>
      <c r="Y3117">
        <v>0</v>
      </c>
      <c r="Z3117" t="s">
        <v>46</v>
      </c>
      <c r="AA3117">
        <v>57014</v>
      </c>
      <c r="AB3117" t="s">
        <v>2362</v>
      </c>
      <c r="AC3117" t="s">
        <v>97</v>
      </c>
      <c r="AD3117" t="s">
        <v>38</v>
      </c>
      <c r="AE3117" t="s">
        <v>49</v>
      </c>
      <c r="AF3117" t="s">
        <v>50</v>
      </c>
      <c r="AG3117">
        <v>0</v>
      </c>
      <c r="AH3117">
        <v>0</v>
      </c>
      <c r="AI3117" t="s">
        <v>51</v>
      </c>
      <c r="AJ3117" t="s">
        <v>51</v>
      </c>
      <c r="AK3117" t="s">
        <v>51</v>
      </c>
    </row>
    <row r="3118" spans="1:37" x14ac:dyDescent="0.2">
      <c r="A3118">
        <v>56939</v>
      </c>
      <c r="B3118" t="s">
        <v>37</v>
      </c>
      <c r="C3118" t="s">
        <v>38</v>
      </c>
      <c r="D3118" t="s">
        <v>323</v>
      </c>
      <c r="E3118" t="s">
        <v>40</v>
      </c>
      <c r="G3118" s="4">
        <v>43945.16087962963</v>
      </c>
      <c r="H3118" s="4">
        <v>43945.161053240741</v>
      </c>
      <c r="I3118" t="s">
        <v>315</v>
      </c>
      <c r="J3118" s="5">
        <v>14.99999999999999999999999999999999999999</v>
      </c>
      <c r="K3118" t="s">
        <v>38</v>
      </c>
      <c r="M3118">
        <v>57005</v>
      </c>
      <c r="N3118" t="s">
        <v>328</v>
      </c>
      <c r="O3118" t="s">
        <v>329</v>
      </c>
      <c r="P3118" t="s">
        <v>38</v>
      </c>
      <c r="Q3118" t="s">
        <v>50</v>
      </c>
      <c r="R3118">
        <v>0</v>
      </c>
      <c r="S3118" t="s">
        <v>45</v>
      </c>
      <c r="T3118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18">
        <v>57006</v>
      </c>
      <c r="V3118" t="s">
        <v>38</v>
      </c>
      <c r="W3118" t="s">
        <v>50</v>
      </c>
      <c r="X3118">
        <v>0</v>
      </c>
      <c r="Y3118">
        <v>0</v>
      </c>
      <c r="Z3118" t="s">
        <v>46</v>
      </c>
      <c r="AA3118">
        <v>57011</v>
      </c>
      <c r="AB3118" t="s">
        <v>2363</v>
      </c>
      <c r="AC3118" t="s">
        <v>97</v>
      </c>
      <c r="AD3118" t="s">
        <v>38</v>
      </c>
      <c r="AE3118" t="s">
        <v>49</v>
      </c>
      <c r="AF3118" t="s">
        <v>50</v>
      </c>
      <c r="AG3118">
        <v>0</v>
      </c>
      <c r="AH3118">
        <v>0</v>
      </c>
      <c r="AI3118" t="s">
        <v>51</v>
      </c>
      <c r="AJ3118" t="s">
        <v>51</v>
      </c>
      <c r="AK3118" t="s">
        <v>51</v>
      </c>
    </row>
    <row r="3119" spans="1:37" x14ac:dyDescent="0.2">
      <c r="A3119">
        <v>56939</v>
      </c>
      <c r="B3119" t="s">
        <v>37</v>
      </c>
      <c r="C3119" t="s">
        <v>38</v>
      </c>
      <c r="D3119" t="s">
        <v>323</v>
      </c>
      <c r="E3119" t="s">
        <v>40</v>
      </c>
      <c r="G3119" s="4">
        <v>43945.16087962963</v>
      </c>
      <c r="H3119" s="4">
        <v>43945.161053240741</v>
      </c>
      <c r="I3119" t="s">
        <v>315</v>
      </c>
      <c r="J3119" s="5">
        <v>14.99999999999999999999999999999999999999</v>
      </c>
      <c r="K3119" t="s">
        <v>38</v>
      </c>
      <c r="M3119">
        <v>57005</v>
      </c>
      <c r="N3119" t="s">
        <v>328</v>
      </c>
      <c r="O3119" t="s">
        <v>329</v>
      </c>
      <c r="P3119" t="s">
        <v>38</v>
      </c>
      <c r="Q3119" t="s">
        <v>50</v>
      </c>
      <c r="R3119">
        <v>0</v>
      </c>
      <c r="S3119" t="s">
        <v>45</v>
      </c>
      <c r="T3119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19">
        <v>57006</v>
      </c>
      <c r="V3119" t="s">
        <v>38</v>
      </c>
      <c r="W3119" t="s">
        <v>50</v>
      </c>
      <c r="X3119">
        <v>0</v>
      </c>
      <c r="Y3119">
        <v>0</v>
      </c>
      <c r="Z3119" t="s">
        <v>46</v>
      </c>
      <c r="AA3119">
        <v>57010</v>
      </c>
      <c r="AB3119" t="s">
        <v>2364</v>
      </c>
      <c r="AC3119" t="s">
        <v>97</v>
      </c>
      <c r="AD3119" t="s">
        <v>38</v>
      </c>
      <c r="AE3119" t="s">
        <v>49</v>
      </c>
      <c r="AF3119" t="s">
        <v>50</v>
      </c>
      <c r="AG3119">
        <v>0</v>
      </c>
      <c r="AH3119">
        <v>0</v>
      </c>
      <c r="AI3119" t="s">
        <v>51</v>
      </c>
      <c r="AJ3119" t="s">
        <v>51</v>
      </c>
      <c r="AK3119" t="s">
        <v>51</v>
      </c>
    </row>
    <row r="3120" spans="1:37" x14ac:dyDescent="0.2">
      <c r="A3120">
        <v>56939</v>
      </c>
      <c r="B3120" t="s">
        <v>37</v>
      </c>
      <c r="C3120" t="s">
        <v>38</v>
      </c>
      <c r="D3120" t="s">
        <v>323</v>
      </c>
      <c r="E3120" t="s">
        <v>40</v>
      </c>
      <c r="G3120" s="4">
        <v>43945.16087962963</v>
      </c>
      <c r="H3120" s="4">
        <v>43945.161053240741</v>
      </c>
      <c r="I3120" t="s">
        <v>315</v>
      </c>
      <c r="J3120" s="5">
        <v>14.99999999999999999999999999999999999999</v>
      </c>
      <c r="K3120" t="s">
        <v>38</v>
      </c>
      <c r="M3120">
        <v>57005</v>
      </c>
      <c r="N3120" t="s">
        <v>328</v>
      </c>
      <c r="O3120" t="s">
        <v>329</v>
      </c>
      <c r="P3120" t="s">
        <v>38</v>
      </c>
      <c r="Q3120" t="s">
        <v>50</v>
      </c>
      <c r="R3120">
        <v>0</v>
      </c>
      <c r="S3120" t="s">
        <v>45</v>
      </c>
      <c r="T3120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0">
        <v>57006</v>
      </c>
      <c r="V3120" t="s">
        <v>38</v>
      </c>
      <c r="W3120" t="s">
        <v>50</v>
      </c>
      <c r="X3120">
        <v>0</v>
      </c>
      <c r="Y3120">
        <v>0</v>
      </c>
      <c r="Z3120" t="s">
        <v>46</v>
      </c>
      <c r="AA3120">
        <v>57009</v>
      </c>
      <c r="AB3120" t="s">
        <v>2365</v>
      </c>
      <c r="AC3120" t="s">
        <v>97</v>
      </c>
      <c r="AD3120" t="s">
        <v>38</v>
      </c>
      <c r="AE3120" t="s">
        <v>49</v>
      </c>
      <c r="AF3120" t="s">
        <v>50</v>
      </c>
      <c r="AG3120">
        <v>0</v>
      </c>
      <c r="AH3120">
        <v>0</v>
      </c>
      <c r="AI3120" t="s">
        <v>51</v>
      </c>
      <c r="AJ3120" t="s">
        <v>51</v>
      </c>
      <c r="AK3120" t="s">
        <v>51</v>
      </c>
    </row>
    <row r="3121" spans="1:37" x14ac:dyDescent="0.2">
      <c r="A3121">
        <v>56939</v>
      </c>
      <c r="B3121" t="s">
        <v>37</v>
      </c>
      <c r="C3121" t="s">
        <v>38</v>
      </c>
      <c r="D3121" t="s">
        <v>323</v>
      </c>
      <c r="E3121" t="s">
        <v>40</v>
      </c>
      <c r="G3121" s="4">
        <v>43945.16087962963</v>
      </c>
      <c r="H3121" s="4">
        <v>43945.161053240741</v>
      </c>
      <c r="I3121" t="s">
        <v>315</v>
      </c>
      <c r="J3121" s="5">
        <v>14.99999999999999999999999999999999999999</v>
      </c>
      <c r="K3121" t="s">
        <v>38</v>
      </c>
      <c r="M3121">
        <v>57005</v>
      </c>
      <c r="N3121" t="s">
        <v>328</v>
      </c>
      <c r="O3121" t="s">
        <v>329</v>
      </c>
      <c r="P3121" t="s">
        <v>38</v>
      </c>
      <c r="Q3121" t="s">
        <v>50</v>
      </c>
      <c r="R3121">
        <v>0</v>
      </c>
      <c r="S3121" t="s">
        <v>45</v>
      </c>
      <c r="T3121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1">
        <v>57006</v>
      </c>
      <c r="V3121" t="s">
        <v>38</v>
      </c>
      <c r="W3121" t="s">
        <v>50</v>
      </c>
      <c r="X3121">
        <v>0</v>
      </c>
      <c r="Y3121">
        <v>0</v>
      </c>
      <c r="Z3121" t="s">
        <v>46</v>
      </c>
      <c r="AA3121">
        <v>57008</v>
      </c>
      <c r="AB3121" t="s">
        <v>2366</v>
      </c>
      <c r="AC3121" t="s">
        <v>97</v>
      </c>
      <c r="AD3121" t="s">
        <v>38</v>
      </c>
      <c r="AE3121" t="s">
        <v>49</v>
      </c>
      <c r="AF3121" t="s">
        <v>50</v>
      </c>
      <c r="AG3121">
        <v>0</v>
      </c>
      <c r="AH3121">
        <v>0</v>
      </c>
      <c r="AI3121" t="s">
        <v>51</v>
      </c>
      <c r="AJ3121" t="s">
        <v>51</v>
      </c>
      <c r="AK3121" t="s">
        <v>51</v>
      </c>
    </row>
    <row r="3122" spans="1:37" x14ac:dyDescent="0.2">
      <c r="A3122">
        <v>56939</v>
      </c>
      <c r="B3122" t="s">
        <v>37</v>
      </c>
      <c r="C3122" t="s">
        <v>38</v>
      </c>
      <c r="D3122" t="s">
        <v>323</v>
      </c>
      <c r="E3122" t="s">
        <v>40</v>
      </c>
      <c r="G3122" s="4">
        <v>43945.16087962963</v>
      </c>
      <c r="H3122" s="4">
        <v>43945.161053240741</v>
      </c>
      <c r="I3122" t="s">
        <v>315</v>
      </c>
      <c r="J3122" s="5">
        <v>14.99999999999999999999999999999999999999</v>
      </c>
      <c r="K3122" t="s">
        <v>38</v>
      </c>
      <c r="M3122">
        <v>57005</v>
      </c>
      <c r="N3122" t="s">
        <v>328</v>
      </c>
      <c r="O3122" t="s">
        <v>329</v>
      </c>
      <c r="P3122" t="s">
        <v>38</v>
      </c>
      <c r="Q3122" t="s">
        <v>50</v>
      </c>
      <c r="R3122">
        <v>0</v>
      </c>
      <c r="S3122" t="s">
        <v>45</v>
      </c>
      <c r="T3122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2">
        <v>57006</v>
      </c>
      <c r="V3122" t="s">
        <v>38</v>
      </c>
      <c r="W3122" t="s">
        <v>50</v>
      </c>
      <c r="X3122">
        <v>0</v>
      </c>
      <c r="Y3122">
        <v>0</v>
      </c>
      <c r="Z3122" t="s">
        <v>46</v>
      </c>
      <c r="AA3122">
        <v>57007</v>
      </c>
      <c r="AB3122" t="s">
        <v>2367</v>
      </c>
      <c r="AC3122" t="s">
        <v>97</v>
      </c>
      <c r="AD3122" t="s">
        <v>38</v>
      </c>
      <c r="AE3122" t="s">
        <v>49</v>
      </c>
      <c r="AF3122" t="s">
        <v>50</v>
      </c>
      <c r="AG3122">
        <v>0</v>
      </c>
      <c r="AH3122">
        <v>0</v>
      </c>
      <c r="AI3122" t="s">
        <v>51</v>
      </c>
      <c r="AJ3122" t="s">
        <v>51</v>
      </c>
      <c r="AK3122" t="s">
        <v>51</v>
      </c>
    </row>
    <row r="3123" spans="1:37" x14ac:dyDescent="0.2">
      <c r="A3123">
        <v>56939</v>
      </c>
      <c r="B3123" t="s">
        <v>37</v>
      </c>
      <c r="C3123" t="s">
        <v>38</v>
      </c>
      <c r="D3123" t="s">
        <v>323</v>
      </c>
      <c r="E3123" t="s">
        <v>40</v>
      </c>
      <c r="G3123" s="4">
        <v>43945.16087962963</v>
      </c>
      <c r="H3123" s="4">
        <v>43945.161053240741</v>
      </c>
      <c r="I3123" t="s">
        <v>315</v>
      </c>
      <c r="J3123" s="5">
        <v>14.99999999999999999999999999999999999999</v>
      </c>
      <c r="K3123" t="s">
        <v>38</v>
      </c>
      <c r="M3123">
        <v>56971</v>
      </c>
      <c r="N3123" t="s">
        <v>335</v>
      </c>
      <c r="O3123" t="s">
        <v>336</v>
      </c>
      <c r="P3123" t="s">
        <v>38</v>
      </c>
      <c r="Q3123" t="s">
        <v>236</v>
      </c>
      <c r="R3123">
        <v>12.00000000000000000000000000000000000001</v>
      </c>
      <c r="S3123" t="s">
        <v>45</v>
      </c>
      <c r="T3123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3">
        <v>56972</v>
      </c>
      <c r="V3123" t="s">
        <v>38</v>
      </c>
      <c r="W3123" t="s">
        <v>337</v>
      </c>
      <c r="X3123">
        <v>11.00000000000000000000000000000000000002</v>
      </c>
      <c r="Y3123">
        <v>0</v>
      </c>
      <c r="Z3123" t="s">
        <v>46</v>
      </c>
      <c r="AA3123">
        <v>57004</v>
      </c>
      <c r="AB3123" t="s">
        <v>2368</v>
      </c>
      <c r="AC3123" t="s">
        <v>97</v>
      </c>
      <c r="AD3123" t="s">
        <v>38</v>
      </c>
      <c r="AE3123" t="s">
        <v>49</v>
      </c>
      <c r="AF3123" t="s">
        <v>50</v>
      </c>
      <c r="AG3123">
        <v>0</v>
      </c>
      <c r="AH3123">
        <v>0</v>
      </c>
      <c r="AI3123" t="s">
        <v>51</v>
      </c>
      <c r="AJ3123" t="s">
        <v>51</v>
      </c>
      <c r="AK3123" t="s">
        <v>51</v>
      </c>
    </row>
    <row r="3124" spans="1:37" x14ac:dyDescent="0.2">
      <c r="A3124">
        <v>56939</v>
      </c>
      <c r="B3124" t="s">
        <v>37</v>
      </c>
      <c r="C3124" t="s">
        <v>38</v>
      </c>
      <c r="D3124" t="s">
        <v>323</v>
      </c>
      <c r="E3124" t="s">
        <v>40</v>
      </c>
      <c r="G3124" s="4">
        <v>43945.16087962963</v>
      </c>
      <c r="H3124" s="4">
        <v>43945.161053240741</v>
      </c>
      <c r="I3124" t="s">
        <v>315</v>
      </c>
      <c r="J3124" s="5">
        <v>14.99999999999999999999999999999999999999</v>
      </c>
      <c r="K3124" t="s">
        <v>38</v>
      </c>
      <c r="M3124">
        <v>56971</v>
      </c>
      <c r="N3124" t="s">
        <v>335</v>
      </c>
      <c r="O3124" t="s">
        <v>336</v>
      </c>
      <c r="P3124" t="s">
        <v>38</v>
      </c>
      <c r="Q3124" t="s">
        <v>236</v>
      </c>
      <c r="R3124">
        <v>12.00000000000000000000000000000000000001</v>
      </c>
      <c r="S3124" t="s">
        <v>45</v>
      </c>
      <c r="T3124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4">
        <v>56972</v>
      </c>
      <c r="V3124" t="s">
        <v>38</v>
      </c>
      <c r="W3124" t="s">
        <v>337</v>
      </c>
      <c r="X3124">
        <v>11.00000000000000000000000000000000000002</v>
      </c>
      <c r="Y3124">
        <v>0</v>
      </c>
      <c r="Z3124" t="s">
        <v>46</v>
      </c>
      <c r="AA3124">
        <v>57003</v>
      </c>
      <c r="AB3124" t="s">
        <v>2369</v>
      </c>
      <c r="AC3124" t="s">
        <v>97</v>
      </c>
      <c r="AD3124" t="s">
        <v>38</v>
      </c>
      <c r="AE3124" t="s">
        <v>49</v>
      </c>
      <c r="AF3124" t="s">
        <v>50</v>
      </c>
      <c r="AG3124">
        <v>.9999999999999999999999999999999999999996</v>
      </c>
      <c r="AH3124">
        <v>0</v>
      </c>
      <c r="AI3124" t="s">
        <v>51</v>
      </c>
      <c r="AJ3124" t="s">
        <v>51</v>
      </c>
      <c r="AK3124" t="s">
        <v>51</v>
      </c>
    </row>
    <row r="3125" spans="1:37" x14ac:dyDescent="0.2">
      <c r="A3125">
        <v>56939</v>
      </c>
      <c r="B3125" t="s">
        <v>37</v>
      </c>
      <c r="C3125" t="s">
        <v>38</v>
      </c>
      <c r="D3125" t="s">
        <v>323</v>
      </c>
      <c r="E3125" t="s">
        <v>40</v>
      </c>
      <c r="G3125" s="4">
        <v>43945.16087962963</v>
      </c>
      <c r="H3125" s="4">
        <v>43945.161053240741</v>
      </c>
      <c r="I3125" t="s">
        <v>315</v>
      </c>
      <c r="J3125" s="5">
        <v>14.99999999999999999999999999999999999999</v>
      </c>
      <c r="K3125" t="s">
        <v>38</v>
      </c>
      <c r="M3125">
        <v>56971</v>
      </c>
      <c r="N3125" t="s">
        <v>335</v>
      </c>
      <c r="O3125" t="s">
        <v>336</v>
      </c>
      <c r="P3125" t="s">
        <v>38</v>
      </c>
      <c r="Q3125" t="s">
        <v>236</v>
      </c>
      <c r="R3125">
        <v>12.00000000000000000000000000000000000001</v>
      </c>
      <c r="S3125" t="s">
        <v>45</v>
      </c>
      <c r="T3125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5">
        <v>56972</v>
      </c>
      <c r="V3125" t="s">
        <v>38</v>
      </c>
      <c r="W3125" t="s">
        <v>337</v>
      </c>
      <c r="X3125">
        <v>11.00000000000000000000000000000000000002</v>
      </c>
      <c r="Y3125">
        <v>0</v>
      </c>
      <c r="Z3125" t="s">
        <v>46</v>
      </c>
      <c r="AA3125">
        <v>57002</v>
      </c>
      <c r="AB3125" t="s">
        <v>2370</v>
      </c>
      <c r="AC3125" t="s">
        <v>97</v>
      </c>
      <c r="AD3125" t="s">
        <v>38</v>
      </c>
      <c r="AE3125" t="s">
        <v>49</v>
      </c>
      <c r="AF3125" t="s">
        <v>50</v>
      </c>
      <c r="AG3125">
        <v>0</v>
      </c>
      <c r="AH3125">
        <v>0</v>
      </c>
      <c r="AI3125" t="s">
        <v>51</v>
      </c>
      <c r="AJ3125" t="s">
        <v>51</v>
      </c>
      <c r="AK3125" t="s">
        <v>51</v>
      </c>
    </row>
    <row r="3126" spans="1:37" x14ac:dyDescent="0.2">
      <c r="A3126">
        <v>56939</v>
      </c>
      <c r="B3126" t="s">
        <v>37</v>
      </c>
      <c r="C3126" t="s">
        <v>38</v>
      </c>
      <c r="D3126" t="s">
        <v>323</v>
      </c>
      <c r="E3126" t="s">
        <v>40</v>
      </c>
      <c r="G3126" s="4">
        <v>43945.16087962963</v>
      </c>
      <c r="H3126" s="4">
        <v>43945.161053240741</v>
      </c>
      <c r="I3126" t="s">
        <v>315</v>
      </c>
      <c r="J3126" s="5">
        <v>14.99999999999999999999999999999999999999</v>
      </c>
      <c r="K3126" t="s">
        <v>38</v>
      </c>
      <c r="M3126">
        <v>56971</v>
      </c>
      <c r="N3126" t="s">
        <v>335</v>
      </c>
      <c r="O3126" t="s">
        <v>336</v>
      </c>
      <c r="P3126" t="s">
        <v>38</v>
      </c>
      <c r="Q3126" t="s">
        <v>236</v>
      </c>
      <c r="R3126">
        <v>12.00000000000000000000000000000000000001</v>
      </c>
      <c r="S3126" t="s">
        <v>45</v>
      </c>
      <c r="T3126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6">
        <v>56972</v>
      </c>
      <c r="V3126" t="s">
        <v>38</v>
      </c>
      <c r="W3126" t="s">
        <v>337</v>
      </c>
      <c r="X3126">
        <v>11.00000000000000000000000000000000000002</v>
      </c>
      <c r="Y3126">
        <v>0</v>
      </c>
      <c r="Z3126" t="s">
        <v>46</v>
      </c>
      <c r="AA3126">
        <v>57001</v>
      </c>
      <c r="AB3126" t="s">
        <v>2371</v>
      </c>
      <c r="AC3126" t="s">
        <v>97</v>
      </c>
      <c r="AD3126" t="s">
        <v>38</v>
      </c>
      <c r="AE3126" t="s">
        <v>49</v>
      </c>
      <c r="AF3126" t="s">
        <v>88</v>
      </c>
      <c r="AG3126">
        <v>2</v>
      </c>
      <c r="AH3126">
        <v>1</v>
      </c>
      <c r="AI3126" t="s">
        <v>51</v>
      </c>
      <c r="AJ3126" t="s">
        <v>51</v>
      </c>
      <c r="AK3126" t="s">
        <v>51</v>
      </c>
    </row>
    <row r="3127" spans="1:37" x14ac:dyDescent="0.2">
      <c r="A3127">
        <v>56939</v>
      </c>
      <c r="B3127" t="s">
        <v>37</v>
      </c>
      <c r="C3127" t="s">
        <v>38</v>
      </c>
      <c r="D3127" t="s">
        <v>323</v>
      </c>
      <c r="E3127" t="s">
        <v>40</v>
      </c>
      <c r="G3127" s="4">
        <v>43945.16087962963</v>
      </c>
      <c r="H3127" s="4">
        <v>43945.161053240741</v>
      </c>
      <c r="I3127" t="s">
        <v>315</v>
      </c>
      <c r="J3127" s="5">
        <v>14.99999999999999999999999999999999999999</v>
      </c>
      <c r="K3127" t="s">
        <v>38</v>
      </c>
      <c r="M3127">
        <v>56971</v>
      </c>
      <c r="N3127" t="s">
        <v>335</v>
      </c>
      <c r="O3127" t="s">
        <v>336</v>
      </c>
      <c r="P3127" t="s">
        <v>38</v>
      </c>
      <c r="Q3127" t="s">
        <v>236</v>
      </c>
      <c r="R3127">
        <v>12.00000000000000000000000000000000000001</v>
      </c>
      <c r="S3127" t="s">
        <v>45</v>
      </c>
      <c r="T3127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7">
        <v>56972</v>
      </c>
      <c r="V3127" t="s">
        <v>38</v>
      </c>
      <c r="W3127" t="s">
        <v>337</v>
      </c>
      <c r="X3127">
        <v>11.00000000000000000000000000000000000002</v>
      </c>
      <c r="Y3127">
        <v>0</v>
      </c>
      <c r="Z3127" t="s">
        <v>46</v>
      </c>
      <c r="AA3127">
        <v>56975</v>
      </c>
      <c r="AB3127" t="s">
        <v>2372</v>
      </c>
      <c r="AC3127" t="s">
        <v>97</v>
      </c>
      <c r="AD3127" t="s">
        <v>38</v>
      </c>
      <c r="AE3127" t="s">
        <v>49</v>
      </c>
      <c r="AF3127" t="s">
        <v>247</v>
      </c>
      <c r="AG3127">
        <v>7</v>
      </c>
      <c r="AH3127">
        <v>6</v>
      </c>
      <c r="AI3127" t="s">
        <v>51</v>
      </c>
      <c r="AJ3127" t="s">
        <v>51</v>
      </c>
      <c r="AK3127" t="s">
        <v>51</v>
      </c>
    </row>
    <row r="3128" spans="1:37" x14ac:dyDescent="0.2">
      <c r="A3128">
        <v>56939</v>
      </c>
      <c r="B3128" t="s">
        <v>37</v>
      </c>
      <c r="C3128" t="s">
        <v>38</v>
      </c>
      <c r="D3128" t="s">
        <v>323</v>
      </c>
      <c r="E3128" t="s">
        <v>40</v>
      </c>
      <c r="G3128" s="4">
        <v>43945.16087962963</v>
      </c>
      <c r="H3128" s="4">
        <v>43945.161053240741</v>
      </c>
      <c r="I3128" t="s">
        <v>315</v>
      </c>
      <c r="J3128" s="5">
        <v>14.99999999999999999999999999999999999999</v>
      </c>
      <c r="K3128" t="s">
        <v>38</v>
      </c>
      <c r="M3128">
        <v>56971</v>
      </c>
      <c r="N3128" t="s">
        <v>335</v>
      </c>
      <c r="O3128" t="s">
        <v>336</v>
      </c>
      <c r="P3128" t="s">
        <v>38</v>
      </c>
      <c r="Q3128" t="s">
        <v>236</v>
      </c>
      <c r="R3128">
        <v>12.00000000000000000000000000000000000001</v>
      </c>
      <c r="S3128" t="s">
        <v>45</v>
      </c>
      <c r="T3128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8">
        <v>56972</v>
      </c>
      <c r="V3128" t="s">
        <v>38</v>
      </c>
      <c r="W3128" t="s">
        <v>337</v>
      </c>
      <c r="X3128">
        <v>11.00000000000000000000000000000000000002</v>
      </c>
      <c r="Y3128">
        <v>0</v>
      </c>
      <c r="Z3128" t="s">
        <v>46</v>
      </c>
      <c r="AA3128">
        <v>56973</v>
      </c>
      <c r="AB3128" t="s">
        <v>2373</v>
      </c>
      <c r="AC3128" t="s">
        <v>97</v>
      </c>
      <c r="AD3128" t="s">
        <v>38</v>
      </c>
      <c r="AE3128" t="s">
        <v>49</v>
      </c>
      <c r="AF3128" t="s">
        <v>50</v>
      </c>
      <c r="AG3128">
        <v>.9999999999999999999999999999999999999996</v>
      </c>
      <c r="AH3128">
        <v>0</v>
      </c>
      <c r="AI3128" t="s">
        <v>51</v>
      </c>
      <c r="AJ3128" t="s">
        <v>51</v>
      </c>
      <c r="AK3128" t="s">
        <v>51</v>
      </c>
    </row>
    <row r="3129" spans="1:37" x14ac:dyDescent="0.2">
      <c r="A3129">
        <v>56939</v>
      </c>
      <c r="B3129" t="s">
        <v>37</v>
      </c>
      <c r="C3129" t="s">
        <v>38</v>
      </c>
      <c r="D3129" t="s">
        <v>323</v>
      </c>
      <c r="E3129" t="s">
        <v>40</v>
      </c>
      <c r="G3129" s="4">
        <v>43945.16087962963</v>
      </c>
      <c r="H3129" s="4">
        <v>43945.161053240741</v>
      </c>
      <c r="I3129" t="s">
        <v>315</v>
      </c>
      <c r="J3129" s="5">
        <v>14.99999999999999999999999999999999999999</v>
      </c>
      <c r="K3129" t="s">
        <v>38</v>
      </c>
      <c r="M3129">
        <v>56961</v>
      </c>
      <c r="N3129" t="s">
        <v>344</v>
      </c>
      <c r="O3129" t="s">
        <v>345</v>
      </c>
      <c r="P3129" t="s">
        <v>38</v>
      </c>
      <c r="Q3129" t="s">
        <v>50</v>
      </c>
      <c r="R3129">
        <v>.9999999999999999999999999999999999999996</v>
      </c>
      <c r="S3129" t="s">
        <v>45</v>
      </c>
      <c r="T3129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29">
        <v>56962</v>
      </c>
      <c r="V3129" t="s">
        <v>38</v>
      </c>
      <c r="W3129" t="s">
        <v>50</v>
      </c>
      <c r="X3129">
        <v>.9999999999999999999999999999999999999996</v>
      </c>
      <c r="Y3129">
        <v>0</v>
      </c>
      <c r="Z3129" t="s">
        <v>46</v>
      </c>
      <c r="AA3129">
        <v>56969</v>
      </c>
      <c r="AB3129" t="s">
        <v>2374</v>
      </c>
      <c r="AC3129" t="s">
        <v>56</v>
      </c>
      <c r="AD3129" t="s">
        <v>38</v>
      </c>
      <c r="AE3129" t="s">
        <v>49</v>
      </c>
      <c r="AF3129" t="s">
        <v>50</v>
      </c>
      <c r="AG3129">
        <v>0</v>
      </c>
      <c r="AH3129">
        <v>0</v>
      </c>
      <c r="AI3129" t="s">
        <v>51</v>
      </c>
      <c r="AJ3129" t="s">
        <v>51</v>
      </c>
      <c r="AK3129" t="s">
        <v>51</v>
      </c>
    </row>
    <row r="3130" spans="1:37" x14ac:dyDescent="0.2">
      <c r="A3130">
        <v>56939</v>
      </c>
      <c r="B3130" t="s">
        <v>37</v>
      </c>
      <c r="C3130" t="s">
        <v>38</v>
      </c>
      <c r="D3130" t="s">
        <v>323</v>
      </c>
      <c r="E3130" t="s">
        <v>40</v>
      </c>
      <c r="G3130" s="4">
        <v>43945.16087962963</v>
      </c>
      <c r="H3130" s="4">
        <v>43945.161053240741</v>
      </c>
      <c r="I3130" t="s">
        <v>315</v>
      </c>
      <c r="J3130" s="5">
        <v>14.99999999999999999999999999999999999999</v>
      </c>
      <c r="K3130" t="s">
        <v>38</v>
      </c>
      <c r="M3130">
        <v>56961</v>
      </c>
      <c r="N3130" t="s">
        <v>344</v>
      </c>
      <c r="O3130" t="s">
        <v>345</v>
      </c>
      <c r="P3130" t="s">
        <v>38</v>
      </c>
      <c r="Q3130" t="s">
        <v>50</v>
      </c>
      <c r="R3130">
        <v>.9999999999999999999999999999999999999996</v>
      </c>
      <c r="S3130" t="s">
        <v>45</v>
      </c>
      <c r="T3130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30">
        <v>56962</v>
      </c>
      <c r="V3130" t="s">
        <v>38</v>
      </c>
      <c r="W3130" t="s">
        <v>50</v>
      </c>
      <c r="X3130">
        <v>.9999999999999999999999999999999999999996</v>
      </c>
      <c r="Y3130">
        <v>0</v>
      </c>
      <c r="Z3130" t="s">
        <v>46</v>
      </c>
      <c r="AA3130">
        <v>56964</v>
      </c>
      <c r="AB3130" t="s">
        <v>2375</v>
      </c>
      <c r="AC3130" t="s">
        <v>97</v>
      </c>
      <c r="AD3130" t="s">
        <v>38</v>
      </c>
      <c r="AE3130" t="s">
        <v>49</v>
      </c>
      <c r="AF3130" t="s">
        <v>50</v>
      </c>
      <c r="AG3130">
        <v>.9999999999999999999999999999999999999996</v>
      </c>
      <c r="AH3130">
        <v>0</v>
      </c>
      <c r="AI3130" t="s">
        <v>51</v>
      </c>
      <c r="AJ3130" t="s">
        <v>51</v>
      </c>
      <c r="AK3130" t="s">
        <v>51</v>
      </c>
    </row>
    <row r="3131" spans="1:37" x14ac:dyDescent="0.2">
      <c r="A3131">
        <v>56939</v>
      </c>
      <c r="B3131" t="s">
        <v>37</v>
      </c>
      <c r="C3131" t="s">
        <v>38</v>
      </c>
      <c r="D3131" t="s">
        <v>323</v>
      </c>
      <c r="E3131" t="s">
        <v>40</v>
      </c>
      <c r="G3131" s="4">
        <v>43945.16087962963</v>
      </c>
      <c r="H3131" s="4">
        <v>43945.161053240741</v>
      </c>
      <c r="I3131" t="s">
        <v>315</v>
      </c>
      <c r="J3131" s="5">
        <v>14.99999999999999999999999999999999999999</v>
      </c>
      <c r="K3131" t="s">
        <v>38</v>
      </c>
      <c r="M3131">
        <v>56956</v>
      </c>
      <c r="N3131" t="s">
        <v>350</v>
      </c>
      <c r="O3131" t="s">
        <v>351</v>
      </c>
      <c r="P3131" t="s">
        <v>38</v>
      </c>
      <c r="Q3131" t="s">
        <v>50</v>
      </c>
      <c r="R3131">
        <v>0</v>
      </c>
      <c r="S3131" t="s">
        <v>45</v>
      </c>
      <c r="T3131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31">
        <v>56957</v>
      </c>
      <c r="V3131" t="s">
        <v>38</v>
      </c>
      <c r="W3131" t="s">
        <v>50</v>
      </c>
      <c r="X3131">
        <v>0</v>
      </c>
      <c r="Y3131">
        <v>0</v>
      </c>
      <c r="Z3131" t="s">
        <v>46</v>
      </c>
      <c r="AA3131">
        <v>56958</v>
      </c>
      <c r="AB3131" t="s">
        <v>2376</v>
      </c>
      <c r="AC3131" t="s">
        <v>97</v>
      </c>
      <c r="AD3131" t="s">
        <v>38</v>
      </c>
      <c r="AE3131" t="s">
        <v>49</v>
      </c>
      <c r="AF3131" t="s">
        <v>50</v>
      </c>
      <c r="AG3131">
        <v>0</v>
      </c>
      <c r="AH3131">
        <v>0</v>
      </c>
      <c r="AI3131" t="s">
        <v>51</v>
      </c>
      <c r="AJ3131" t="s">
        <v>51</v>
      </c>
      <c r="AK3131" t="s">
        <v>51</v>
      </c>
    </row>
    <row r="3132" spans="1:37" x14ac:dyDescent="0.2">
      <c r="A3132">
        <v>56939</v>
      </c>
      <c r="B3132" t="s">
        <v>37</v>
      </c>
      <c r="C3132" t="s">
        <v>38</v>
      </c>
      <c r="D3132" t="s">
        <v>323</v>
      </c>
      <c r="E3132" t="s">
        <v>40</v>
      </c>
      <c r="G3132" s="4">
        <v>43945.16087962963</v>
      </c>
      <c r="H3132" s="4">
        <v>43945.161053240741</v>
      </c>
      <c r="I3132" t="s">
        <v>315</v>
      </c>
      <c r="J3132" s="5">
        <v>14.99999999999999999999999999999999999999</v>
      </c>
      <c r="K3132" t="s">
        <v>38</v>
      </c>
      <c r="M3132">
        <v>56941</v>
      </c>
      <c r="N3132" t="s">
        <v>353</v>
      </c>
      <c r="O3132" t="s">
        <v>354</v>
      </c>
      <c r="P3132" t="s">
        <v>38</v>
      </c>
      <c r="Q3132" t="s">
        <v>50</v>
      </c>
      <c r="R3132">
        <v>.9999999999999999999999999999999999999996</v>
      </c>
      <c r="S3132" t="s">
        <v>45</v>
      </c>
      <c r="T3132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32">
        <v>56942</v>
      </c>
      <c r="V3132" t="s">
        <v>38</v>
      </c>
      <c r="W3132" t="s">
        <v>50</v>
      </c>
      <c r="X3132">
        <v>.9999999999999999999999999999999999999996</v>
      </c>
      <c r="Y3132">
        <v>0</v>
      </c>
      <c r="Z3132" t="s">
        <v>46</v>
      </c>
      <c r="AA3132">
        <v>56955</v>
      </c>
      <c r="AB3132" t="s">
        <v>2377</v>
      </c>
      <c r="AC3132" t="s">
        <v>97</v>
      </c>
      <c r="AD3132" t="s">
        <v>38</v>
      </c>
      <c r="AE3132" t="s">
        <v>49</v>
      </c>
      <c r="AF3132" t="s">
        <v>50</v>
      </c>
      <c r="AG3132">
        <v>0</v>
      </c>
      <c r="AH3132">
        <v>0</v>
      </c>
      <c r="AI3132" t="s">
        <v>51</v>
      </c>
      <c r="AJ3132" t="s">
        <v>51</v>
      </c>
      <c r="AK3132" t="s">
        <v>51</v>
      </c>
    </row>
    <row r="3133" spans="1:37" x14ac:dyDescent="0.2">
      <c r="A3133">
        <v>56939</v>
      </c>
      <c r="B3133" t="s">
        <v>37</v>
      </c>
      <c r="C3133" t="s">
        <v>38</v>
      </c>
      <c r="D3133" t="s">
        <v>323</v>
      </c>
      <c r="E3133" t="s">
        <v>40</v>
      </c>
      <c r="G3133" s="4">
        <v>43945.16087962963</v>
      </c>
      <c r="H3133" s="4">
        <v>43945.161053240741</v>
      </c>
      <c r="I3133" t="s">
        <v>315</v>
      </c>
      <c r="J3133" s="5">
        <v>14.99999999999999999999999999999999999999</v>
      </c>
      <c r="K3133" t="s">
        <v>38</v>
      </c>
      <c r="M3133">
        <v>56941</v>
      </c>
      <c r="N3133" t="s">
        <v>353</v>
      </c>
      <c r="O3133" t="s">
        <v>354</v>
      </c>
      <c r="P3133" t="s">
        <v>38</v>
      </c>
      <c r="Q3133" t="s">
        <v>50</v>
      </c>
      <c r="R3133">
        <v>.9999999999999999999999999999999999999996</v>
      </c>
      <c r="S3133" t="s">
        <v>45</v>
      </c>
      <c r="T3133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33">
        <v>56942</v>
      </c>
      <c r="V3133" t="s">
        <v>38</v>
      </c>
      <c r="W3133" t="s">
        <v>50</v>
      </c>
      <c r="X3133">
        <v>.9999999999999999999999999999999999999996</v>
      </c>
      <c r="Y3133">
        <v>0</v>
      </c>
      <c r="Z3133" t="s">
        <v>46</v>
      </c>
      <c r="AA3133">
        <v>56945</v>
      </c>
      <c r="AB3133" t="s">
        <v>2378</v>
      </c>
      <c r="AC3133" t="s">
        <v>97</v>
      </c>
      <c r="AD3133" t="s">
        <v>38</v>
      </c>
      <c r="AE3133" t="s">
        <v>49</v>
      </c>
      <c r="AF3133" t="s">
        <v>50</v>
      </c>
      <c r="AG3133">
        <v>.9999999999999999999999999999999999999996</v>
      </c>
      <c r="AH3133">
        <v>0</v>
      </c>
      <c r="AI3133" t="s">
        <v>51</v>
      </c>
      <c r="AJ3133" t="s">
        <v>51</v>
      </c>
      <c r="AK3133" t="s">
        <v>51</v>
      </c>
    </row>
    <row r="3134" spans="1:37" x14ac:dyDescent="0.2">
      <c r="A3134">
        <v>56939</v>
      </c>
      <c r="B3134" t="s">
        <v>37</v>
      </c>
      <c r="C3134" t="s">
        <v>38</v>
      </c>
      <c r="D3134" t="s">
        <v>323</v>
      </c>
      <c r="E3134" t="s">
        <v>40</v>
      </c>
      <c r="G3134" s="4">
        <v>43945.16087962963</v>
      </c>
      <c r="H3134" s="4">
        <v>43945.161053240741</v>
      </c>
      <c r="I3134" t="s">
        <v>315</v>
      </c>
      <c r="J3134" s="5">
        <v>14.99999999999999999999999999999999999999</v>
      </c>
      <c r="K3134" t="s">
        <v>38</v>
      </c>
      <c r="M3134">
        <v>56941</v>
      </c>
      <c r="N3134" t="s">
        <v>353</v>
      </c>
      <c r="O3134" t="s">
        <v>354</v>
      </c>
      <c r="P3134" t="s">
        <v>38</v>
      </c>
      <c r="Q3134" t="s">
        <v>50</v>
      </c>
      <c r="R3134">
        <v>.9999999999999999999999999999999999999996</v>
      </c>
      <c r="S3134" t="s">
        <v>45</v>
      </c>
      <c r="T3134" t="str" s="2">
        <f>=HYPERLINK("http://demo.enginatics.com:80/ecc/user/applications/log/56939.log","http://demo.enginatics.com:80/ecc/user/applications/log/56939.log")</f>
        <v>"http://demo.enginatics.com:80/ecc/user/applications/log/56939.log")</v>
      </c>
      <c r="U3134">
        <v>56942</v>
      </c>
      <c r="V3134" t="s">
        <v>38</v>
      </c>
      <c r="W3134" t="s">
        <v>50</v>
      </c>
      <c r="X3134">
        <v>.9999999999999999999999999999999999999996</v>
      </c>
      <c r="Y3134">
        <v>0</v>
      </c>
      <c r="Z3134" t="s">
        <v>46</v>
      </c>
      <c r="AA3134">
        <v>56944</v>
      </c>
      <c r="AB3134" t="s">
        <v>2379</v>
      </c>
      <c r="AC3134" t="s">
        <v>97</v>
      </c>
      <c r="AD3134" t="s">
        <v>38</v>
      </c>
      <c r="AE3134" t="s">
        <v>49</v>
      </c>
      <c r="AF3134" t="s">
        <v>50</v>
      </c>
      <c r="AG3134">
        <v>0</v>
      </c>
      <c r="AH3134">
        <v>0</v>
      </c>
      <c r="AI3134" t="s">
        <v>51</v>
      </c>
      <c r="AJ3134" t="s">
        <v>51</v>
      </c>
      <c r="AK3134" t="s">
        <v>51</v>
      </c>
    </row>
    <row r="3135" spans="1:37" x14ac:dyDescent="0.2">
      <c r="A3135">
        <v>56931</v>
      </c>
      <c r="B3135" t="s">
        <v>37</v>
      </c>
      <c r="C3135" t="s">
        <v>196</v>
      </c>
      <c r="D3135" t="s">
        <v>361</v>
      </c>
      <c r="E3135" t="s">
        <v>40</v>
      </c>
      <c r="G3135" s="4">
        <v>43945.160856481481</v>
      </c>
      <c r="H3135" s="4">
        <v>43945.160972222222</v>
      </c>
      <c r="I3135" t="s">
        <v>300</v>
      </c>
      <c r="J3135" s="5">
        <v>10.00000000000000000000000000000000000002</v>
      </c>
      <c r="K3135" t="s">
        <v>196</v>
      </c>
      <c r="M3135">
        <v>56999</v>
      </c>
      <c r="N3135" t="s">
        <v>362</v>
      </c>
      <c r="O3135" t="s">
        <v>363</v>
      </c>
      <c r="P3135" t="s">
        <v>196</v>
      </c>
      <c r="Q3135" t="s">
        <v>50</v>
      </c>
      <c r="R3135">
        <v>0</v>
      </c>
      <c r="S3135" t="s">
        <v>364</v>
      </c>
      <c r="T3135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35">
        <v>57000</v>
      </c>
      <c r="V3135" t="s">
        <v>196</v>
      </c>
      <c r="W3135" t="s">
        <v>50</v>
      </c>
      <c r="X3135">
        <v>0</v>
      </c>
      <c r="Y3135">
        <v>0</v>
      </c>
      <c r="Z3135" t="s">
        <v>2380</v>
      </c>
    </row>
    <row r="3136" spans="1:37" x14ac:dyDescent="0.2">
      <c r="A3136">
        <v>56931</v>
      </c>
      <c r="B3136" t="s">
        <v>37</v>
      </c>
      <c r="C3136" t="s">
        <v>196</v>
      </c>
      <c r="D3136" t="s">
        <v>361</v>
      </c>
      <c r="E3136" t="s">
        <v>40</v>
      </c>
      <c r="G3136" s="4">
        <v>43945.160856481481</v>
      </c>
      <c r="H3136" s="4">
        <v>43945.160972222222</v>
      </c>
      <c r="I3136" t="s">
        <v>300</v>
      </c>
      <c r="J3136" s="5">
        <v>10.00000000000000000000000000000000000002</v>
      </c>
      <c r="K3136" t="s">
        <v>196</v>
      </c>
      <c r="M3136">
        <v>56996</v>
      </c>
      <c r="N3136" t="s">
        <v>366</v>
      </c>
      <c r="O3136" t="s">
        <v>367</v>
      </c>
      <c r="P3136" t="s">
        <v>38</v>
      </c>
      <c r="Q3136" t="s">
        <v>50</v>
      </c>
      <c r="R3136">
        <v>0</v>
      </c>
      <c r="S3136" t="s">
        <v>45</v>
      </c>
      <c r="T3136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36">
        <v>56997</v>
      </c>
      <c r="V3136" t="s">
        <v>38</v>
      </c>
      <c r="W3136" t="s">
        <v>50</v>
      </c>
      <c r="X3136">
        <v>0</v>
      </c>
      <c r="Y3136">
        <v>0</v>
      </c>
      <c r="Z3136" t="s">
        <v>46</v>
      </c>
      <c r="AA3136">
        <v>56998</v>
      </c>
      <c r="AB3136" t="s">
        <v>2381</v>
      </c>
      <c r="AC3136" t="s">
        <v>97</v>
      </c>
      <c r="AD3136" t="s">
        <v>38</v>
      </c>
      <c r="AE3136" t="s">
        <v>49</v>
      </c>
      <c r="AF3136" t="s">
        <v>50</v>
      </c>
      <c r="AG3136">
        <v>0</v>
      </c>
      <c r="AH3136">
        <v>0</v>
      </c>
      <c r="AI3136" t="s">
        <v>51</v>
      </c>
      <c r="AJ3136" t="s">
        <v>51</v>
      </c>
      <c r="AK3136" t="s">
        <v>51</v>
      </c>
    </row>
    <row r="3137" spans="1:37" x14ac:dyDescent="0.2">
      <c r="A3137">
        <v>56931</v>
      </c>
      <c r="B3137" t="s">
        <v>37</v>
      </c>
      <c r="C3137" t="s">
        <v>196</v>
      </c>
      <c r="D3137" t="s">
        <v>361</v>
      </c>
      <c r="E3137" t="s">
        <v>40</v>
      </c>
      <c r="G3137" s="4">
        <v>43945.160856481481</v>
      </c>
      <c r="H3137" s="4">
        <v>43945.160972222222</v>
      </c>
      <c r="I3137" t="s">
        <v>300</v>
      </c>
      <c r="J3137" s="5">
        <v>10.00000000000000000000000000000000000002</v>
      </c>
      <c r="K3137" t="s">
        <v>196</v>
      </c>
      <c r="M3137">
        <v>56994</v>
      </c>
      <c r="N3137" t="s">
        <v>369</v>
      </c>
      <c r="O3137" t="s">
        <v>345</v>
      </c>
      <c r="P3137" t="s">
        <v>196</v>
      </c>
      <c r="Q3137" t="s">
        <v>50</v>
      </c>
      <c r="R3137">
        <v>0</v>
      </c>
      <c r="S3137" t="s">
        <v>370</v>
      </c>
      <c r="T3137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37">
        <v>56995</v>
      </c>
      <c r="V3137" t="s">
        <v>196</v>
      </c>
      <c r="W3137" t="s">
        <v>50</v>
      </c>
      <c r="X3137">
        <v>0</v>
      </c>
      <c r="Y3137">
        <v>0</v>
      </c>
      <c r="Z3137" t="s">
        <v>2382</v>
      </c>
    </row>
    <row r="3138" spans="1:37" x14ac:dyDescent="0.2">
      <c r="A3138">
        <v>56931</v>
      </c>
      <c r="B3138" t="s">
        <v>37</v>
      </c>
      <c r="C3138" t="s">
        <v>196</v>
      </c>
      <c r="D3138" t="s">
        <v>361</v>
      </c>
      <c r="E3138" t="s">
        <v>40</v>
      </c>
      <c r="G3138" s="4">
        <v>43945.160856481481</v>
      </c>
      <c r="H3138" s="4">
        <v>43945.160972222222</v>
      </c>
      <c r="I3138" t="s">
        <v>300</v>
      </c>
      <c r="J3138" s="5">
        <v>10.00000000000000000000000000000000000002</v>
      </c>
      <c r="K3138" t="s">
        <v>196</v>
      </c>
      <c r="M3138">
        <v>56986</v>
      </c>
      <c r="N3138" t="s">
        <v>372</v>
      </c>
      <c r="O3138" t="s">
        <v>373</v>
      </c>
      <c r="P3138" t="s">
        <v>38</v>
      </c>
      <c r="Q3138" t="s">
        <v>50</v>
      </c>
      <c r="R3138">
        <v>.9999999999999999999999999999999999999996</v>
      </c>
      <c r="S3138" t="s">
        <v>45</v>
      </c>
      <c r="T3138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38">
        <v>56987</v>
      </c>
      <c r="V3138" t="s">
        <v>38</v>
      </c>
      <c r="W3138" t="s">
        <v>50</v>
      </c>
      <c r="X3138">
        <v>.9999999999999999999999999999999999999996</v>
      </c>
      <c r="Y3138">
        <v>0</v>
      </c>
      <c r="Z3138" t="s">
        <v>46</v>
      </c>
      <c r="AA3138">
        <v>56993</v>
      </c>
      <c r="AB3138" t="s">
        <v>2383</v>
      </c>
      <c r="AC3138" t="s">
        <v>103</v>
      </c>
      <c r="AD3138" t="s">
        <v>38</v>
      </c>
      <c r="AE3138" t="s">
        <v>49</v>
      </c>
      <c r="AF3138" t="s">
        <v>50</v>
      </c>
      <c r="AG3138">
        <v>0</v>
      </c>
      <c r="AH3138">
        <v>0</v>
      </c>
      <c r="AI3138" t="s">
        <v>51</v>
      </c>
      <c r="AJ3138" t="s">
        <v>51</v>
      </c>
      <c r="AK3138" t="s">
        <v>51</v>
      </c>
    </row>
    <row r="3139" spans="1:37" x14ac:dyDescent="0.2">
      <c r="A3139">
        <v>56931</v>
      </c>
      <c r="B3139" t="s">
        <v>37</v>
      </c>
      <c r="C3139" t="s">
        <v>196</v>
      </c>
      <c r="D3139" t="s">
        <v>361</v>
      </c>
      <c r="E3139" t="s">
        <v>40</v>
      </c>
      <c r="G3139" s="4">
        <v>43945.160856481481</v>
      </c>
      <c r="H3139" s="4">
        <v>43945.160972222222</v>
      </c>
      <c r="I3139" t="s">
        <v>300</v>
      </c>
      <c r="J3139" s="5">
        <v>10.00000000000000000000000000000000000002</v>
      </c>
      <c r="K3139" t="s">
        <v>196</v>
      </c>
      <c r="M3139">
        <v>56986</v>
      </c>
      <c r="N3139" t="s">
        <v>372</v>
      </c>
      <c r="O3139" t="s">
        <v>373</v>
      </c>
      <c r="P3139" t="s">
        <v>38</v>
      </c>
      <c r="Q3139" t="s">
        <v>50</v>
      </c>
      <c r="R3139">
        <v>.9999999999999999999999999999999999999996</v>
      </c>
      <c r="S3139" t="s">
        <v>45</v>
      </c>
      <c r="T3139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39">
        <v>56987</v>
      </c>
      <c r="V3139" t="s">
        <v>38</v>
      </c>
      <c r="W3139" t="s">
        <v>50</v>
      </c>
      <c r="X3139">
        <v>.9999999999999999999999999999999999999996</v>
      </c>
      <c r="Y3139">
        <v>0</v>
      </c>
      <c r="Z3139" t="s">
        <v>46</v>
      </c>
      <c r="AA3139">
        <v>56992</v>
      </c>
      <c r="AB3139" t="s">
        <v>2384</v>
      </c>
      <c r="AC3139" t="s">
        <v>103</v>
      </c>
      <c r="AD3139" t="s">
        <v>38</v>
      </c>
      <c r="AE3139" t="s">
        <v>49</v>
      </c>
      <c r="AF3139" t="s">
        <v>50</v>
      </c>
      <c r="AG3139">
        <v>0</v>
      </c>
      <c r="AH3139">
        <v>0</v>
      </c>
      <c r="AI3139" t="s">
        <v>51</v>
      </c>
      <c r="AJ3139" t="s">
        <v>51</v>
      </c>
      <c r="AK3139" t="s">
        <v>51</v>
      </c>
    </row>
    <row r="3140" spans="1:37" x14ac:dyDescent="0.2">
      <c r="A3140">
        <v>56931</v>
      </c>
      <c r="B3140" t="s">
        <v>37</v>
      </c>
      <c r="C3140" t="s">
        <v>196</v>
      </c>
      <c r="D3140" t="s">
        <v>361</v>
      </c>
      <c r="E3140" t="s">
        <v>40</v>
      </c>
      <c r="G3140" s="4">
        <v>43945.160856481481</v>
      </c>
      <c r="H3140" s="4">
        <v>43945.160972222222</v>
      </c>
      <c r="I3140" t="s">
        <v>300</v>
      </c>
      <c r="J3140" s="5">
        <v>10.00000000000000000000000000000000000002</v>
      </c>
      <c r="K3140" t="s">
        <v>196</v>
      </c>
      <c r="M3140">
        <v>56986</v>
      </c>
      <c r="N3140" t="s">
        <v>372</v>
      </c>
      <c r="O3140" t="s">
        <v>373</v>
      </c>
      <c r="P3140" t="s">
        <v>38</v>
      </c>
      <c r="Q3140" t="s">
        <v>50</v>
      </c>
      <c r="R3140">
        <v>.9999999999999999999999999999999999999996</v>
      </c>
      <c r="S3140" t="s">
        <v>45</v>
      </c>
      <c r="T3140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0">
        <v>56987</v>
      </c>
      <c r="V3140" t="s">
        <v>38</v>
      </c>
      <c r="W3140" t="s">
        <v>50</v>
      </c>
      <c r="X3140">
        <v>.9999999999999999999999999999999999999996</v>
      </c>
      <c r="Y3140">
        <v>0</v>
      </c>
      <c r="Z3140" t="s">
        <v>46</v>
      </c>
      <c r="AA3140">
        <v>56991</v>
      </c>
      <c r="AB3140" t="s">
        <v>2385</v>
      </c>
      <c r="AC3140" t="s">
        <v>103</v>
      </c>
      <c r="AD3140" t="s">
        <v>38</v>
      </c>
      <c r="AE3140" t="s">
        <v>49</v>
      </c>
      <c r="AF3140" t="s">
        <v>50</v>
      </c>
      <c r="AG3140">
        <v>.9999999999999999999999999999999999999996</v>
      </c>
      <c r="AH3140">
        <v>0</v>
      </c>
      <c r="AI3140" t="s">
        <v>51</v>
      </c>
      <c r="AJ3140" t="s">
        <v>51</v>
      </c>
      <c r="AK3140" t="s">
        <v>51</v>
      </c>
    </row>
    <row r="3141" spans="1:37" x14ac:dyDescent="0.2">
      <c r="A3141">
        <v>56931</v>
      </c>
      <c r="B3141" t="s">
        <v>37</v>
      </c>
      <c r="C3141" t="s">
        <v>196</v>
      </c>
      <c r="D3141" t="s">
        <v>361</v>
      </c>
      <c r="E3141" t="s">
        <v>40</v>
      </c>
      <c r="G3141" s="4">
        <v>43945.160856481481</v>
      </c>
      <c r="H3141" s="4">
        <v>43945.160972222222</v>
      </c>
      <c r="I3141" t="s">
        <v>300</v>
      </c>
      <c r="J3141" s="5">
        <v>10.00000000000000000000000000000000000002</v>
      </c>
      <c r="K3141" t="s">
        <v>196</v>
      </c>
      <c r="M3141">
        <v>56986</v>
      </c>
      <c r="N3141" t="s">
        <v>372</v>
      </c>
      <c r="O3141" t="s">
        <v>373</v>
      </c>
      <c r="P3141" t="s">
        <v>38</v>
      </c>
      <c r="Q3141" t="s">
        <v>50</v>
      </c>
      <c r="R3141">
        <v>.9999999999999999999999999999999999999996</v>
      </c>
      <c r="S3141" t="s">
        <v>45</v>
      </c>
      <c r="T3141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1">
        <v>56987</v>
      </c>
      <c r="V3141" t="s">
        <v>38</v>
      </c>
      <c r="W3141" t="s">
        <v>50</v>
      </c>
      <c r="X3141">
        <v>.9999999999999999999999999999999999999996</v>
      </c>
      <c r="Y3141">
        <v>0</v>
      </c>
      <c r="Z3141" t="s">
        <v>46</v>
      </c>
      <c r="AA3141">
        <v>56990</v>
      </c>
      <c r="AB3141" t="s">
        <v>2386</v>
      </c>
      <c r="AC3141" t="s">
        <v>103</v>
      </c>
      <c r="AD3141" t="s">
        <v>38</v>
      </c>
      <c r="AE3141" t="s">
        <v>49</v>
      </c>
      <c r="AF3141" t="s">
        <v>50</v>
      </c>
      <c r="AG3141">
        <v>0</v>
      </c>
      <c r="AH3141">
        <v>0</v>
      </c>
      <c r="AI3141" t="s">
        <v>51</v>
      </c>
      <c r="AJ3141" t="s">
        <v>51</v>
      </c>
      <c r="AK3141" t="s">
        <v>51</v>
      </c>
    </row>
    <row r="3142" spans="1:37" x14ac:dyDescent="0.2">
      <c r="A3142">
        <v>56931</v>
      </c>
      <c r="B3142" t="s">
        <v>37</v>
      </c>
      <c r="C3142" t="s">
        <v>196</v>
      </c>
      <c r="D3142" t="s">
        <v>361</v>
      </c>
      <c r="E3142" t="s">
        <v>40</v>
      </c>
      <c r="G3142" s="4">
        <v>43945.160856481481</v>
      </c>
      <c r="H3142" s="4">
        <v>43945.160972222222</v>
      </c>
      <c r="I3142" t="s">
        <v>300</v>
      </c>
      <c r="J3142" s="5">
        <v>10.00000000000000000000000000000000000002</v>
      </c>
      <c r="K3142" t="s">
        <v>196</v>
      </c>
      <c r="M3142">
        <v>56986</v>
      </c>
      <c r="N3142" t="s">
        <v>372</v>
      </c>
      <c r="O3142" t="s">
        <v>373</v>
      </c>
      <c r="P3142" t="s">
        <v>38</v>
      </c>
      <c r="Q3142" t="s">
        <v>50</v>
      </c>
      <c r="R3142">
        <v>.9999999999999999999999999999999999999996</v>
      </c>
      <c r="S3142" t="s">
        <v>45</v>
      </c>
      <c r="T3142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2">
        <v>56987</v>
      </c>
      <c r="V3142" t="s">
        <v>38</v>
      </c>
      <c r="W3142" t="s">
        <v>50</v>
      </c>
      <c r="X3142">
        <v>.9999999999999999999999999999999999999996</v>
      </c>
      <c r="Y3142">
        <v>0</v>
      </c>
      <c r="Z3142" t="s">
        <v>46</v>
      </c>
      <c r="AA3142">
        <v>56989</v>
      </c>
      <c r="AB3142" t="s">
        <v>2387</v>
      </c>
      <c r="AC3142" t="s">
        <v>103</v>
      </c>
      <c r="AD3142" t="s">
        <v>38</v>
      </c>
      <c r="AE3142" t="s">
        <v>49</v>
      </c>
      <c r="AF3142" t="s">
        <v>50</v>
      </c>
      <c r="AG3142">
        <v>0</v>
      </c>
      <c r="AH3142">
        <v>0</v>
      </c>
      <c r="AI3142" t="s">
        <v>51</v>
      </c>
      <c r="AJ3142" t="s">
        <v>51</v>
      </c>
      <c r="AK3142" t="s">
        <v>51</v>
      </c>
    </row>
    <row r="3143" spans="1:37" x14ac:dyDescent="0.2">
      <c r="A3143">
        <v>56931</v>
      </c>
      <c r="B3143" t="s">
        <v>37</v>
      </c>
      <c r="C3143" t="s">
        <v>196</v>
      </c>
      <c r="D3143" t="s">
        <v>361</v>
      </c>
      <c r="E3143" t="s">
        <v>40</v>
      </c>
      <c r="G3143" s="4">
        <v>43945.160856481481</v>
      </c>
      <c r="H3143" s="4">
        <v>43945.160972222222</v>
      </c>
      <c r="I3143" t="s">
        <v>300</v>
      </c>
      <c r="J3143" s="5">
        <v>10.00000000000000000000000000000000000002</v>
      </c>
      <c r="K3143" t="s">
        <v>196</v>
      </c>
      <c r="M3143">
        <v>56986</v>
      </c>
      <c r="N3143" t="s">
        <v>372</v>
      </c>
      <c r="O3143" t="s">
        <v>373</v>
      </c>
      <c r="P3143" t="s">
        <v>38</v>
      </c>
      <c r="Q3143" t="s">
        <v>50</v>
      </c>
      <c r="R3143">
        <v>.9999999999999999999999999999999999999996</v>
      </c>
      <c r="S3143" t="s">
        <v>45</v>
      </c>
      <c r="T3143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3">
        <v>56987</v>
      </c>
      <c r="V3143" t="s">
        <v>38</v>
      </c>
      <c r="W3143" t="s">
        <v>50</v>
      </c>
      <c r="X3143">
        <v>.9999999999999999999999999999999999999996</v>
      </c>
      <c r="Y3143">
        <v>0</v>
      </c>
      <c r="Z3143" t="s">
        <v>46</v>
      </c>
      <c r="AA3143">
        <v>56988</v>
      </c>
      <c r="AB3143" t="s">
        <v>2388</v>
      </c>
      <c r="AC3143" t="s">
        <v>103</v>
      </c>
      <c r="AD3143" t="s">
        <v>38</v>
      </c>
      <c r="AE3143" t="s">
        <v>49</v>
      </c>
      <c r="AF3143" t="s">
        <v>50</v>
      </c>
      <c r="AG3143">
        <v>0</v>
      </c>
      <c r="AH3143">
        <v>0</v>
      </c>
      <c r="AI3143" t="s">
        <v>51</v>
      </c>
      <c r="AJ3143" t="s">
        <v>51</v>
      </c>
      <c r="AK3143" t="s">
        <v>51</v>
      </c>
    </row>
    <row r="3144" spans="1:37" x14ac:dyDescent="0.2">
      <c r="A3144">
        <v>56931</v>
      </c>
      <c r="B3144" t="s">
        <v>37</v>
      </c>
      <c r="C3144" t="s">
        <v>196</v>
      </c>
      <c r="D3144" t="s">
        <v>361</v>
      </c>
      <c r="E3144" t="s">
        <v>40</v>
      </c>
      <c r="G3144" s="4">
        <v>43945.160856481481</v>
      </c>
      <c r="H3144" s="4">
        <v>43945.160972222222</v>
      </c>
      <c r="I3144" t="s">
        <v>300</v>
      </c>
      <c r="J3144" s="5">
        <v>10.00000000000000000000000000000000000002</v>
      </c>
      <c r="K3144" t="s">
        <v>196</v>
      </c>
      <c r="M3144">
        <v>56978</v>
      </c>
      <c r="N3144" t="s">
        <v>380</v>
      </c>
      <c r="O3144" t="s">
        <v>381</v>
      </c>
      <c r="P3144" t="s">
        <v>38</v>
      </c>
      <c r="Q3144" t="s">
        <v>88</v>
      </c>
      <c r="R3144">
        <v>2</v>
      </c>
      <c r="S3144" t="s">
        <v>45</v>
      </c>
      <c r="T3144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4">
        <v>56979</v>
      </c>
      <c r="V3144" t="s">
        <v>38</v>
      </c>
      <c r="W3144" t="s">
        <v>88</v>
      </c>
      <c r="X3144">
        <v>2</v>
      </c>
      <c r="Y3144">
        <v>0</v>
      </c>
      <c r="Z3144" t="s">
        <v>46</v>
      </c>
      <c r="AA3144">
        <v>56985</v>
      </c>
      <c r="AB3144" t="s">
        <v>2389</v>
      </c>
      <c r="AC3144" t="s">
        <v>103</v>
      </c>
      <c r="AD3144" t="s">
        <v>38</v>
      </c>
      <c r="AE3144" t="s">
        <v>49</v>
      </c>
      <c r="AF3144" t="s">
        <v>50</v>
      </c>
      <c r="AG3144">
        <v>0</v>
      </c>
      <c r="AH3144">
        <v>0</v>
      </c>
      <c r="AI3144" t="s">
        <v>51</v>
      </c>
      <c r="AJ3144" t="s">
        <v>51</v>
      </c>
      <c r="AK3144" t="s">
        <v>51</v>
      </c>
    </row>
    <row r="3145" spans="1:37" x14ac:dyDescent="0.2">
      <c r="A3145">
        <v>56931</v>
      </c>
      <c r="B3145" t="s">
        <v>37</v>
      </c>
      <c r="C3145" t="s">
        <v>196</v>
      </c>
      <c r="D3145" t="s">
        <v>361</v>
      </c>
      <c r="E3145" t="s">
        <v>40</v>
      </c>
      <c r="G3145" s="4">
        <v>43945.160856481481</v>
      </c>
      <c r="H3145" s="4">
        <v>43945.160972222222</v>
      </c>
      <c r="I3145" t="s">
        <v>300</v>
      </c>
      <c r="J3145" s="5">
        <v>10.00000000000000000000000000000000000002</v>
      </c>
      <c r="K3145" t="s">
        <v>196</v>
      </c>
      <c r="M3145">
        <v>56978</v>
      </c>
      <c r="N3145" t="s">
        <v>380</v>
      </c>
      <c r="O3145" t="s">
        <v>381</v>
      </c>
      <c r="P3145" t="s">
        <v>38</v>
      </c>
      <c r="Q3145" t="s">
        <v>88</v>
      </c>
      <c r="R3145">
        <v>2</v>
      </c>
      <c r="S3145" t="s">
        <v>45</v>
      </c>
      <c r="T3145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5">
        <v>56979</v>
      </c>
      <c r="V3145" t="s">
        <v>38</v>
      </c>
      <c r="W3145" t="s">
        <v>88</v>
      </c>
      <c r="X3145">
        <v>2</v>
      </c>
      <c r="Y3145">
        <v>0</v>
      </c>
      <c r="Z3145" t="s">
        <v>46</v>
      </c>
      <c r="AA3145">
        <v>56984</v>
      </c>
      <c r="AB3145" t="s">
        <v>2390</v>
      </c>
      <c r="AC3145" t="s">
        <v>103</v>
      </c>
      <c r="AD3145" t="s">
        <v>38</v>
      </c>
      <c r="AE3145" t="s">
        <v>49</v>
      </c>
      <c r="AF3145" t="s">
        <v>50</v>
      </c>
      <c r="AG3145">
        <v>0</v>
      </c>
      <c r="AH3145">
        <v>0</v>
      </c>
      <c r="AI3145" t="s">
        <v>51</v>
      </c>
      <c r="AJ3145" t="s">
        <v>51</v>
      </c>
      <c r="AK3145" t="s">
        <v>51</v>
      </c>
    </row>
    <row r="3146" spans="1:37" x14ac:dyDescent="0.2">
      <c r="A3146">
        <v>56931</v>
      </c>
      <c r="B3146" t="s">
        <v>37</v>
      </c>
      <c r="C3146" t="s">
        <v>196</v>
      </c>
      <c r="D3146" t="s">
        <v>361</v>
      </c>
      <c r="E3146" t="s">
        <v>40</v>
      </c>
      <c r="G3146" s="4">
        <v>43945.160856481481</v>
      </c>
      <c r="H3146" s="4">
        <v>43945.160972222222</v>
      </c>
      <c r="I3146" t="s">
        <v>300</v>
      </c>
      <c r="J3146" s="5">
        <v>10.00000000000000000000000000000000000002</v>
      </c>
      <c r="K3146" t="s">
        <v>196</v>
      </c>
      <c r="M3146">
        <v>56978</v>
      </c>
      <c r="N3146" t="s">
        <v>380</v>
      </c>
      <c r="O3146" t="s">
        <v>381</v>
      </c>
      <c r="P3146" t="s">
        <v>38</v>
      </c>
      <c r="Q3146" t="s">
        <v>88</v>
      </c>
      <c r="R3146">
        <v>2</v>
      </c>
      <c r="S3146" t="s">
        <v>45</v>
      </c>
      <c r="T3146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6">
        <v>56979</v>
      </c>
      <c r="V3146" t="s">
        <v>38</v>
      </c>
      <c r="W3146" t="s">
        <v>88</v>
      </c>
      <c r="X3146">
        <v>2</v>
      </c>
      <c r="Y3146">
        <v>0</v>
      </c>
      <c r="Z3146" t="s">
        <v>46</v>
      </c>
      <c r="AA3146">
        <v>56983</v>
      </c>
      <c r="AB3146" t="s">
        <v>2391</v>
      </c>
      <c r="AC3146" t="s">
        <v>103</v>
      </c>
      <c r="AD3146" t="s">
        <v>38</v>
      </c>
      <c r="AE3146" t="s">
        <v>49</v>
      </c>
      <c r="AF3146" t="s">
        <v>50</v>
      </c>
      <c r="AG3146">
        <v>0</v>
      </c>
      <c r="AH3146">
        <v>0</v>
      </c>
      <c r="AI3146" t="s">
        <v>51</v>
      </c>
      <c r="AJ3146" t="s">
        <v>51</v>
      </c>
      <c r="AK3146" t="s">
        <v>51</v>
      </c>
    </row>
    <row r="3147" spans="1:37" x14ac:dyDescent="0.2">
      <c r="A3147">
        <v>56931</v>
      </c>
      <c r="B3147" t="s">
        <v>37</v>
      </c>
      <c r="C3147" t="s">
        <v>196</v>
      </c>
      <c r="D3147" t="s">
        <v>361</v>
      </c>
      <c r="E3147" t="s">
        <v>40</v>
      </c>
      <c r="G3147" s="4">
        <v>43945.160856481481</v>
      </c>
      <c r="H3147" s="4">
        <v>43945.160972222222</v>
      </c>
      <c r="I3147" t="s">
        <v>300</v>
      </c>
      <c r="J3147" s="5">
        <v>10.00000000000000000000000000000000000002</v>
      </c>
      <c r="K3147" t="s">
        <v>196</v>
      </c>
      <c r="M3147">
        <v>56978</v>
      </c>
      <c r="N3147" t="s">
        <v>380</v>
      </c>
      <c r="O3147" t="s">
        <v>381</v>
      </c>
      <c r="P3147" t="s">
        <v>38</v>
      </c>
      <c r="Q3147" t="s">
        <v>88</v>
      </c>
      <c r="R3147">
        <v>2</v>
      </c>
      <c r="S3147" t="s">
        <v>45</v>
      </c>
      <c r="T3147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7">
        <v>56979</v>
      </c>
      <c r="V3147" t="s">
        <v>38</v>
      </c>
      <c r="W3147" t="s">
        <v>88</v>
      </c>
      <c r="X3147">
        <v>2</v>
      </c>
      <c r="Y3147">
        <v>0</v>
      </c>
      <c r="Z3147" t="s">
        <v>46</v>
      </c>
      <c r="AA3147">
        <v>56982</v>
      </c>
      <c r="AB3147" t="s">
        <v>2392</v>
      </c>
      <c r="AC3147" t="s">
        <v>103</v>
      </c>
      <c r="AD3147" t="s">
        <v>38</v>
      </c>
      <c r="AE3147" t="s">
        <v>49</v>
      </c>
      <c r="AF3147" t="s">
        <v>50</v>
      </c>
      <c r="AG3147">
        <v>.9999999999999999999999999999999999999996</v>
      </c>
      <c r="AH3147">
        <v>0</v>
      </c>
      <c r="AI3147" t="s">
        <v>51</v>
      </c>
      <c r="AJ3147" t="s">
        <v>51</v>
      </c>
      <c r="AK3147" t="s">
        <v>51</v>
      </c>
    </row>
    <row r="3148" spans="1:37" x14ac:dyDescent="0.2">
      <c r="A3148">
        <v>56931</v>
      </c>
      <c r="B3148" t="s">
        <v>37</v>
      </c>
      <c r="C3148" t="s">
        <v>196</v>
      </c>
      <c r="D3148" t="s">
        <v>361</v>
      </c>
      <c r="E3148" t="s">
        <v>40</v>
      </c>
      <c r="G3148" s="4">
        <v>43945.160856481481</v>
      </c>
      <c r="H3148" s="4">
        <v>43945.160972222222</v>
      </c>
      <c r="I3148" t="s">
        <v>300</v>
      </c>
      <c r="J3148" s="5">
        <v>10.00000000000000000000000000000000000002</v>
      </c>
      <c r="K3148" t="s">
        <v>196</v>
      </c>
      <c r="M3148">
        <v>56978</v>
      </c>
      <c r="N3148" t="s">
        <v>380</v>
      </c>
      <c r="O3148" t="s">
        <v>381</v>
      </c>
      <c r="P3148" t="s">
        <v>38</v>
      </c>
      <c r="Q3148" t="s">
        <v>88</v>
      </c>
      <c r="R3148">
        <v>2</v>
      </c>
      <c r="S3148" t="s">
        <v>45</v>
      </c>
      <c r="T3148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8">
        <v>56979</v>
      </c>
      <c r="V3148" t="s">
        <v>38</v>
      </c>
      <c r="W3148" t="s">
        <v>88</v>
      </c>
      <c r="X3148">
        <v>2</v>
      </c>
      <c r="Y3148">
        <v>0</v>
      </c>
      <c r="Z3148" t="s">
        <v>46</v>
      </c>
      <c r="AA3148">
        <v>56981</v>
      </c>
      <c r="AB3148" t="s">
        <v>2393</v>
      </c>
      <c r="AC3148" t="s">
        <v>103</v>
      </c>
      <c r="AD3148" t="s">
        <v>38</v>
      </c>
      <c r="AE3148" t="s">
        <v>49</v>
      </c>
      <c r="AF3148" t="s">
        <v>50</v>
      </c>
      <c r="AG3148">
        <v>0</v>
      </c>
      <c r="AH3148">
        <v>0</v>
      </c>
      <c r="AI3148" t="s">
        <v>51</v>
      </c>
      <c r="AJ3148" t="s">
        <v>51</v>
      </c>
      <c r="AK3148" t="s">
        <v>51</v>
      </c>
    </row>
    <row r="3149" spans="1:37" x14ac:dyDescent="0.2">
      <c r="A3149">
        <v>56931</v>
      </c>
      <c r="B3149" t="s">
        <v>37</v>
      </c>
      <c r="C3149" t="s">
        <v>196</v>
      </c>
      <c r="D3149" t="s">
        <v>361</v>
      </c>
      <c r="E3149" t="s">
        <v>40</v>
      </c>
      <c r="G3149" s="4">
        <v>43945.160856481481</v>
      </c>
      <c r="H3149" s="4">
        <v>43945.160972222222</v>
      </c>
      <c r="I3149" t="s">
        <v>300</v>
      </c>
      <c r="J3149" s="5">
        <v>10.00000000000000000000000000000000000002</v>
      </c>
      <c r="K3149" t="s">
        <v>196</v>
      </c>
      <c r="M3149">
        <v>56978</v>
      </c>
      <c r="N3149" t="s">
        <v>380</v>
      </c>
      <c r="O3149" t="s">
        <v>381</v>
      </c>
      <c r="P3149" t="s">
        <v>38</v>
      </c>
      <c r="Q3149" t="s">
        <v>88</v>
      </c>
      <c r="R3149">
        <v>2</v>
      </c>
      <c r="S3149" t="s">
        <v>45</v>
      </c>
      <c r="T3149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49">
        <v>56979</v>
      </c>
      <c r="V3149" t="s">
        <v>38</v>
      </c>
      <c r="W3149" t="s">
        <v>88</v>
      </c>
      <c r="X3149">
        <v>2</v>
      </c>
      <c r="Y3149">
        <v>0</v>
      </c>
      <c r="Z3149" t="s">
        <v>46</v>
      </c>
      <c r="AA3149">
        <v>56980</v>
      </c>
      <c r="AB3149" t="s">
        <v>2394</v>
      </c>
      <c r="AC3149" t="s">
        <v>103</v>
      </c>
      <c r="AD3149" t="s">
        <v>38</v>
      </c>
      <c r="AE3149" t="s">
        <v>49</v>
      </c>
      <c r="AF3149" t="s">
        <v>50</v>
      </c>
      <c r="AG3149">
        <v>.9999999999999999999999999999999999999996</v>
      </c>
      <c r="AH3149">
        <v>0</v>
      </c>
      <c r="AI3149" t="s">
        <v>51</v>
      </c>
      <c r="AJ3149" t="s">
        <v>51</v>
      </c>
      <c r="AK3149" t="s">
        <v>51</v>
      </c>
    </row>
    <row r="3150" spans="1:37" x14ac:dyDescent="0.2">
      <c r="A3150">
        <v>56931</v>
      </c>
      <c r="B3150" t="s">
        <v>37</v>
      </c>
      <c r="C3150" t="s">
        <v>196</v>
      </c>
      <c r="D3150" t="s">
        <v>361</v>
      </c>
      <c r="E3150" t="s">
        <v>40</v>
      </c>
      <c r="G3150" s="4">
        <v>43945.160856481481</v>
      </c>
      <c r="H3150" s="4">
        <v>43945.160972222222</v>
      </c>
      <c r="I3150" t="s">
        <v>300</v>
      </c>
      <c r="J3150" s="5">
        <v>10.00000000000000000000000000000000000002</v>
      </c>
      <c r="K3150" t="s">
        <v>196</v>
      </c>
      <c r="M3150">
        <v>56974</v>
      </c>
      <c r="N3150" t="s">
        <v>388</v>
      </c>
      <c r="O3150" t="s">
        <v>389</v>
      </c>
      <c r="P3150" t="s">
        <v>38</v>
      </c>
      <c r="Q3150" t="s">
        <v>88</v>
      </c>
      <c r="R3150">
        <v>2</v>
      </c>
      <c r="S3150" t="s">
        <v>45</v>
      </c>
      <c r="T3150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0">
        <v>56976</v>
      </c>
      <c r="V3150" t="s">
        <v>38</v>
      </c>
      <c r="W3150" t="s">
        <v>50</v>
      </c>
      <c r="X3150">
        <v>0</v>
      </c>
      <c r="Y3150">
        <v>0</v>
      </c>
      <c r="Z3150" t="s">
        <v>46</v>
      </c>
      <c r="AA3150">
        <v>56977</v>
      </c>
      <c r="AB3150" t="s">
        <v>2395</v>
      </c>
      <c r="AC3150" t="s">
        <v>97</v>
      </c>
      <c r="AD3150" t="s">
        <v>38</v>
      </c>
      <c r="AE3150" t="s">
        <v>49</v>
      </c>
      <c r="AF3150" t="s">
        <v>50</v>
      </c>
      <c r="AG3150">
        <v>0</v>
      </c>
      <c r="AH3150">
        <v>0</v>
      </c>
      <c r="AI3150" t="s">
        <v>51</v>
      </c>
      <c r="AJ3150" t="s">
        <v>51</v>
      </c>
      <c r="AK3150" t="s">
        <v>51</v>
      </c>
    </row>
    <row r="3151" spans="1:37" x14ac:dyDescent="0.2">
      <c r="A3151">
        <v>56931</v>
      </c>
      <c r="B3151" t="s">
        <v>37</v>
      </c>
      <c r="C3151" t="s">
        <v>196</v>
      </c>
      <c r="D3151" t="s">
        <v>361</v>
      </c>
      <c r="E3151" t="s">
        <v>40</v>
      </c>
      <c r="G3151" s="4">
        <v>43945.160856481481</v>
      </c>
      <c r="H3151" s="4">
        <v>43945.160972222222</v>
      </c>
      <c r="I3151" t="s">
        <v>300</v>
      </c>
      <c r="J3151" s="5">
        <v>10.00000000000000000000000000000000000002</v>
      </c>
      <c r="K3151" t="s">
        <v>196</v>
      </c>
      <c r="M3151">
        <v>56968</v>
      </c>
      <c r="N3151" t="s">
        <v>391</v>
      </c>
      <c r="O3151" t="s">
        <v>392</v>
      </c>
      <c r="P3151" t="s">
        <v>196</v>
      </c>
      <c r="Q3151" t="s">
        <v>50</v>
      </c>
      <c r="R3151">
        <v>.9999999999999999999999999999999999999996</v>
      </c>
      <c r="S3151" t="s">
        <v>393</v>
      </c>
      <c r="T3151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1">
        <v>56970</v>
      </c>
      <c r="V3151" t="s">
        <v>196</v>
      </c>
      <c r="W3151" t="s">
        <v>50</v>
      </c>
      <c r="X3151">
        <v>0</v>
      </c>
      <c r="Y3151">
        <v>0</v>
      </c>
      <c r="Z3151" t="s">
        <v>2396</v>
      </c>
    </row>
    <row r="3152" spans="1:37" x14ac:dyDescent="0.2">
      <c r="A3152">
        <v>56931</v>
      </c>
      <c r="B3152" t="s">
        <v>37</v>
      </c>
      <c r="C3152" t="s">
        <v>196</v>
      </c>
      <c r="D3152" t="s">
        <v>361</v>
      </c>
      <c r="E3152" t="s">
        <v>40</v>
      </c>
      <c r="G3152" s="4">
        <v>43945.160856481481</v>
      </c>
      <c r="H3152" s="4">
        <v>43945.160972222222</v>
      </c>
      <c r="I3152" t="s">
        <v>300</v>
      </c>
      <c r="J3152" s="5">
        <v>10.00000000000000000000000000000000000002</v>
      </c>
      <c r="K3152" t="s">
        <v>196</v>
      </c>
      <c r="M3152">
        <v>56965</v>
      </c>
      <c r="N3152" t="s">
        <v>395</v>
      </c>
      <c r="O3152" t="s">
        <v>396</v>
      </c>
      <c r="P3152" t="s">
        <v>38</v>
      </c>
      <c r="Q3152" t="s">
        <v>50</v>
      </c>
      <c r="R3152">
        <v>0</v>
      </c>
      <c r="S3152" t="s">
        <v>45</v>
      </c>
      <c r="T3152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2">
        <v>56966</v>
      </c>
      <c r="V3152" t="s">
        <v>38</v>
      </c>
      <c r="W3152" t="s">
        <v>50</v>
      </c>
      <c r="X3152">
        <v>0</v>
      </c>
      <c r="Y3152">
        <v>0</v>
      </c>
      <c r="Z3152" t="s">
        <v>46</v>
      </c>
      <c r="AA3152">
        <v>56967</v>
      </c>
      <c r="AB3152" t="s">
        <v>2397</v>
      </c>
      <c r="AC3152" t="s">
        <v>97</v>
      </c>
      <c r="AD3152" t="s">
        <v>38</v>
      </c>
      <c r="AE3152" t="s">
        <v>49</v>
      </c>
      <c r="AF3152" t="s">
        <v>50</v>
      </c>
      <c r="AG3152">
        <v>0</v>
      </c>
      <c r="AH3152">
        <v>0</v>
      </c>
      <c r="AI3152" t="s">
        <v>51</v>
      </c>
      <c r="AJ3152" t="s">
        <v>51</v>
      </c>
      <c r="AK3152" t="s">
        <v>51</v>
      </c>
    </row>
    <row r="3153" spans="1:37" x14ac:dyDescent="0.2">
      <c r="A3153">
        <v>56931</v>
      </c>
      <c r="B3153" t="s">
        <v>37</v>
      </c>
      <c r="C3153" t="s">
        <v>196</v>
      </c>
      <c r="D3153" t="s">
        <v>361</v>
      </c>
      <c r="E3153" t="s">
        <v>40</v>
      </c>
      <c r="G3153" s="4">
        <v>43945.160856481481</v>
      </c>
      <c r="H3153" s="4">
        <v>43945.160972222222</v>
      </c>
      <c r="I3153" t="s">
        <v>300</v>
      </c>
      <c r="J3153" s="5">
        <v>10.00000000000000000000000000000000000002</v>
      </c>
      <c r="K3153" t="s">
        <v>196</v>
      </c>
      <c r="M3153">
        <v>56959</v>
      </c>
      <c r="N3153" t="s">
        <v>398</v>
      </c>
      <c r="O3153" t="s">
        <v>399</v>
      </c>
      <c r="P3153" t="s">
        <v>38</v>
      </c>
      <c r="Q3153" t="s">
        <v>50</v>
      </c>
      <c r="R3153">
        <v>.9999999999999999999999999999999999999996</v>
      </c>
      <c r="S3153" t="s">
        <v>45</v>
      </c>
      <c r="T3153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3">
        <v>56960</v>
      </c>
      <c r="V3153" t="s">
        <v>38</v>
      </c>
      <c r="W3153" t="s">
        <v>50</v>
      </c>
      <c r="X3153">
        <v>.9999999999999999999999999999999999999996</v>
      </c>
      <c r="Y3153">
        <v>0</v>
      </c>
      <c r="Z3153" t="s">
        <v>46</v>
      </c>
      <c r="AA3153">
        <v>56963</v>
      </c>
      <c r="AB3153" t="s">
        <v>2398</v>
      </c>
      <c r="AC3153" t="s">
        <v>97</v>
      </c>
      <c r="AD3153" t="s">
        <v>38</v>
      </c>
      <c r="AE3153" t="s">
        <v>49</v>
      </c>
      <c r="AF3153" t="s">
        <v>50</v>
      </c>
      <c r="AG3153">
        <v>.9999999999999999999999999999999999999996</v>
      </c>
      <c r="AH3153">
        <v>0</v>
      </c>
      <c r="AI3153" t="s">
        <v>51</v>
      </c>
      <c r="AJ3153" t="s">
        <v>51</v>
      </c>
      <c r="AK3153" t="s">
        <v>51</v>
      </c>
    </row>
    <row r="3154" spans="1:37" x14ac:dyDescent="0.2">
      <c r="A3154">
        <v>56931</v>
      </c>
      <c r="B3154" t="s">
        <v>37</v>
      </c>
      <c r="C3154" t="s">
        <v>196</v>
      </c>
      <c r="D3154" t="s">
        <v>361</v>
      </c>
      <c r="E3154" t="s">
        <v>40</v>
      </c>
      <c r="G3154" s="4">
        <v>43945.160856481481</v>
      </c>
      <c r="H3154" s="4">
        <v>43945.160972222222</v>
      </c>
      <c r="I3154" t="s">
        <v>300</v>
      </c>
      <c r="J3154" s="5">
        <v>10.00000000000000000000000000000000000002</v>
      </c>
      <c r="K3154" t="s">
        <v>196</v>
      </c>
      <c r="M3154">
        <v>56948</v>
      </c>
      <c r="N3154" t="s">
        <v>401</v>
      </c>
      <c r="O3154" t="s">
        <v>402</v>
      </c>
      <c r="P3154" t="s">
        <v>38</v>
      </c>
      <c r="Q3154" t="s">
        <v>50</v>
      </c>
      <c r="R3154">
        <v>.9999999999999999999999999999999999999996</v>
      </c>
      <c r="S3154" t="s">
        <v>45</v>
      </c>
      <c r="T3154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4">
        <v>56949</v>
      </c>
      <c r="V3154" t="s">
        <v>38</v>
      </c>
      <c r="W3154" t="s">
        <v>50</v>
      </c>
      <c r="X3154">
        <v>.9999999999999999999999999999999999999996</v>
      </c>
      <c r="Y3154">
        <v>0</v>
      </c>
      <c r="Z3154" t="s">
        <v>46</v>
      </c>
      <c r="AA3154">
        <v>56954</v>
      </c>
      <c r="AB3154" t="s">
        <v>2399</v>
      </c>
      <c r="AC3154" t="s">
        <v>103</v>
      </c>
      <c r="AD3154" t="s">
        <v>38</v>
      </c>
      <c r="AE3154" t="s">
        <v>49</v>
      </c>
      <c r="AF3154" t="s">
        <v>50</v>
      </c>
      <c r="AG3154">
        <v>0</v>
      </c>
      <c r="AH3154">
        <v>0</v>
      </c>
      <c r="AI3154" t="s">
        <v>51</v>
      </c>
      <c r="AJ3154" t="s">
        <v>51</v>
      </c>
      <c r="AK3154" t="s">
        <v>51</v>
      </c>
    </row>
    <row r="3155" spans="1:37" x14ac:dyDescent="0.2">
      <c r="A3155">
        <v>56931</v>
      </c>
      <c r="B3155" t="s">
        <v>37</v>
      </c>
      <c r="C3155" t="s">
        <v>196</v>
      </c>
      <c r="D3155" t="s">
        <v>361</v>
      </c>
      <c r="E3155" t="s">
        <v>40</v>
      </c>
      <c r="G3155" s="4">
        <v>43945.160856481481</v>
      </c>
      <c r="H3155" s="4">
        <v>43945.160972222222</v>
      </c>
      <c r="I3155" t="s">
        <v>300</v>
      </c>
      <c r="J3155" s="5">
        <v>10.00000000000000000000000000000000000002</v>
      </c>
      <c r="K3155" t="s">
        <v>196</v>
      </c>
      <c r="M3155">
        <v>56948</v>
      </c>
      <c r="N3155" t="s">
        <v>401</v>
      </c>
      <c r="O3155" t="s">
        <v>402</v>
      </c>
      <c r="P3155" t="s">
        <v>38</v>
      </c>
      <c r="Q3155" t="s">
        <v>50</v>
      </c>
      <c r="R3155">
        <v>.9999999999999999999999999999999999999996</v>
      </c>
      <c r="S3155" t="s">
        <v>45</v>
      </c>
      <c r="T3155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5">
        <v>56949</v>
      </c>
      <c r="V3155" t="s">
        <v>38</v>
      </c>
      <c r="W3155" t="s">
        <v>50</v>
      </c>
      <c r="X3155">
        <v>.9999999999999999999999999999999999999996</v>
      </c>
      <c r="Y3155">
        <v>0</v>
      </c>
      <c r="Z3155" t="s">
        <v>46</v>
      </c>
      <c r="AA3155">
        <v>56953</v>
      </c>
      <c r="AB3155" t="s">
        <v>2400</v>
      </c>
      <c r="AC3155" t="s">
        <v>103</v>
      </c>
      <c r="AD3155" t="s">
        <v>38</v>
      </c>
      <c r="AE3155" t="s">
        <v>49</v>
      </c>
      <c r="AF3155" t="s">
        <v>50</v>
      </c>
      <c r="AG3155">
        <v>0</v>
      </c>
      <c r="AH3155">
        <v>0</v>
      </c>
      <c r="AI3155" t="s">
        <v>51</v>
      </c>
      <c r="AJ3155" t="s">
        <v>51</v>
      </c>
      <c r="AK3155" t="s">
        <v>51</v>
      </c>
    </row>
    <row r="3156" spans="1:37" x14ac:dyDescent="0.2">
      <c r="A3156">
        <v>56931</v>
      </c>
      <c r="B3156" t="s">
        <v>37</v>
      </c>
      <c r="C3156" t="s">
        <v>196</v>
      </c>
      <c r="D3156" t="s">
        <v>361</v>
      </c>
      <c r="E3156" t="s">
        <v>40</v>
      </c>
      <c r="G3156" s="4">
        <v>43945.160856481481</v>
      </c>
      <c r="H3156" s="4">
        <v>43945.160972222222</v>
      </c>
      <c r="I3156" t="s">
        <v>300</v>
      </c>
      <c r="J3156" s="5">
        <v>10.00000000000000000000000000000000000002</v>
      </c>
      <c r="K3156" t="s">
        <v>196</v>
      </c>
      <c r="M3156">
        <v>56948</v>
      </c>
      <c r="N3156" t="s">
        <v>401</v>
      </c>
      <c r="O3156" t="s">
        <v>402</v>
      </c>
      <c r="P3156" t="s">
        <v>38</v>
      </c>
      <c r="Q3156" t="s">
        <v>50</v>
      </c>
      <c r="R3156">
        <v>.9999999999999999999999999999999999999996</v>
      </c>
      <c r="S3156" t="s">
        <v>45</v>
      </c>
      <c r="T3156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6">
        <v>56949</v>
      </c>
      <c r="V3156" t="s">
        <v>38</v>
      </c>
      <c r="W3156" t="s">
        <v>50</v>
      </c>
      <c r="X3156">
        <v>.9999999999999999999999999999999999999996</v>
      </c>
      <c r="Y3156">
        <v>0</v>
      </c>
      <c r="Z3156" t="s">
        <v>46</v>
      </c>
      <c r="AA3156">
        <v>56952</v>
      </c>
      <c r="AB3156" t="s">
        <v>2401</v>
      </c>
      <c r="AC3156" t="s">
        <v>103</v>
      </c>
      <c r="AD3156" t="s">
        <v>38</v>
      </c>
      <c r="AE3156" t="s">
        <v>49</v>
      </c>
      <c r="AF3156" t="s">
        <v>50</v>
      </c>
      <c r="AG3156">
        <v>0</v>
      </c>
      <c r="AH3156">
        <v>0</v>
      </c>
      <c r="AI3156" t="s">
        <v>51</v>
      </c>
      <c r="AJ3156" t="s">
        <v>51</v>
      </c>
      <c r="AK3156" t="s">
        <v>51</v>
      </c>
    </row>
    <row r="3157" spans="1:37" x14ac:dyDescent="0.2">
      <c r="A3157">
        <v>56931</v>
      </c>
      <c r="B3157" t="s">
        <v>37</v>
      </c>
      <c r="C3157" t="s">
        <v>196</v>
      </c>
      <c r="D3157" t="s">
        <v>361</v>
      </c>
      <c r="E3157" t="s">
        <v>40</v>
      </c>
      <c r="G3157" s="4">
        <v>43945.160856481481</v>
      </c>
      <c r="H3157" s="4">
        <v>43945.160972222222</v>
      </c>
      <c r="I3157" t="s">
        <v>300</v>
      </c>
      <c r="J3157" s="5">
        <v>10.00000000000000000000000000000000000002</v>
      </c>
      <c r="K3157" t="s">
        <v>196</v>
      </c>
      <c r="M3157">
        <v>56948</v>
      </c>
      <c r="N3157" t="s">
        <v>401</v>
      </c>
      <c r="O3157" t="s">
        <v>402</v>
      </c>
      <c r="P3157" t="s">
        <v>38</v>
      </c>
      <c r="Q3157" t="s">
        <v>50</v>
      </c>
      <c r="R3157">
        <v>.9999999999999999999999999999999999999996</v>
      </c>
      <c r="S3157" t="s">
        <v>45</v>
      </c>
      <c r="T3157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7">
        <v>56949</v>
      </c>
      <c r="V3157" t="s">
        <v>38</v>
      </c>
      <c r="W3157" t="s">
        <v>50</v>
      </c>
      <c r="X3157">
        <v>.9999999999999999999999999999999999999996</v>
      </c>
      <c r="Y3157">
        <v>0</v>
      </c>
      <c r="Z3157" t="s">
        <v>46</v>
      </c>
      <c r="AA3157">
        <v>56951</v>
      </c>
      <c r="AB3157" t="s">
        <v>2402</v>
      </c>
      <c r="AC3157" t="s">
        <v>103</v>
      </c>
      <c r="AD3157" t="s">
        <v>38</v>
      </c>
      <c r="AE3157" t="s">
        <v>49</v>
      </c>
      <c r="AF3157" t="s">
        <v>50</v>
      </c>
      <c r="AG3157">
        <v>0</v>
      </c>
      <c r="AH3157">
        <v>0</v>
      </c>
      <c r="AI3157" t="s">
        <v>51</v>
      </c>
      <c r="AJ3157" t="s">
        <v>51</v>
      </c>
      <c r="AK3157" t="s">
        <v>51</v>
      </c>
    </row>
    <row r="3158" spans="1:37" x14ac:dyDescent="0.2">
      <c r="A3158">
        <v>56931</v>
      </c>
      <c r="B3158" t="s">
        <v>37</v>
      </c>
      <c r="C3158" t="s">
        <v>196</v>
      </c>
      <c r="D3158" t="s">
        <v>361</v>
      </c>
      <c r="E3158" t="s">
        <v>40</v>
      </c>
      <c r="G3158" s="4">
        <v>43945.160856481481</v>
      </c>
      <c r="H3158" s="4">
        <v>43945.160972222222</v>
      </c>
      <c r="I3158" t="s">
        <v>300</v>
      </c>
      <c r="J3158" s="5">
        <v>10.00000000000000000000000000000000000002</v>
      </c>
      <c r="K3158" t="s">
        <v>196</v>
      </c>
      <c r="M3158">
        <v>56948</v>
      </c>
      <c r="N3158" t="s">
        <v>401</v>
      </c>
      <c r="O3158" t="s">
        <v>402</v>
      </c>
      <c r="P3158" t="s">
        <v>38</v>
      </c>
      <c r="Q3158" t="s">
        <v>50</v>
      </c>
      <c r="R3158">
        <v>.9999999999999999999999999999999999999996</v>
      </c>
      <c r="S3158" t="s">
        <v>45</v>
      </c>
      <c r="T3158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8">
        <v>56949</v>
      </c>
      <c r="V3158" t="s">
        <v>38</v>
      </c>
      <c r="W3158" t="s">
        <v>50</v>
      </c>
      <c r="X3158">
        <v>.9999999999999999999999999999999999999996</v>
      </c>
      <c r="Y3158">
        <v>0</v>
      </c>
      <c r="Z3158" t="s">
        <v>46</v>
      </c>
      <c r="AA3158">
        <v>56950</v>
      </c>
      <c r="AB3158" t="s">
        <v>2403</v>
      </c>
      <c r="AC3158" t="s">
        <v>103</v>
      </c>
      <c r="AD3158" t="s">
        <v>38</v>
      </c>
      <c r="AE3158" t="s">
        <v>49</v>
      </c>
      <c r="AF3158" t="s">
        <v>50</v>
      </c>
      <c r="AG3158">
        <v>0</v>
      </c>
      <c r="AH3158">
        <v>0</v>
      </c>
      <c r="AI3158" t="s">
        <v>51</v>
      </c>
      <c r="AJ3158" t="s">
        <v>51</v>
      </c>
      <c r="AK3158" t="s">
        <v>51</v>
      </c>
    </row>
    <row r="3159" spans="1:37" x14ac:dyDescent="0.2">
      <c r="A3159">
        <v>56931</v>
      </c>
      <c r="B3159" t="s">
        <v>37</v>
      </c>
      <c r="C3159" t="s">
        <v>196</v>
      </c>
      <c r="D3159" t="s">
        <v>361</v>
      </c>
      <c r="E3159" t="s">
        <v>40</v>
      </c>
      <c r="G3159" s="4">
        <v>43945.160856481481</v>
      </c>
      <c r="H3159" s="4">
        <v>43945.160972222222</v>
      </c>
      <c r="I3159" t="s">
        <v>300</v>
      </c>
      <c r="J3159" s="5">
        <v>10.00000000000000000000000000000000000002</v>
      </c>
      <c r="K3159" t="s">
        <v>196</v>
      </c>
      <c r="M3159">
        <v>56946</v>
      </c>
      <c r="N3159" t="s">
        <v>408</v>
      </c>
      <c r="O3159" t="s">
        <v>409</v>
      </c>
      <c r="P3159" t="s">
        <v>196</v>
      </c>
      <c r="Q3159" t="s">
        <v>50</v>
      </c>
      <c r="R3159">
        <v>0</v>
      </c>
      <c r="S3159" t="s">
        <v>410</v>
      </c>
      <c r="T3159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59">
        <v>56947</v>
      </c>
      <c r="V3159" t="s">
        <v>196</v>
      </c>
      <c r="W3159" t="s">
        <v>50</v>
      </c>
      <c r="X3159">
        <v>0</v>
      </c>
      <c r="Y3159">
        <v>0</v>
      </c>
      <c r="Z3159" t="s">
        <v>2404</v>
      </c>
    </row>
    <row r="3160" spans="1:37" x14ac:dyDescent="0.2">
      <c r="A3160">
        <v>56931</v>
      </c>
      <c r="B3160" t="s">
        <v>37</v>
      </c>
      <c r="C3160" t="s">
        <v>196</v>
      </c>
      <c r="D3160" t="s">
        <v>361</v>
      </c>
      <c r="E3160" t="s">
        <v>40</v>
      </c>
      <c r="G3160" s="4">
        <v>43945.160856481481</v>
      </c>
      <c r="H3160" s="4">
        <v>43945.160972222222</v>
      </c>
      <c r="I3160" t="s">
        <v>300</v>
      </c>
      <c r="J3160" s="5">
        <v>10.00000000000000000000000000000000000002</v>
      </c>
      <c r="K3160" t="s">
        <v>196</v>
      </c>
      <c r="M3160">
        <v>56938</v>
      </c>
      <c r="N3160" t="s">
        <v>412</v>
      </c>
      <c r="O3160" t="s">
        <v>413</v>
      </c>
      <c r="P3160" t="s">
        <v>38</v>
      </c>
      <c r="Q3160" t="s">
        <v>50</v>
      </c>
      <c r="R3160">
        <v>0</v>
      </c>
      <c r="S3160" t="s">
        <v>45</v>
      </c>
      <c r="T3160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60">
        <v>56940</v>
      </c>
      <c r="V3160" t="s">
        <v>38</v>
      </c>
      <c r="W3160" t="s">
        <v>50</v>
      </c>
      <c r="X3160">
        <v>0</v>
      </c>
      <c r="Y3160">
        <v>0</v>
      </c>
      <c r="Z3160" t="s">
        <v>46</v>
      </c>
      <c r="AA3160">
        <v>56943</v>
      </c>
      <c r="AB3160" t="s">
        <v>2405</v>
      </c>
      <c r="AC3160" t="s">
        <v>97</v>
      </c>
      <c r="AD3160" t="s">
        <v>38</v>
      </c>
      <c r="AE3160" t="s">
        <v>49</v>
      </c>
      <c r="AF3160" t="s">
        <v>50</v>
      </c>
      <c r="AG3160">
        <v>0</v>
      </c>
      <c r="AH3160">
        <v>0</v>
      </c>
      <c r="AI3160" t="s">
        <v>51</v>
      </c>
      <c r="AJ3160" t="s">
        <v>51</v>
      </c>
      <c r="AK3160" t="s">
        <v>51</v>
      </c>
    </row>
    <row r="3161" spans="1:37" x14ac:dyDescent="0.2">
      <c r="A3161">
        <v>56931</v>
      </c>
      <c r="B3161" t="s">
        <v>37</v>
      </c>
      <c r="C3161" t="s">
        <v>196</v>
      </c>
      <c r="D3161" t="s">
        <v>361</v>
      </c>
      <c r="E3161" t="s">
        <v>40</v>
      </c>
      <c r="G3161" s="4">
        <v>43945.160856481481</v>
      </c>
      <c r="H3161" s="4">
        <v>43945.160972222222</v>
      </c>
      <c r="I3161" t="s">
        <v>300</v>
      </c>
      <c r="J3161" s="5">
        <v>10.00000000000000000000000000000000000002</v>
      </c>
      <c r="K3161" t="s">
        <v>196</v>
      </c>
      <c r="M3161">
        <v>56934</v>
      </c>
      <c r="N3161" t="s">
        <v>415</v>
      </c>
      <c r="O3161" t="s">
        <v>416</v>
      </c>
      <c r="P3161" t="s">
        <v>38</v>
      </c>
      <c r="Q3161" t="s">
        <v>50</v>
      </c>
      <c r="R3161">
        <v>.9999999999999999999999999999999999999996</v>
      </c>
      <c r="S3161" t="s">
        <v>45</v>
      </c>
      <c r="T3161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61">
        <v>56935</v>
      </c>
      <c r="V3161" t="s">
        <v>38</v>
      </c>
      <c r="W3161" t="s">
        <v>50</v>
      </c>
      <c r="X3161">
        <v>.9999999999999999999999999999999999999996</v>
      </c>
      <c r="Y3161">
        <v>0</v>
      </c>
      <c r="Z3161" t="s">
        <v>46</v>
      </c>
      <c r="AA3161">
        <v>56937</v>
      </c>
      <c r="AB3161" t="s">
        <v>2406</v>
      </c>
      <c r="AC3161" t="s">
        <v>56</v>
      </c>
      <c r="AD3161" t="s">
        <v>38</v>
      </c>
      <c r="AE3161" t="s">
        <v>49</v>
      </c>
      <c r="AF3161" t="s">
        <v>50</v>
      </c>
      <c r="AG3161">
        <v>.9999999999999999999999999999999999999996</v>
      </c>
      <c r="AH3161">
        <v>0</v>
      </c>
      <c r="AI3161" t="s">
        <v>51</v>
      </c>
      <c r="AJ3161" t="s">
        <v>51</v>
      </c>
      <c r="AK3161" t="s">
        <v>51</v>
      </c>
    </row>
    <row r="3162" spans="1:37" x14ac:dyDescent="0.2">
      <c r="A3162">
        <v>56931</v>
      </c>
      <c r="B3162" t="s">
        <v>37</v>
      </c>
      <c r="C3162" t="s">
        <v>196</v>
      </c>
      <c r="D3162" t="s">
        <v>361</v>
      </c>
      <c r="E3162" t="s">
        <v>40</v>
      </c>
      <c r="G3162" s="4">
        <v>43945.160856481481</v>
      </c>
      <c r="H3162" s="4">
        <v>43945.160972222222</v>
      </c>
      <c r="I3162" t="s">
        <v>300</v>
      </c>
      <c r="J3162" s="5">
        <v>10.00000000000000000000000000000000000002</v>
      </c>
      <c r="K3162" t="s">
        <v>196</v>
      </c>
      <c r="M3162">
        <v>56934</v>
      </c>
      <c r="N3162" t="s">
        <v>415</v>
      </c>
      <c r="O3162" t="s">
        <v>416</v>
      </c>
      <c r="P3162" t="s">
        <v>38</v>
      </c>
      <c r="Q3162" t="s">
        <v>50</v>
      </c>
      <c r="R3162">
        <v>.9999999999999999999999999999999999999996</v>
      </c>
      <c r="S3162" t="s">
        <v>45</v>
      </c>
      <c r="T3162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62">
        <v>56935</v>
      </c>
      <c r="V3162" t="s">
        <v>38</v>
      </c>
      <c r="W3162" t="s">
        <v>50</v>
      </c>
      <c r="X3162">
        <v>.9999999999999999999999999999999999999996</v>
      </c>
      <c r="Y3162">
        <v>0</v>
      </c>
      <c r="Z3162" t="s">
        <v>46</v>
      </c>
      <c r="AA3162">
        <v>56936</v>
      </c>
      <c r="AB3162" t="s">
        <v>2407</v>
      </c>
      <c r="AC3162" t="s">
        <v>97</v>
      </c>
      <c r="AD3162" t="s">
        <v>38</v>
      </c>
      <c r="AE3162" t="s">
        <v>49</v>
      </c>
      <c r="AF3162" t="s">
        <v>50</v>
      </c>
      <c r="AG3162">
        <v>0</v>
      </c>
      <c r="AH3162">
        <v>0</v>
      </c>
      <c r="AI3162" t="s">
        <v>51</v>
      </c>
      <c r="AJ3162" t="s">
        <v>51</v>
      </c>
      <c r="AK3162" t="s">
        <v>51</v>
      </c>
    </row>
    <row r="3163" spans="1:37" x14ac:dyDescent="0.2">
      <c r="A3163">
        <v>56931</v>
      </c>
      <c r="B3163" t="s">
        <v>37</v>
      </c>
      <c r="C3163" t="s">
        <v>196</v>
      </c>
      <c r="D3163" t="s">
        <v>361</v>
      </c>
      <c r="E3163" t="s">
        <v>40</v>
      </c>
      <c r="G3163" s="4">
        <v>43945.160856481481</v>
      </c>
      <c r="H3163" s="4">
        <v>43945.160972222222</v>
      </c>
      <c r="I3163" t="s">
        <v>300</v>
      </c>
      <c r="J3163" s="5">
        <v>10.00000000000000000000000000000000000002</v>
      </c>
      <c r="K3163" t="s">
        <v>196</v>
      </c>
      <c r="M3163">
        <v>56932</v>
      </c>
      <c r="N3163" t="s">
        <v>419</v>
      </c>
      <c r="O3163" t="s">
        <v>420</v>
      </c>
      <c r="P3163" t="s">
        <v>196</v>
      </c>
      <c r="Q3163" t="s">
        <v>50</v>
      </c>
      <c r="R3163">
        <v>0</v>
      </c>
      <c r="S3163" t="s">
        <v>421</v>
      </c>
      <c r="T3163" t="str" s="2">
        <f>=HYPERLINK("http://demo.enginatics.com:80/ecc/user/applications/log/56931.log","http://demo.enginatics.com:80/ecc/user/applications/log/56931.log")</f>
        <v>"http://demo.enginatics.com:80/ecc/user/applications/log/56931.log")</v>
      </c>
      <c r="U3163">
        <v>56933</v>
      </c>
      <c r="V3163" t="s">
        <v>196</v>
      </c>
      <c r="W3163" t="s">
        <v>50</v>
      </c>
      <c r="X3163">
        <v>0</v>
      </c>
      <c r="Y3163">
        <v>0</v>
      </c>
      <c r="Z3163" t="s">
        <v>2408</v>
      </c>
    </row>
    <row r="3164" spans="1:37" x14ac:dyDescent="0.2">
      <c r="A3164">
        <v>56908</v>
      </c>
      <c r="B3164" t="s">
        <v>37</v>
      </c>
      <c r="C3164" t="s">
        <v>38</v>
      </c>
      <c r="D3164" t="s">
        <v>295</v>
      </c>
      <c r="E3164" t="s">
        <v>426</v>
      </c>
      <c r="G3164" s="4">
        <v>43945.160671296296</v>
      </c>
      <c r="H3164" s="4">
        <v>43945.160844907407</v>
      </c>
      <c r="I3164" t="s">
        <v>315</v>
      </c>
      <c r="J3164" s="5">
        <v>14.99999999999999999999999999999999999999</v>
      </c>
      <c r="K3164" t="s">
        <v>38</v>
      </c>
      <c r="M3164">
        <v>56928</v>
      </c>
      <c r="N3164" t="s">
        <v>426</v>
      </c>
      <c r="O3164" t="s">
        <v>427</v>
      </c>
      <c r="P3164" t="s">
        <v>38</v>
      </c>
      <c r="Q3164" t="s">
        <v>50</v>
      </c>
      <c r="R3164">
        <v>0</v>
      </c>
      <c r="S3164" t="s">
        <v>45</v>
      </c>
      <c r="T3164" t="str" s="2">
        <f>=HYPERLINK("http://demo.enginatics.com:80/ecc/user/applications/log/56908.log","http://demo.enginatics.com:80/ecc/user/applications/log/56908.log")</f>
        <v>"http://demo.enginatics.com:80/ecc/user/applications/log/56908.log")</v>
      </c>
      <c r="U3164">
        <v>56929</v>
      </c>
      <c r="V3164" t="s">
        <v>38</v>
      </c>
      <c r="W3164" t="s">
        <v>50</v>
      </c>
      <c r="X3164">
        <v>0</v>
      </c>
      <c r="Y3164">
        <v>0</v>
      </c>
      <c r="Z3164" t="s">
        <v>46</v>
      </c>
      <c r="AA3164">
        <v>56930</v>
      </c>
      <c r="AB3164" t="s">
        <v>428</v>
      </c>
      <c r="AC3164" t="s">
        <v>68</v>
      </c>
      <c r="AD3164" t="s">
        <v>38</v>
      </c>
      <c r="AE3164" t="s">
        <v>49</v>
      </c>
      <c r="AF3164" t="s">
        <v>50</v>
      </c>
      <c r="AG3164">
        <v>0</v>
      </c>
      <c r="AH3164">
        <v>0</v>
      </c>
      <c r="AI3164" t="s">
        <v>51</v>
      </c>
      <c r="AJ3164" t="s">
        <v>51</v>
      </c>
      <c r="AK3164" t="s">
        <v>51</v>
      </c>
    </row>
    <row r="3165" spans="1:37" x14ac:dyDescent="0.2">
      <c r="A3165">
        <v>56907</v>
      </c>
      <c r="B3165" t="s">
        <v>37</v>
      </c>
      <c r="C3165" t="s">
        <v>196</v>
      </c>
      <c r="D3165" t="s">
        <v>295</v>
      </c>
      <c r="E3165" t="s">
        <v>423</v>
      </c>
      <c r="G3165" s="4">
        <v>43945.160671296296</v>
      </c>
      <c r="H3165" s="4">
        <v>43945.160844907407</v>
      </c>
      <c r="I3165" t="s">
        <v>315</v>
      </c>
      <c r="J3165" s="5">
        <v>14.99999999999999999999999999999999999999</v>
      </c>
      <c r="K3165" t="s">
        <v>2409</v>
      </c>
    </row>
    <row r="3166" spans="1:37" x14ac:dyDescent="0.2">
      <c r="A3166">
        <v>56906</v>
      </c>
      <c r="B3166" t="s">
        <v>37</v>
      </c>
      <c r="C3166" t="s">
        <v>196</v>
      </c>
      <c r="D3166" t="s">
        <v>295</v>
      </c>
      <c r="E3166" t="s">
        <v>429</v>
      </c>
      <c r="G3166" s="4">
        <v>43945.160659722222</v>
      </c>
      <c r="H3166" s="4">
        <v>43945.160844907407</v>
      </c>
      <c r="I3166" t="s">
        <v>966</v>
      </c>
      <c r="J3166" s="5">
        <v>15.99999999999999999999999999999999999998</v>
      </c>
      <c r="K3166" t="s">
        <v>2409</v>
      </c>
    </row>
    <row r="3167" spans="1:37" x14ac:dyDescent="0.2">
      <c r="A3167">
        <v>56902</v>
      </c>
      <c r="B3167" t="s">
        <v>37</v>
      </c>
      <c r="C3167" t="s">
        <v>196</v>
      </c>
      <c r="D3167" t="s">
        <v>295</v>
      </c>
      <c r="E3167" t="s">
        <v>432</v>
      </c>
      <c r="G3167" s="4">
        <v>43945.160648148148</v>
      </c>
      <c r="H3167" s="4">
        <v>43945.160844907407</v>
      </c>
      <c r="I3167" t="s">
        <v>324</v>
      </c>
      <c r="J3167" s="5">
        <v>16.99999999999999999999999999999999999998</v>
      </c>
      <c r="K3167" t="s">
        <v>2409</v>
      </c>
    </row>
    <row r="3168" spans="1:37" x14ac:dyDescent="0.2">
      <c r="A3168">
        <v>56901</v>
      </c>
      <c r="B3168" t="s">
        <v>37</v>
      </c>
      <c r="C3168" t="s">
        <v>38</v>
      </c>
      <c r="D3168" t="s">
        <v>295</v>
      </c>
      <c r="E3168" t="s">
        <v>40</v>
      </c>
      <c r="G3168" s="4">
        <v>43945.160648148148</v>
      </c>
      <c r="H3168" s="4">
        <v>43945.160844907407</v>
      </c>
      <c r="I3168" t="s">
        <v>324</v>
      </c>
      <c r="J3168" s="5">
        <v>16.99999999999999999999999999999999999998</v>
      </c>
      <c r="K3168" t="s">
        <v>38</v>
      </c>
      <c r="M3168">
        <v>56924</v>
      </c>
      <c r="N3168" t="s">
        <v>299</v>
      </c>
      <c r="O3168" t="s">
        <v>301</v>
      </c>
      <c r="P3168" t="s">
        <v>38</v>
      </c>
      <c r="Q3168" t="s">
        <v>337</v>
      </c>
      <c r="R3168">
        <v>11.00000000000000000000000000000000000002</v>
      </c>
      <c r="S3168" t="s">
        <v>45</v>
      </c>
      <c r="T3168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68">
        <v>56925</v>
      </c>
      <c r="V3168" t="s">
        <v>38</v>
      </c>
      <c r="W3168" t="s">
        <v>337</v>
      </c>
      <c r="X3168">
        <v>11.00000000000000000000000000000000000002</v>
      </c>
      <c r="Y3168">
        <v>10</v>
      </c>
      <c r="Z3168" t="s">
        <v>46</v>
      </c>
      <c r="AA3168">
        <v>56927</v>
      </c>
      <c r="AB3168" t="s">
        <v>302</v>
      </c>
      <c r="AC3168" t="s">
        <v>68</v>
      </c>
      <c r="AD3168" t="s">
        <v>38</v>
      </c>
      <c r="AE3168" t="s">
        <v>49</v>
      </c>
      <c r="AF3168" t="s">
        <v>50</v>
      </c>
      <c r="AG3168">
        <v>.9999999999999999999999999999999999999996</v>
      </c>
      <c r="AH3168">
        <v>0</v>
      </c>
      <c r="AI3168" t="s">
        <v>51</v>
      </c>
      <c r="AJ3168" t="s">
        <v>51</v>
      </c>
      <c r="AK3168" t="s">
        <v>51</v>
      </c>
    </row>
    <row r="3169" spans="1:37" x14ac:dyDescent="0.2">
      <c r="A3169">
        <v>56901</v>
      </c>
      <c r="B3169" t="s">
        <v>37</v>
      </c>
      <c r="C3169" t="s">
        <v>38</v>
      </c>
      <c r="D3169" t="s">
        <v>295</v>
      </c>
      <c r="E3169" t="s">
        <v>40</v>
      </c>
      <c r="G3169" s="4">
        <v>43945.160648148148</v>
      </c>
      <c r="H3169" s="4">
        <v>43945.160844907407</v>
      </c>
      <c r="I3169" t="s">
        <v>324</v>
      </c>
      <c r="J3169" s="5">
        <v>16.99999999999999999999999999999999999998</v>
      </c>
      <c r="K3169" t="s">
        <v>38</v>
      </c>
      <c r="M3169">
        <v>56924</v>
      </c>
      <c r="N3169" t="s">
        <v>299</v>
      </c>
      <c r="O3169" t="s">
        <v>301</v>
      </c>
      <c r="P3169" t="s">
        <v>38</v>
      </c>
      <c r="Q3169" t="s">
        <v>337</v>
      </c>
      <c r="R3169">
        <v>11.00000000000000000000000000000000000002</v>
      </c>
      <c r="S3169" t="s">
        <v>45</v>
      </c>
      <c r="T3169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69">
        <v>56925</v>
      </c>
      <c r="V3169" t="s">
        <v>38</v>
      </c>
      <c r="W3169" t="s">
        <v>337</v>
      </c>
      <c r="X3169">
        <v>11.00000000000000000000000000000000000002</v>
      </c>
      <c r="Y3169">
        <v>10</v>
      </c>
      <c r="Z3169" t="s">
        <v>46</v>
      </c>
      <c r="AA3169">
        <v>56926</v>
      </c>
      <c r="AB3169" t="s">
        <v>303</v>
      </c>
      <c r="AC3169" t="s">
        <v>56</v>
      </c>
      <c r="AD3169" t="s">
        <v>38</v>
      </c>
      <c r="AE3169" t="s">
        <v>49</v>
      </c>
      <c r="AF3169" t="s">
        <v>50</v>
      </c>
      <c r="AG3169">
        <v>0</v>
      </c>
      <c r="AH3169">
        <v>0</v>
      </c>
      <c r="AI3169" t="s">
        <v>51</v>
      </c>
      <c r="AJ3169" t="s">
        <v>51</v>
      </c>
      <c r="AK3169" t="s">
        <v>51</v>
      </c>
    </row>
    <row r="3170" spans="1:37" x14ac:dyDescent="0.2">
      <c r="A3170">
        <v>56901</v>
      </c>
      <c r="B3170" t="s">
        <v>37</v>
      </c>
      <c r="C3170" t="s">
        <v>38</v>
      </c>
      <c r="D3170" t="s">
        <v>295</v>
      </c>
      <c r="E3170" t="s">
        <v>40</v>
      </c>
      <c r="G3170" s="4">
        <v>43945.160648148148</v>
      </c>
      <c r="H3170" s="4">
        <v>43945.160844907407</v>
      </c>
      <c r="I3170" t="s">
        <v>324</v>
      </c>
      <c r="J3170" s="5">
        <v>16.99999999999999999999999999999999999998</v>
      </c>
      <c r="K3170" t="s">
        <v>38</v>
      </c>
      <c r="M3170">
        <v>56921</v>
      </c>
      <c r="N3170" t="s">
        <v>423</v>
      </c>
      <c r="O3170" t="s">
        <v>424</v>
      </c>
      <c r="P3170" t="s">
        <v>38</v>
      </c>
      <c r="Q3170" t="s">
        <v>50</v>
      </c>
      <c r="R3170">
        <v>0</v>
      </c>
      <c r="S3170" t="s">
        <v>45</v>
      </c>
      <c r="T3170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70">
        <v>56922</v>
      </c>
      <c r="V3170" t="s">
        <v>38</v>
      </c>
      <c r="W3170" t="s">
        <v>50</v>
      </c>
      <c r="X3170">
        <v>0</v>
      </c>
      <c r="Y3170">
        <v>0</v>
      </c>
      <c r="Z3170" t="s">
        <v>46</v>
      </c>
      <c r="AA3170">
        <v>56923</v>
      </c>
      <c r="AB3170" t="s">
        <v>2410</v>
      </c>
      <c r="AC3170" t="s">
        <v>68</v>
      </c>
      <c r="AD3170" t="s">
        <v>38</v>
      </c>
      <c r="AE3170" t="s">
        <v>49</v>
      </c>
      <c r="AF3170" t="s">
        <v>50</v>
      </c>
      <c r="AG3170">
        <v>0</v>
      </c>
      <c r="AH3170">
        <v>0</v>
      </c>
      <c r="AI3170" t="s">
        <v>51</v>
      </c>
      <c r="AJ3170" t="s">
        <v>51</v>
      </c>
      <c r="AK3170" t="s">
        <v>51</v>
      </c>
    </row>
    <row r="3171" spans="1:37" x14ac:dyDescent="0.2">
      <c r="A3171">
        <v>56901</v>
      </c>
      <c r="B3171" t="s">
        <v>37</v>
      </c>
      <c r="C3171" t="s">
        <v>38</v>
      </c>
      <c r="D3171" t="s">
        <v>295</v>
      </c>
      <c r="E3171" t="s">
        <v>40</v>
      </c>
      <c r="G3171" s="4">
        <v>43945.160648148148</v>
      </c>
      <c r="H3171" s="4">
        <v>43945.160844907407</v>
      </c>
      <c r="I3171" t="s">
        <v>324</v>
      </c>
      <c r="J3171" s="5">
        <v>16.99999999999999999999999999999999999998</v>
      </c>
      <c r="K3171" t="s">
        <v>38</v>
      </c>
      <c r="M3171">
        <v>56918</v>
      </c>
      <c r="N3171" t="s">
        <v>426</v>
      </c>
      <c r="O3171" t="s">
        <v>427</v>
      </c>
      <c r="P3171" t="s">
        <v>38</v>
      </c>
      <c r="Q3171" t="s">
        <v>50</v>
      </c>
      <c r="R3171">
        <v>.9999999999999999999999999999999999999996</v>
      </c>
      <c r="S3171" t="s">
        <v>45</v>
      </c>
      <c r="T3171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71">
        <v>56919</v>
      </c>
      <c r="V3171" t="s">
        <v>38</v>
      </c>
      <c r="W3171" t="s">
        <v>50</v>
      </c>
      <c r="X3171">
        <v>.9999999999999999999999999999999999999996</v>
      </c>
      <c r="Y3171">
        <v>0</v>
      </c>
      <c r="Z3171" t="s">
        <v>46</v>
      </c>
      <c r="AA3171">
        <v>56920</v>
      </c>
      <c r="AB3171" t="s">
        <v>428</v>
      </c>
      <c r="AC3171" t="s">
        <v>68</v>
      </c>
      <c r="AD3171" t="s">
        <v>38</v>
      </c>
      <c r="AE3171" t="s">
        <v>49</v>
      </c>
      <c r="AF3171" t="s">
        <v>50</v>
      </c>
      <c r="AG3171">
        <v>.9999999999999999999999999999999999999996</v>
      </c>
      <c r="AH3171">
        <v>0</v>
      </c>
      <c r="AI3171" t="s">
        <v>51</v>
      </c>
      <c r="AJ3171" t="s">
        <v>51</v>
      </c>
      <c r="AK3171" t="s">
        <v>51</v>
      </c>
    </row>
    <row r="3172" spans="1:37" x14ac:dyDescent="0.2">
      <c r="A3172">
        <v>56901</v>
      </c>
      <c r="B3172" t="s">
        <v>37</v>
      </c>
      <c r="C3172" t="s">
        <v>38</v>
      </c>
      <c r="D3172" t="s">
        <v>295</v>
      </c>
      <c r="E3172" t="s">
        <v>40</v>
      </c>
      <c r="G3172" s="4">
        <v>43945.160648148148</v>
      </c>
      <c r="H3172" s="4">
        <v>43945.160844907407</v>
      </c>
      <c r="I3172" t="s">
        <v>324</v>
      </c>
      <c r="J3172" s="5">
        <v>16.99999999999999999999999999999999999998</v>
      </c>
      <c r="K3172" t="s">
        <v>38</v>
      </c>
      <c r="M3172">
        <v>56915</v>
      </c>
      <c r="N3172" t="s">
        <v>429</v>
      </c>
      <c r="O3172" t="s">
        <v>430</v>
      </c>
      <c r="P3172" t="s">
        <v>38</v>
      </c>
      <c r="Q3172" t="s">
        <v>50</v>
      </c>
      <c r="R3172">
        <v>.9999999999999999999999999999999999999996</v>
      </c>
      <c r="S3172" t="s">
        <v>45</v>
      </c>
      <c r="T3172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72">
        <v>56916</v>
      </c>
      <c r="V3172" t="s">
        <v>38</v>
      </c>
      <c r="W3172" t="s">
        <v>50</v>
      </c>
      <c r="X3172">
        <v>.9999999999999999999999999999999999999996</v>
      </c>
      <c r="Y3172">
        <v>0</v>
      </c>
      <c r="Z3172" t="s">
        <v>46</v>
      </c>
      <c r="AA3172">
        <v>56917</v>
      </c>
      <c r="AB3172" t="s">
        <v>431</v>
      </c>
      <c r="AC3172" t="s">
        <v>68</v>
      </c>
      <c r="AD3172" t="s">
        <v>38</v>
      </c>
      <c r="AE3172" t="s">
        <v>49</v>
      </c>
      <c r="AF3172" t="s">
        <v>50</v>
      </c>
      <c r="AG3172">
        <v>.9999999999999999999999999999999999999996</v>
      </c>
      <c r="AH3172">
        <v>0</v>
      </c>
      <c r="AI3172" t="s">
        <v>51</v>
      </c>
      <c r="AJ3172" t="s">
        <v>51</v>
      </c>
      <c r="AK3172" t="s">
        <v>51</v>
      </c>
    </row>
    <row r="3173" spans="1:37" x14ac:dyDescent="0.2">
      <c r="A3173">
        <v>56901</v>
      </c>
      <c r="B3173" t="s">
        <v>37</v>
      </c>
      <c r="C3173" t="s">
        <v>38</v>
      </c>
      <c r="D3173" t="s">
        <v>295</v>
      </c>
      <c r="E3173" t="s">
        <v>40</v>
      </c>
      <c r="G3173" s="4">
        <v>43945.160648148148</v>
      </c>
      <c r="H3173" s="4">
        <v>43945.160844907407</v>
      </c>
      <c r="I3173" t="s">
        <v>324</v>
      </c>
      <c r="J3173" s="5">
        <v>16.99999999999999999999999999999999999998</v>
      </c>
      <c r="K3173" t="s">
        <v>38</v>
      </c>
      <c r="M3173">
        <v>56912</v>
      </c>
      <c r="N3173" t="s">
        <v>304</v>
      </c>
      <c r="O3173" t="s">
        <v>305</v>
      </c>
      <c r="P3173" t="s">
        <v>38</v>
      </c>
      <c r="Q3173" t="s">
        <v>50</v>
      </c>
      <c r="R3173">
        <v>.9999999999999999999999999999999999999996</v>
      </c>
      <c r="S3173" t="s">
        <v>45</v>
      </c>
      <c r="T3173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73">
        <v>56913</v>
      </c>
      <c r="V3173" t="s">
        <v>38</v>
      </c>
      <c r="W3173" t="s">
        <v>50</v>
      </c>
      <c r="X3173">
        <v>.9999999999999999999999999999999999999996</v>
      </c>
      <c r="Y3173">
        <v>1</v>
      </c>
      <c r="Z3173" t="s">
        <v>46</v>
      </c>
      <c r="AA3173">
        <v>56914</v>
      </c>
      <c r="AB3173" t="s">
        <v>306</v>
      </c>
      <c r="AC3173" t="s">
        <v>68</v>
      </c>
      <c r="AD3173" t="s">
        <v>38</v>
      </c>
      <c r="AE3173" t="s">
        <v>49</v>
      </c>
      <c r="AF3173" t="s">
        <v>50</v>
      </c>
      <c r="AG3173">
        <v>0</v>
      </c>
      <c r="AH3173">
        <v>0</v>
      </c>
      <c r="AI3173" t="s">
        <v>51</v>
      </c>
      <c r="AJ3173" t="s">
        <v>51</v>
      </c>
      <c r="AK3173" t="s">
        <v>51</v>
      </c>
    </row>
    <row r="3174" spans="1:37" x14ac:dyDescent="0.2">
      <c r="A3174">
        <v>56901</v>
      </c>
      <c r="B3174" t="s">
        <v>37</v>
      </c>
      <c r="C3174" t="s">
        <v>38</v>
      </c>
      <c r="D3174" t="s">
        <v>295</v>
      </c>
      <c r="E3174" t="s">
        <v>40</v>
      </c>
      <c r="G3174" s="4">
        <v>43945.160648148148</v>
      </c>
      <c r="H3174" s="4">
        <v>43945.160844907407</v>
      </c>
      <c r="I3174" t="s">
        <v>324</v>
      </c>
      <c r="J3174" s="5">
        <v>16.99999999999999999999999999999999999998</v>
      </c>
      <c r="K3174" t="s">
        <v>38</v>
      </c>
      <c r="M3174">
        <v>56909</v>
      </c>
      <c r="N3174" t="s">
        <v>296</v>
      </c>
      <c r="O3174" t="s">
        <v>297</v>
      </c>
      <c r="P3174" t="s">
        <v>38</v>
      </c>
      <c r="Q3174" t="s">
        <v>50</v>
      </c>
      <c r="R3174">
        <v>.9999999999999999999999999999999999999996</v>
      </c>
      <c r="S3174" t="s">
        <v>45</v>
      </c>
      <c r="T3174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74">
        <v>56910</v>
      </c>
      <c r="V3174" t="s">
        <v>38</v>
      </c>
      <c r="W3174" t="s">
        <v>50</v>
      </c>
      <c r="X3174">
        <v>.9999999999999999999999999999999999999996</v>
      </c>
      <c r="Y3174">
        <v>0</v>
      </c>
      <c r="Z3174" t="s">
        <v>46</v>
      </c>
      <c r="AA3174">
        <v>56911</v>
      </c>
      <c r="AB3174" t="s">
        <v>2411</v>
      </c>
      <c r="AC3174" t="s">
        <v>68</v>
      </c>
      <c r="AD3174" t="s">
        <v>38</v>
      </c>
      <c r="AE3174" t="s">
        <v>49</v>
      </c>
      <c r="AF3174" t="s">
        <v>50</v>
      </c>
      <c r="AG3174">
        <v>.9999999999999999999999999999999999999996</v>
      </c>
      <c r="AH3174">
        <v>0</v>
      </c>
      <c r="AI3174" t="s">
        <v>51</v>
      </c>
      <c r="AJ3174" t="s">
        <v>51</v>
      </c>
      <c r="AK3174" t="s">
        <v>51</v>
      </c>
    </row>
    <row r="3175" spans="1:37" x14ac:dyDescent="0.2">
      <c r="A3175">
        <v>56901</v>
      </c>
      <c r="B3175" t="s">
        <v>37</v>
      </c>
      <c r="C3175" t="s">
        <v>38</v>
      </c>
      <c r="D3175" t="s">
        <v>295</v>
      </c>
      <c r="E3175" t="s">
        <v>40</v>
      </c>
      <c r="G3175" s="4">
        <v>43945.160648148148</v>
      </c>
      <c r="H3175" s="4">
        <v>43945.160844907407</v>
      </c>
      <c r="I3175" t="s">
        <v>324</v>
      </c>
      <c r="J3175" s="5">
        <v>16.99999999999999999999999999999999999998</v>
      </c>
      <c r="K3175" t="s">
        <v>38</v>
      </c>
      <c r="M3175">
        <v>56903</v>
      </c>
      <c r="N3175" t="s">
        <v>432</v>
      </c>
      <c r="O3175" t="s">
        <v>433</v>
      </c>
      <c r="P3175" t="s">
        <v>38</v>
      </c>
      <c r="Q3175" t="s">
        <v>88</v>
      </c>
      <c r="R3175">
        <v>2</v>
      </c>
      <c r="S3175" t="s">
        <v>45</v>
      </c>
      <c r="T3175" t="str" s="2">
        <f>=HYPERLINK("http://demo.enginatics.com:80/ecc/user/applications/log/56901.log","http://demo.enginatics.com:80/ecc/user/applications/log/56901.log")</f>
        <v>"http://demo.enginatics.com:80/ecc/user/applications/log/56901.log")</v>
      </c>
      <c r="U3175">
        <v>56904</v>
      </c>
      <c r="V3175" t="s">
        <v>38</v>
      </c>
      <c r="W3175" t="s">
        <v>88</v>
      </c>
      <c r="X3175">
        <v>2</v>
      </c>
      <c r="Y3175">
        <v>0</v>
      </c>
      <c r="Z3175" t="s">
        <v>46</v>
      </c>
      <c r="AA3175">
        <v>56905</v>
      </c>
      <c r="AB3175" t="s">
        <v>434</v>
      </c>
      <c r="AC3175" t="s">
        <v>68</v>
      </c>
      <c r="AD3175" t="s">
        <v>38</v>
      </c>
      <c r="AE3175" t="s">
        <v>49</v>
      </c>
      <c r="AF3175" t="s">
        <v>88</v>
      </c>
      <c r="AG3175">
        <v>2</v>
      </c>
      <c r="AH3175">
        <v>2</v>
      </c>
      <c r="AI3175" t="s">
        <v>51</v>
      </c>
      <c r="AJ3175" t="s">
        <v>51</v>
      </c>
      <c r="AK3175" t="s">
        <v>51</v>
      </c>
    </row>
    <row r="3176" spans="1:37" x14ac:dyDescent="0.2">
      <c r="A3176">
        <v>56899</v>
      </c>
      <c r="B3176" t="s">
        <v>37</v>
      </c>
      <c r="C3176" t="s">
        <v>38</v>
      </c>
      <c r="D3176" t="s">
        <v>83</v>
      </c>
      <c r="E3176" t="s">
        <v>435</v>
      </c>
      <c r="G3176" s="4">
        <v>43945.160405092593</v>
      </c>
      <c r="H3176" s="4">
        <v>43945.160405092593</v>
      </c>
      <c r="I3176" t="s">
        <v>50</v>
      </c>
      <c r="J3176" s="5">
        <v>0</v>
      </c>
      <c r="K3176" t="s">
        <v>38</v>
      </c>
      <c r="M3176">
        <v>56900</v>
      </c>
      <c r="N3176" t="s">
        <v>435</v>
      </c>
      <c r="O3176" t="s">
        <v>436</v>
      </c>
      <c r="P3176" t="s">
        <v>38</v>
      </c>
      <c r="Q3176" t="s">
        <v>50</v>
      </c>
      <c r="R3176">
        <v>0</v>
      </c>
      <c r="S3176" t="s">
        <v>437</v>
      </c>
      <c r="T3176" t="str" s="2">
        <f>=HYPERLINK("http://demo.enginatics.com:80/ecc/user/applications/log/56899.log","http://demo.enginatics.com:80/ecc/user/applications/log/56899.log")</f>
        <v>"http://demo.enginatics.com:80/ecc/user/applications/log/56899.log")</v>
      </c>
    </row>
    <row r="3177" spans="1:37" x14ac:dyDescent="0.2">
      <c r="A3177">
        <v>56889</v>
      </c>
      <c r="B3177" t="s">
        <v>37</v>
      </c>
      <c r="C3177" t="s">
        <v>38</v>
      </c>
      <c r="D3177" t="s">
        <v>438</v>
      </c>
      <c r="E3177" t="s">
        <v>40</v>
      </c>
      <c r="G3177" s="4">
        <v>43945.158321759259</v>
      </c>
      <c r="H3177" s="4">
        <v>43945.158356481481</v>
      </c>
      <c r="I3177" t="s">
        <v>85</v>
      </c>
      <c r="J3177" s="5">
        <v>3</v>
      </c>
      <c r="K3177" t="s">
        <v>38</v>
      </c>
      <c r="M3177">
        <v>56898</v>
      </c>
      <c r="N3177" t="s">
        <v>439</v>
      </c>
      <c r="O3177" t="s">
        <v>440</v>
      </c>
      <c r="P3177" t="s">
        <v>38</v>
      </c>
      <c r="Q3177" t="s">
        <v>50</v>
      </c>
      <c r="R3177">
        <v>.9999999999999999999999999999999999999996</v>
      </c>
      <c r="S3177" t="s">
        <v>441</v>
      </c>
      <c r="T3177" t="str" s="2">
        <f>=HYPERLINK("http://demo.enginatics.com:80/ecc/user/applications/log/56889.log","http://demo.enginatics.com:80/ecc/user/applications/log/56889.log")</f>
        <v>"http://demo.enginatics.com:80/ecc/user/applications/log/56889.log")</v>
      </c>
    </row>
    <row r="3178" spans="1:37" x14ac:dyDescent="0.2">
      <c r="A3178">
        <v>56889</v>
      </c>
      <c r="B3178" t="s">
        <v>37</v>
      </c>
      <c r="C3178" t="s">
        <v>38</v>
      </c>
      <c r="D3178" t="s">
        <v>438</v>
      </c>
      <c r="E3178" t="s">
        <v>40</v>
      </c>
      <c r="G3178" s="4">
        <v>43945.158321759259</v>
      </c>
      <c r="H3178" s="4">
        <v>43945.158356481481</v>
      </c>
      <c r="I3178" t="s">
        <v>85</v>
      </c>
      <c r="J3178" s="5">
        <v>3</v>
      </c>
      <c r="K3178" t="s">
        <v>38</v>
      </c>
      <c r="M3178">
        <v>56897</v>
      </c>
      <c r="N3178" t="s">
        <v>442</v>
      </c>
      <c r="O3178" t="s">
        <v>443</v>
      </c>
      <c r="P3178" t="s">
        <v>38</v>
      </c>
      <c r="Q3178" t="s">
        <v>50</v>
      </c>
      <c r="R3178">
        <v>0</v>
      </c>
      <c r="S3178" t="s">
        <v>444</v>
      </c>
      <c r="T3178" t="str" s="2">
        <f>=HYPERLINK("http://demo.enginatics.com:80/ecc/user/applications/log/56889.log","http://demo.enginatics.com:80/ecc/user/applications/log/56889.log")</f>
        <v>"http://demo.enginatics.com:80/ecc/user/applications/log/56889.log")</v>
      </c>
    </row>
    <row r="3179" spans="1:37" x14ac:dyDescent="0.2">
      <c r="A3179">
        <v>56889</v>
      </c>
      <c r="B3179" t="s">
        <v>37</v>
      </c>
      <c r="C3179" t="s">
        <v>38</v>
      </c>
      <c r="D3179" t="s">
        <v>438</v>
      </c>
      <c r="E3179" t="s">
        <v>40</v>
      </c>
      <c r="G3179" s="4">
        <v>43945.158321759259</v>
      </c>
      <c r="H3179" s="4">
        <v>43945.158356481481</v>
      </c>
      <c r="I3179" t="s">
        <v>85</v>
      </c>
      <c r="J3179" s="5">
        <v>3</v>
      </c>
      <c r="K3179" t="s">
        <v>38</v>
      </c>
      <c r="M3179">
        <v>56896</v>
      </c>
      <c r="N3179" t="s">
        <v>445</v>
      </c>
      <c r="O3179" t="s">
        <v>446</v>
      </c>
      <c r="P3179" t="s">
        <v>38</v>
      </c>
      <c r="Q3179" t="s">
        <v>50</v>
      </c>
      <c r="R3179">
        <v>0</v>
      </c>
      <c r="S3179" t="s">
        <v>447</v>
      </c>
      <c r="T3179" t="str" s="2">
        <f>=HYPERLINK("http://demo.enginatics.com:80/ecc/user/applications/log/56889.log","http://demo.enginatics.com:80/ecc/user/applications/log/56889.log")</f>
        <v>"http://demo.enginatics.com:80/ecc/user/applications/log/56889.log")</v>
      </c>
    </row>
    <row r="3180" spans="1:37" x14ac:dyDescent="0.2">
      <c r="A3180">
        <v>56889</v>
      </c>
      <c r="B3180" t="s">
        <v>37</v>
      </c>
      <c r="C3180" t="s">
        <v>38</v>
      </c>
      <c r="D3180" t="s">
        <v>438</v>
      </c>
      <c r="E3180" t="s">
        <v>40</v>
      </c>
      <c r="G3180" s="4">
        <v>43945.158321759259</v>
      </c>
      <c r="H3180" s="4">
        <v>43945.158356481481</v>
      </c>
      <c r="I3180" t="s">
        <v>85</v>
      </c>
      <c r="J3180" s="5">
        <v>3</v>
      </c>
      <c r="K3180" t="s">
        <v>38</v>
      </c>
      <c r="M3180">
        <v>56895</v>
      </c>
      <c r="N3180" t="s">
        <v>448</v>
      </c>
      <c r="O3180" t="s">
        <v>449</v>
      </c>
      <c r="P3180" t="s">
        <v>38</v>
      </c>
      <c r="Q3180" t="s">
        <v>50</v>
      </c>
      <c r="R3180">
        <v>0</v>
      </c>
      <c r="S3180" t="s">
        <v>450</v>
      </c>
      <c r="T3180" t="str" s="2">
        <f>=HYPERLINK("http://demo.enginatics.com:80/ecc/user/applications/log/56889.log","http://demo.enginatics.com:80/ecc/user/applications/log/56889.log")</f>
        <v>"http://demo.enginatics.com:80/ecc/user/applications/log/56889.log")</v>
      </c>
    </row>
    <row r="3181" spans="1:37" x14ac:dyDescent="0.2">
      <c r="A3181">
        <v>56889</v>
      </c>
      <c r="B3181" t="s">
        <v>37</v>
      </c>
      <c r="C3181" t="s">
        <v>38</v>
      </c>
      <c r="D3181" t="s">
        <v>438</v>
      </c>
      <c r="E3181" t="s">
        <v>40</v>
      </c>
      <c r="G3181" s="4">
        <v>43945.158321759259</v>
      </c>
      <c r="H3181" s="4">
        <v>43945.158356481481</v>
      </c>
      <c r="I3181" t="s">
        <v>85</v>
      </c>
      <c r="J3181" s="5">
        <v>3</v>
      </c>
      <c r="K3181" t="s">
        <v>38</v>
      </c>
      <c r="M3181">
        <v>56894</v>
      </c>
      <c r="N3181" t="s">
        <v>451</v>
      </c>
      <c r="O3181" t="s">
        <v>452</v>
      </c>
      <c r="P3181" t="s">
        <v>38</v>
      </c>
      <c r="Q3181" t="s">
        <v>50</v>
      </c>
      <c r="R3181">
        <v>0</v>
      </c>
      <c r="S3181" t="s">
        <v>453</v>
      </c>
      <c r="T3181" t="str" s="2">
        <f>=HYPERLINK("http://demo.enginatics.com:80/ecc/user/applications/log/56889.log","http://demo.enginatics.com:80/ecc/user/applications/log/56889.log")</f>
        <v>"http://demo.enginatics.com:80/ecc/user/applications/log/56889.log")</v>
      </c>
    </row>
    <row r="3182" spans="1:37" x14ac:dyDescent="0.2">
      <c r="A3182">
        <v>56889</v>
      </c>
      <c r="B3182" t="s">
        <v>37</v>
      </c>
      <c r="C3182" t="s">
        <v>38</v>
      </c>
      <c r="D3182" t="s">
        <v>438</v>
      </c>
      <c r="E3182" t="s">
        <v>40</v>
      </c>
      <c r="G3182" s="4">
        <v>43945.158321759259</v>
      </c>
      <c r="H3182" s="4">
        <v>43945.158356481481</v>
      </c>
      <c r="I3182" t="s">
        <v>85</v>
      </c>
      <c r="J3182" s="5">
        <v>3</v>
      </c>
      <c r="K3182" t="s">
        <v>38</v>
      </c>
      <c r="M3182">
        <v>56892</v>
      </c>
      <c r="N3182" t="s">
        <v>454</v>
      </c>
      <c r="O3182" t="s">
        <v>455</v>
      </c>
      <c r="P3182" t="s">
        <v>38</v>
      </c>
      <c r="Q3182" t="s">
        <v>50</v>
      </c>
      <c r="R3182">
        <v>0</v>
      </c>
      <c r="S3182" t="s">
        <v>456</v>
      </c>
      <c r="T3182" t="str" s="2">
        <f>=HYPERLINK("http://demo.enginatics.com:80/ecc/user/applications/log/56889.log","http://demo.enginatics.com:80/ecc/user/applications/log/56889.log")</f>
        <v>"http://demo.enginatics.com:80/ecc/user/applications/log/56889.log")</v>
      </c>
    </row>
    <row r="3183" spans="1:37" x14ac:dyDescent="0.2">
      <c r="A3183">
        <v>56888</v>
      </c>
      <c r="B3183" t="s">
        <v>37</v>
      </c>
      <c r="C3183" t="s">
        <v>38</v>
      </c>
      <c r="D3183" t="s">
        <v>83</v>
      </c>
      <c r="E3183" t="s">
        <v>457</v>
      </c>
      <c r="G3183" s="4">
        <v>43945.158321759259</v>
      </c>
      <c r="H3183" s="4">
        <v>43945.158344907407</v>
      </c>
      <c r="I3183" t="s">
        <v>88</v>
      </c>
      <c r="J3183" s="5">
        <v>2</v>
      </c>
      <c r="K3183" t="s">
        <v>38</v>
      </c>
      <c r="M3183">
        <v>56890</v>
      </c>
      <c r="N3183" t="s">
        <v>457</v>
      </c>
      <c r="O3183" t="s">
        <v>458</v>
      </c>
      <c r="P3183" t="s">
        <v>38</v>
      </c>
      <c r="Q3183" t="s">
        <v>88</v>
      </c>
      <c r="R3183">
        <v>2</v>
      </c>
      <c r="S3183" t="s">
        <v>45</v>
      </c>
      <c r="T3183" t="str" s="2">
        <f>=HYPERLINK("http://demo.enginatics.com:80/ecc/user/applications/log/56888.log","http://demo.enginatics.com:80/ecc/user/applications/log/56888.log")</f>
        <v>"http://demo.enginatics.com:80/ecc/user/applications/log/56888.log")</v>
      </c>
      <c r="U3183">
        <v>56891</v>
      </c>
      <c r="V3183" t="s">
        <v>38</v>
      </c>
      <c r="W3183" t="s">
        <v>50</v>
      </c>
      <c r="X3183">
        <v>0</v>
      </c>
      <c r="Y3183">
        <v>0</v>
      </c>
      <c r="Z3183" t="s">
        <v>46</v>
      </c>
      <c r="AA3183">
        <v>56893</v>
      </c>
      <c r="AB3183" t="s">
        <v>2412</v>
      </c>
      <c r="AC3183" t="s">
        <v>68</v>
      </c>
      <c r="AD3183" t="s">
        <v>38</v>
      </c>
      <c r="AE3183" t="s">
        <v>49</v>
      </c>
      <c r="AF3183" t="s">
        <v>50</v>
      </c>
      <c r="AG3183">
        <v>0</v>
      </c>
      <c r="AH3183">
        <v>0</v>
      </c>
      <c r="AI3183" t="s">
        <v>51</v>
      </c>
      <c r="AJ3183" t="s">
        <v>51</v>
      </c>
      <c r="AK3183" t="s">
        <v>51</v>
      </c>
    </row>
    <row r="3184" spans="1:37" x14ac:dyDescent="0.2">
      <c r="A3184">
        <v>56884</v>
      </c>
      <c r="B3184" t="s">
        <v>37</v>
      </c>
      <c r="C3184" t="s">
        <v>38</v>
      </c>
      <c r="D3184" t="s">
        <v>460</v>
      </c>
      <c r="E3184" t="s">
        <v>40</v>
      </c>
      <c r="G3184" s="4">
        <v>43945.108912037037</v>
      </c>
      <c r="H3184" s="4">
        <v>43945.108935185185</v>
      </c>
      <c r="I3184" t="s">
        <v>88</v>
      </c>
      <c r="J3184" s="5">
        <v>2</v>
      </c>
      <c r="K3184" t="s">
        <v>38</v>
      </c>
      <c r="M3184">
        <v>56885</v>
      </c>
      <c r="N3184" t="s">
        <v>461</v>
      </c>
      <c r="O3184" t="s">
        <v>462</v>
      </c>
      <c r="P3184" t="s">
        <v>38</v>
      </c>
      <c r="Q3184" t="s">
        <v>88</v>
      </c>
      <c r="R3184">
        <v>2</v>
      </c>
      <c r="S3184" t="s">
        <v>45</v>
      </c>
      <c r="T3184" t="str" s="2">
        <f>=HYPERLINK("http://demo.enginatics.com:80/ecc/user/applications/log/56884.log","http://demo.enginatics.com:80/ecc/user/applications/log/56884.log")</f>
        <v>"http://demo.enginatics.com:80/ecc/user/applications/log/56884.log")</v>
      </c>
      <c r="U3184">
        <v>56886</v>
      </c>
      <c r="V3184" t="s">
        <v>38</v>
      </c>
      <c r="W3184" t="s">
        <v>88</v>
      </c>
      <c r="X3184">
        <v>2</v>
      </c>
      <c r="Y3184">
        <v>0</v>
      </c>
      <c r="Z3184" t="s">
        <v>46</v>
      </c>
      <c r="AA3184">
        <v>56887</v>
      </c>
      <c r="AB3184" t="s">
        <v>2413</v>
      </c>
      <c r="AC3184" t="s">
        <v>68</v>
      </c>
      <c r="AD3184" t="s">
        <v>38</v>
      </c>
      <c r="AE3184" t="s">
        <v>49</v>
      </c>
      <c r="AF3184" t="s">
        <v>88</v>
      </c>
      <c r="AG3184">
        <v>2</v>
      </c>
      <c r="AH3184">
        <v>1</v>
      </c>
      <c r="AI3184" t="s">
        <v>51</v>
      </c>
      <c r="AJ3184" t="s">
        <v>51</v>
      </c>
      <c r="AK3184" t="s">
        <v>51</v>
      </c>
    </row>
    <row r="3185" spans="1:37" x14ac:dyDescent="0.2">
      <c r="A3185">
        <v>56859</v>
      </c>
      <c r="B3185" t="s">
        <v>37</v>
      </c>
      <c r="C3185" t="s">
        <v>38</v>
      </c>
      <c r="D3185" t="s">
        <v>464</v>
      </c>
      <c r="E3185" t="s">
        <v>40</v>
      </c>
      <c r="G3185" s="4">
        <v>43945.08349537037</v>
      </c>
      <c r="H3185" s="4">
        <v>43945.083611111111</v>
      </c>
      <c r="I3185" t="s">
        <v>300</v>
      </c>
      <c r="J3185" s="5">
        <v>10.00000000000000000000000000000000000002</v>
      </c>
      <c r="K3185" t="s">
        <v>38</v>
      </c>
      <c r="M3185">
        <v>56881</v>
      </c>
      <c r="N3185" t="s">
        <v>465</v>
      </c>
      <c r="O3185" t="s">
        <v>466</v>
      </c>
      <c r="P3185" t="s">
        <v>38</v>
      </c>
      <c r="Q3185" t="s">
        <v>44</v>
      </c>
      <c r="R3185">
        <v>4</v>
      </c>
      <c r="S3185" t="s">
        <v>45</v>
      </c>
      <c r="T3185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85">
        <v>56882</v>
      </c>
      <c r="V3185" t="s">
        <v>38</v>
      </c>
      <c r="W3185" t="s">
        <v>44</v>
      </c>
      <c r="X3185">
        <v>4</v>
      </c>
      <c r="Y3185">
        <v>0</v>
      </c>
      <c r="Z3185" t="s">
        <v>46</v>
      </c>
      <c r="AA3185">
        <v>56883</v>
      </c>
      <c r="AB3185" t="s">
        <v>467</v>
      </c>
      <c r="AC3185" t="s">
        <v>68</v>
      </c>
      <c r="AD3185" t="s">
        <v>38</v>
      </c>
      <c r="AE3185" t="s">
        <v>468</v>
      </c>
      <c r="AF3185" t="s">
        <v>44</v>
      </c>
      <c r="AG3185">
        <v>4</v>
      </c>
      <c r="AH3185">
        <v>0</v>
      </c>
      <c r="AI3185" t="s">
        <v>469</v>
      </c>
      <c r="AJ3185" t="s">
        <v>51</v>
      </c>
      <c r="AK3185" t="s">
        <v>469</v>
      </c>
    </row>
    <row r="3186" spans="1:37" x14ac:dyDescent="0.2">
      <c r="A3186">
        <v>56859</v>
      </c>
      <c r="B3186" t="s">
        <v>37</v>
      </c>
      <c r="C3186" t="s">
        <v>38</v>
      </c>
      <c r="D3186" t="s">
        <v>464</v>
      </c>
      <c r="E3186" t="s">
        <v>40</v>
      </c>
      <c r="G3186" s="4">
        <v>43945.08349537037</v>
      </c>
      <c r="H3186" s="4">
        <v>43945.083611111111</v>
      </c>
      <c r="I3186" t="s">
        <v>300</v>
      </c>
      <c r="J3186" s="5">
        <v>10.00000000000000000000000000000000000002</v>
      </c>
      <c r="K3186" t="s">
        <v>38</v>
      </c>
      <c r="M3186">
        <v>56878</v>
      </c>
      <c r="N3186" t="s">
        <v>470</v>
      </c>
      <c r="O3186" t="s">
        <v>471</v>
      </c>
      <c r="P3186" t="s">
        <v>38</v>
      </c>
      <c r="Q3186" t="s">
        <v>50</v>
      </c>
      <c r="R3186">
        <v>.9999999999999999999999999999999999999996</v>
      </c>
      <c r="S3186" t="s">
        <v>45</v>
      </c>
      <c r="T3186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86">
        <v>56879</v>
      </c>
      <c r="V3186" t="s">
        <v>38</v>
      </c>
      <c r="W3186" t="s">
        <v>50</v>
      </c>
      <c r="X3186">
        <v>.9999999999999999999999999999999999999996</v>
      </c>
      <c r="Y3186">
        <v>0</v>
      </c>
      <c r="Z3186" t="s">
        <v>46</v>
      </c>
      <c r="AA3186">
        <v>56880</v>
      </c>
      <c r="AB3186" t="s">
        <v>472</v>
      </c>
      <c r="AC3186" t="s">
        <v>68</v>
      </c>
      <c r="AD3186" t="s">
        <v>38</v>
      </c>
      <c r="AE3186" t="s">
        <v>49</v>
      </c>
      <c r="AF3186" t="s">
        <v>50</v>
      </c>
      <c r="AG3186">
        <v>.9999999999999999999999999999999999999996</v>
      </c>
      <c r="AH3186">
        <v>0</v>
      </c>
      <c r="AI3186" t="s">
        <v>51</v>
      </c>
      <c r="AJ3186" t="s">
        <v>51</v>
      </c>
      <c r="AK3186" t="s">
        <v>51</v>
      </c>
    </row>
    <row r="3187" spans="1:37" x14ac:dyDescent="0.2">
      <c r="A3187">
        <v>56859</v>
      </c>
      <c r="B3187" t="s">
        <v>37</v>
      </c>
      <c r="C3187" t="s">
        <v>38</v>
      </c>
      <c r="D3187" t="s">
        <v>464</v>
      </c>
      <c r="E3187" t="s">
        <v>40</v>
      </c>
      <c r="G3187" s="4">
        <v>43945.08349537037</v>
      </c>
      <c r="H3187" s="4">
        <v>43945.083611111111</v>
      </c>
      <c r="I3187" t="s">
        <v>300</v>
      </c>
      <c r="J3187" s="5">
        <v>10.00000000000000000000000000000000000002</v>
      </c>
      <c r="K3187" t="s">
        <v>38</v>
      </c>
      <c r="M3187">
        <v>56875</v>
      </c>
      <c r="N3187" t="s">
        <v>473</v>
      </c>
      <c r="O3187" t="s">
        <v>474</v>
      </c>
      <c r="P3187" t="s">
        <v>38</v>
      </c>
      <c r="Q3187" t="s">
        <v>85</v>
      </c>
      <c r="R3187">
        <v>3</v>
      </c>
      <c r="S3187" t="s">
        <v>45</v>
      </c>
      <c r="T3187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87">
        <v>56876</v>
      </c>
      <c r="V3187" t="s">
        <v>38</v>
      </c>
      <c r="W3187" t="s">
        <v>85</v>
      </c>
      <c r="X3187">
        <v>3</v>
      </c>
      <c r="Y3187">
        <v>0</v>
      </c>
      <c r="Z3187" t="s">
        <v>46</v>
      </c>
      <c r="AA3187">
        <v>56877</v>
      </c>
      <c r="AB3187" t="s">
        <v>475</v>
      </c>
      <c r="AC3187" t="s">
        <v>68</v>
      </c>
      <c r="AD3187" t="s">
        <v>38</v>
      </c>
      <c r="AE3187" t="s">
        <v>476</v>
      </c>
      <c r="AF3187" t="s">
        <v>85</v>
      </c>
      <c r="AG3187">
        <v>3</v>
      </c>
      <c r="AH3187">
        <v>0</v>
      </c>
      <c r="AI3187" t="s">
        <v>477</v>
      </c>
      <c r="AJ3187" t="s">
        <v>51</v>
      </c>
      <c r="AK3187" t="s">
        <v>477</v>
      </c>
    </row>
    <row r="3188" spans="1:37" x14ac:dyDescent="0.2">
      <c r="A3188">
        <v>56859</v>
      </c>
      <c r="B3188" t="s">
        <v>37</v>
      </c>
      <c r="C3188" t="s">
        <v>38</v>
      </c>
      <c r="D3188" t="s">
        <v>464</v>
      </c>
      <c r="E3188" t="s">
        <v>40</v>
      </c>
      <c r="G3188" s="4">
        <v>43945.08349537037</v>
      </c>
      <c r="H3188" s="4">
        <v>43945.083611111111</v>
      </c>
      <c r="I3188" t="s">
        <v>300</v>
      </c>
      <c r="J3188" s="5">
        <v>10.00000000000000000000000000000000000002</v>
      </c>
      <c r="K3188" t="s">
        <v>38</v>
      </c>
      <c r="M3188">
        <v>56872</v>
      </c>
      <c r="N3188" t="s">
        <v>478</v>
      </c>
      <c r="O3188" t="s">
        <v>479</v>
      </c>
      <c r="P3188" t="s">
        <v>38</v>
      </c>
      <c r="Q3188" t="s">
        <v>50</v>
      </c>
      <c r="R3188">
        <v>.9999999999999999999999999999999999999996</v>
      </c>
      <c r="S3188" t="s">
        <v>45</v>
      </c>
      <c r="T3188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88">
        <v>56873</v>
      </c>
      <c r="V3188" t="s">
        <v>38</v>
      </c>
      <c r="W3188" t="s">
        <v>50</v>
      </c>
      <c r="X3188">
        <v>.9999999999999999999999999999999999999996</v>
      </c>
      <c r="Y3188">
        <v>0</v>
      </c>
      <c r="Z3188" t="s">
        <v>46</v>
      </c>
      <c r="AA3188">
        <v>56874</v>
      </c>
      <c r="AB3188" t="s">
        <v>480</v>
      </c>
      <c r="AC3188" t="s">
        <v>68</v>
      </c>
      <c r="AD3188" t="s">
        <v>38</v>
      </c>
      <c r="AE3188" t="s">
        <v>49</v>
      </c>
      <c r="AF3188" t="s">
        <v>50</v>
      </c>
      <c r="AG3188">
        <v>.9999999999999999999999999999999999999996</v>
      </c>
      <c r="AH3188">
        <v>0</v>
      </c>
      <c r="AI3188" t="s">
        <v>51</v>
      </c>
      <c r="AJ3188" t="s">
        <v>51</v>
      </c>
      <c r="AK3188" t="s">
        <v>51</v>
      </c>
    </row>
    <row r="3189" spans="1:37" x14ac:dyDescent="0.2">
      <c r="A3189">
        <v>56859</v>
      </c>
      <c r="B3189" t="s">
        <v>37</v>
      </c>
      <c r="C3189" t="s">
        <v>38</v>
      </c>
      <c r="D3189" t="s">
        <v>464</v>
      </c>
      <c r="E3189" t="s">
        <v>40</v>
      </c>
      <c r="G3189" s="4">
        <v>43945.08349537037</v>
      </c>
      <c r="H3189" s="4">
        <v>43945.083611111111</v>
      </c>
      <c r="I3189" t="s">
        <v>300</v>
      </c>
      <c r="J3189" s="5">
        <v>10.00000000000000000000000000000000000002</v>
      </c>
      <c r="K3189" t="s">
        <v>38</v>
      </c>
      <c r="M3189">
        <v>56869</v>
      </c>
      <c r="N3189" t="s">
        <v>481</v>
      </c>
      <c r="O3189" t="s">
        <v>482</v>
      </c>
      <c r="P3189" t="s">
        <v>38</v>
      </c>
      <c r="Q3189" t="s">
        <v>50</v>
      </c>
      <c r="R3189">
        <v>0</v>
      </c>
      <c r="S3189" t="s">
        <v>45</v>
      </c>
      <c r="T3189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89">
        <v>56870</v>
      </c>
      <c r="V3189" t="s">
        <v>38</v>
      </c>
      <c r="W3189" t="s">
        <v>50</v>
      </c>
      <c r="X3189">
        <v>0</v>
      </c>
      <c r="Y3189">
        <v>0</v>
      </c>
      <c r="Z3189" t="s">
        <v>46</v>
      </c>
      <c r="AA3189">
        <v>56871</v>
      </c>
      <c r="AB3189" t="s">
        <v>483</v>
      </c>
      <c r="AC3189" t="s">
        <v>68</v>
      </c>
      <c r="AD3189" t="s">
        <v>38</v>
      </c>
      <c r="AE3189" t="s">
        <v>49</v>
      </c>
      <c r="AF3189" t="s">
        <v>50</v>
      </c>
      <c r="AG3189">
        <v>0</v>
      </c>
      <c r="AH3189">
        <v>0</v>
      </c>
      <c r="AI3189" t="s">
        <v>51</v>
      </c>
      <c r="AJ3189" t="s">
        <v>51</v>
      </c>
      <c r="AK3189" t="s">
        <v>51</v>
      </c>
    </row>
    <row r="3190" spans="1:37" x14ac:dyDescent="0.2">
      <c r="A3190">
        <v>56859</v>
      </c>
      <c r="B3190" t="s">
        <v>37</v>
      </c>
      <c r="C3190" t="s">
        <v>38</v>
      </c>
      <c r="D3190" t="s">
        <v>464</v>
      </c>
      <c r="E3190" t="s">
        <v>40</v>
      </c>
      <c r="G3190" s="4">
        <v>43945.08349537037</v>
      </c>
      <c r="H3190" s="4">
        <v>43945.083611111111</v>
      </c>
      <c r="I3190" t="s">
        <v>300</v>
      </c>
      <c r="J3190" s="5">
        <v>10.00000000000000000000000000000000000002</v>
      </c>
      <c r="K3190" t="s">
        <v>38</v>
      </c>
      <c r="M3190">
        <v>56866</v>
      </c>
      <c r="N3190" t="s">
        <v>484</v>
      </c>
      <c r="O3190" t="s">
        <v>485</v>
      </c>
      <c r="P3190" t="s">
        <v>38</v>
      </c>
      <c r="Q3190" t="s">
        <v>50</v>
      </c>
      <c r="R3190">
        <v>0</v>
      </c>
      <c r="S3190" t="s">
        <v>45</v>
      </c>
      <c r="T3190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90">
        <v>56867</v>
      </c>
      <c r="V3190" t="s">
        <v>38</v>
      </c>
      <c r="W3190" t="s">
        <v>50</v>
      </c>
      <c r="X3190">
        <v>0</v>
      </c>
      <c r="Y3190">
        <v>0</v>
      </c>
      <c r="Z3190" t="s">
        <v>46</v>
      </c>
      <c r="AA3190">
        <v>56868</v>
      </c>
      <c r="AB3190" t="s">
        <v>2414</v>
      </c>
      <c r="AC3190" t="s">
        <v>68</v>
      </c>
      <c r="AD3190" t="s">
        <v>38</v>
      </c>
      <c r="AE3190" t="s">
        <v>49</v>
      </c>
      <c r="AF3190" t="s">
        <v>50</v>
      </c>
      <c r="AG3190">
        <v>0</v>
      </c>
      <c r="AH3190">
        <v>0</v>
      </c>
      <c r="AI3190" t="s">
        <v>51</v>
      </c>
      <c r="AJ3190" t="s">
        <v>51</v>
      </c>
      <c r="AK3190" t="s">
        <v>51</v>
      </c>
    </row>
    <row r="3191" spans="1:37" x14ac:dyDescent="0.2">
      <c r="A3191">
        <v>56859</v>
      </c>
      <c r="B3191" t="s">
        <v>37</v>
      </c>
      <c r="C3191" t="s">
        <v>38</v>
      </c>
      <c r="D3191" t="s">
        <v>464</v>
      </c>
      <c r="E3191" t="s">
        <v>40</v>
      </c>
      <c r="G3191" s="4">
        <v>43945.08349537037</v>
      </c>
      <c r="H3191" s="4">
        <v>43945.083611111111</v>
      </c>
      <c r="I3191" t="s">
        <v>300</v>
      </c>
      <c r="J3191" s="5">
        <v>10.00000000000000000000000000000000000002</v>
      </c>
      <c r="K3191" t="s">
        <v>38</v>
      </c>
      <c r="M3191">
        <v>56863</v>
      </c>
      <c r="N3191" t="s">
        <v>487</v>
      </c>
      <c r="O3191" t="s">
        <v>488</v>
      </c>
      <c r="P3191" t="s">
        <v>38</v>
      </c>
      <c r="Q3191" t="s">
        <v>50</v>
      </c>
      <c r="R3191">
        <v>.9999999999999999999999999999999999999996</v>
      </c>
      <c r="S3191" t="s">
        <v>45</v>
      </c>
      <c r="T3191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91">
        <v>56864</v>
      </c>
      <c r="V3191" t="s">
        <v>38</v>
      </c>
      <c r="W3191" t="s">
        <v>50</v>
      </c>
      <c r="X3191">
        <v>.9999999999999999999999999999999999999996</v>
      </c>
      <c r="Y3191">
        <v>0</v>
      </c>
      <c r="Z3191" t="s">
        <v>46</v>
      </c>
      <c r="AA3191">
        <v>56865</v>
      </c>
      <c r="AB3191" t="s">
        <v>489</v>
      </c>
      <c r="AC3191" t="s">
        <v>68</v>
      </c>
      <c r="AD3191" t="s">
        <v>38</v>
      </c>
      <c r="AE3191" t="s">
        <v>49</v>
      </c>
      <c r="AF3191" t="s">
        <v>50</v>
      </c>
      <c r="AG3191">
        <v>.9999999999999999999999999999999999999996</v>
      </c>
      <c r="AH3191">
        <v>0</v>
      </c>
      <c r="AI3191" t="s">
        <v>51</v>
      </c>
      <c r="AJ3191" t="s">
        <v>51</v>
      </c>
      <c r="AK3191" t="s">
        <v>51</v>
      </c>
    </row>
    <row r="3192" spans="1:37" x14ac:dyDescent="0.2">
      <c r="A3192">
        <v>56859</v>
      </c>
      <c r="B3192" t="s">
        <v>37</v>
      </c>
      <c r="C3192" t="s">
        <v>38</v>
      </c>
      <c r="D3192" t="s">
        <v>464</v>
      </c>
      <c r="E3192" t="s">
        <v>40</v>
      </c>
      <c r="G3192" s="4">
        <v>43945.08349537037</v>
      </c>
      <c r="H3192" s="4">
        <v>43945.083611111111</v>
      </c>
      <c r="I3192" t="s">
        <v>300</v>
      </c>
      <c r="J3192" s="5">
        <v>10.00000000000000000000000000000000000002</v>
      </c>
      <c r="K3192" t="s">
        <v>38</v>
      </c>
      <c r="M3192">
        <v>56860</v>
      </c>
      <c r="N3192" t="s">
        <v>490</v>
      </c>
      <c r="O3192" t="s">
        <v>491</v>
      </c>
      <c r="P3192" t="s">
        <v>38</v>
      </c>
      <c r="Q3192" t="s">
        <v>50</v>
      </c>
      <c r="R3192">
        <v>0</v>
      </c>
      <c r="S3192" t="s">
        <v>45</v>
      </c>
      <c r="T3192" t="str" s="2">
        <f>=HYPERLINK("http://demo.enginatics.com:80/ecc/user/applications/log/56859.log","http://demo.enginatics.com:80/ecc/user/applications/log/56859.log")</f>
        <v>"http://demo.enginatics.com:80/ecc/user/applications/log/56859.log")</v>
      </c>
      <c r="U3192">
        <v>56861</v>
      </c>
      <c r="V3192" t="s">
        <v>38</v>
      </c>
      <c r="W3192" t="s">
        <v>50</v>
      </c>
      <c r="X3192">
        <v>0</v>
      </c>
      <c r="Y3192">
        <v>0</v>
      </c>
      <c r="Z3192" t="s">
        <v>46</v>
      </c>
      <c r="AA3192">
        <v>56862</v>
      </c>
      <c r="AB3192" t="s">
        <v>2415</v>
      </c>
      <c r="AC3192" t="s">
        <v>68</v>
      </c>
      <c r="AD3192" t="s">
        <v>38</v>
      </c>
      <c r="AE3192" t="s">
        <v>49</v>
      </c>
      <c r="AF3192" t="s">
        <v>50</v>
      </c>
      <c r="AG3192">
        <v>0</v>
      </c>
      <c r="AH3192">
        <v>0</v>
      </c>
      <c r="AI3192" t="s">
        <v>51</v>
      </c>
      <c r="AJ3192" t="s">
        <v>51</v>
      </c>
      <c r="AK3192" t="s">
        <v>51</v>
      </c>
    </row>
    <row r="3193" spans="1:37" x14ac:dyDescent="0.2">
      <c r="A3193">
        <v>56834</v>
      </c>
      <c r="B3193" t="s">
        <v>37</v>
      </c>
      <c r="C3193" t="s">
        <v>38</v>
      </c>
      <c r="D3193" t="s">
        <v>464</v>
      </c>
      <c r="E3193" t="s">
        <v>40</v>
      </c>
      <c r="G3193" s="4">
        <v>43945.080648148148</v>
      </c>
      <c r="H3193" s="4">
        <v>43945.080775462963</v>
      </c>
      <c r="I3193" t="s">
        <v>337</v>
      </c>
      <c r="J3193" s="5">
        <v>11.00000000000000000000000000000000000002</v>
      </c>
      <c r="K3193" t="s">
        <v>38</v>
      </c>
      <c r="M3193">
        <v>56856</v>
      </c>
      <c r="N3193" t="s">
        <v>465</v>
      </c>
      <c r="O3193" t="s">
        <v>466</v>
      </c>
      <c r="P3193" t="s">
        <v>38</v>
      </c>
      <c r="Q3193" t="s">
        <v>78</v>
      </c>
      <c r="R3193">
        <v>5</v>
      </c>
      <c r="S3193" t="s">
        <v>45</v>
      </c>
      <c r="T3193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3">
        <v>56857</v>
      </c>
      <c r="V3193" t="s">
        <v>38</v>
      </c>
      <c r="W3193" t="s">
        <v>44</v>
      </c>
      <c r="X3193">
        <v>4</v>
      </c>
      <c r="Y3193">
        <v>0</v>
      </c>
      <c r="Z3193" t="s">
        <v>46</v>
      </c>
      <c r="AA3193">
        <v>56858</v>
      </c>
      <c r="AB3193" t="s">
        <v>467</v>
      </c>
      <c r="AC3193" t="s">
        <v>68</v>
      </c>
      <c r="AD3193" t="s">
        <v>38</v>
      </c>
      <c r="AE3193" t="s">
        <v>468</v>
      </c>
      <c r="AF3193" t="s">
        <v>44</v>
      </c>
      <c r="AG3193">
        <v>4</v>
      </c>
      <c r="AH3193">
        <v>0</v>
      </c>
      <c r="AI3193" t="s">
        <v>469</v>
      </c>
      <c r="AJ3193" t="s">
        <v>51</v>
      </c>
      <c r="AK3193" t="s">
        <v>469</v>
      </c>
    </row>
    <row r="3194" spans="1:37" x14ac:dyDescent="0.2">
      <c r="A3194">
        <v>56834</v>
      </c>
      <c r="B3194" t="s">
        <v>37</v>
      </c>
      <c r="C3194" t="s">
        <v>38</v>
      </c>
      <c r="D3194" t="s">
        <v>464</v>
      </c>
      <c r="E3194" t="s">
        <v>40</v>
      </c>
      <c r="G3194" s="4">
        <v>43945.080648148148</v>
      </c>
      <c r="H3194" s="4">
        <v>43945.080775462963</v>
      </c>
      <c r="I3194" t="s">
        <v>337</v>
      </c>
      <c r="J3194" s="5">
        <v>11.00000000000000000000000000000000000002</v>
      </c>
      <c r="K3194" t="s">
        <v>38</v>
      </c>
      <c r="M3194">
        <v>56853</v>
      </c>
      <c r="N3194" t="s">
        <v>470</v>
      </c>
      <c r="O3194" t="s">
        <v>471</v>
      </c>
      <c r="P3194" t="s">
        <v>38</v>
      </c>
      <c r="Q3194" t="s">
        <v>50</v>
      </c>
      <c r="R3194">
        <v>.9999999999999999999999999999999999999996</v>
      </c>
      <c r="S3194" t="s">
        <v>45</v>
      </c>
      <c r="T3194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4">
        <v>56854</v>
      </c>
      <c r="V3194" t="s">
        <v>38</v>
      </c>
      <c r="W3194" t="s">
        <v>50</v>
      </c>
      <c r="X3194">
        <v>.9999999999999999999999999999999999999996</v>
      </c>
      <c r="Y3194">
        <v>0</v>
      </c>
      <c r="Z3194" t="s">
        <v>46</v>
      </c>
      <c r="AA3194">
        <v>56855</v>
      </c>
      <c r="AB3194" t="s">
        <v>472</v>
      </c>
      <c r="AC3194" t="s">
        <v>68</v>
      </c>
      <c r="AD3194" t="s">
        <v>38</v>
      </c>
      <c r="AE3194" t="s">
        <v>49</v>
      </c>
      <c r="AF3194" t="s">
        <v>50</v>
      </c>
      <c r="AG3194">
        <v>.9999999999999999999999999999999999999996</v>
      </c>
      <c r="AH3194">
        <v>0</v>
      </c>
      <c r="AI3194" t="s">
        <v>51</v>
      </c>
      <c r="AJ3194" t="s">
        <v>51</v>
      </c>
      <c r="AK3194" t="s">
        <v>51</v>
      </c>
    </row>
    <row r="3195" spans="1:37" x14ac:dyDescent="0.2">
      <c r="A3195">
        <v>56834</v>
      </c>
      <c r="B3195" t="s">
        <v>37</v>
      </c>
      <c r="C3195" t="s">
        <v>38</v>
      </c>
      <c r="D3195" t="s">
        <v>464</v>
      </c>
      <c r="E3195" t="s">
        <v>40</v>
      </c>
      <c r="G3195" s="4">
        <v>43945.080648148148</v>
      </c>
      <c r="H3195" s="4">
        <v>43945.080775462963</v>
      </c>
      <c r="I3195" t="s">
        <v>337</v>
      </c>
      <c r="J3195" s="5">
        <v>11.00000000000000000000000000000000000002</v>
      </c>
      <c r="K3195" t="s">
        <v>38</v>
      </c>
      <c r="M3195">
        <v>56850</v>
      </c>
      <c r="N3195" t="s">
        <v>473</v>
      </c>
      <c r="O3195" t="s">
        <v>474</v>
      </c>
      <c r="P3195" t="s">
        <v>38</v>
      </c>
      <c r="Q3195" t="s">
        <v>88</v>
      </c>
      <c r="R3195">
        <v>2</v>
      </c>
      <c r="S3195" t="s">
        <v>45</v>
      </c>
      <c r="T3195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5">
        <v>56851</v>
      </c>
      <c r="V3195" t="s">
        <v>38</v>
      </c>
      <c r="W3195" t="s">
        <v>88</v>
      </c>
      <c r="X3195">
        <v>2</v>
      </c>
      <c r="Y3195">
        <v>0</v>
      </c>
      <c r="Z3195" t="s">
        <v>46</v>
      </c>
      <c r="AA3195">
        <v>56852</v>
      </c>
      <c r="AB3195" t="s">
        <v>475</v>
      </c>
      <c r="AC3195" t="s">
        <v>68</v>
      </c>
      <c r="AD3195" t="s">
        <v>38</v>
      </c>
      <c r="AE3195" t="s">
        <v>476</v>
      </c>
      <c r="AF3195" t="s">
        <v>88</v>
      </c>
      <c r="AG3195">
        <v>2</v>
      </c>
      <c r="AH3195">
        <v>0</v>
      </c>
      <c r="AI3195" t="s">
        <v>477</v>
      </c>
      <c r="AJ3195" t="s">
        <v>51</v>
      </c>
      <c r="AK3195" t="s">
        <v>477</v>
      </c>
    </row>
    <row r="3196" spans="1:37" x14ac:dyDescent="0.2">
      <c r="A3196">
        <v>56834</v>
      </c>
      <c r="B3196" t="s">
        <v>37</v>
      </c>
      <c r="C3196" t="s">
        <v>38</v>
      </c>
      <c r="D3196" t="s">
        <v>464</v>
      </c>
      <c r="E3196" t="s">
        <v>40</v>
      </c>
      <c r="G3196" s="4">
        <v>43945.080648148148</v>
      </c>
      <c r="H3196" s="4">
        <v>43945.080775462963</v>
      </c>
      <c r="I3196" t="s">
        <v>337</v>
      </c>
      <c r="J3196" s="5">
        <v>11.00000000000000000000000000000000000002</v>
      </c>
      <c r="K3196" t="s">
        <v>38</v>
      </c>
      <c r="M3196">
        <v>56847</v>
      </c>
      <c r="N3196" t="s">
        <v>478</v>
      </c>
      <c r="O3196" t="s">
        <v>479</v>
      </c>
      <c r="P3196" t="s">
        <v>38</v>
      </c>
      <c r="Q3196" t="s">
        <v>50</v>
      </c>
      <c r="R3196">
        <v>.9999999999999999999999999999999999999996</v>
      </c>
      <c r="S3196" t="s">
        <v>45</v>
      </c>
      <c r="T3196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6">
        <v>56848</v>
      </c>
      <c r="V3196" t="s">
        <v>38</v>
      </c>
      <c r="W3196" t="s">
        <v>50</v>
      </c>
      <c r="X3196">
        <v>.9999999999999999999999999999999999999996</v>
      </c>
      <c r="Y3196">
        <v>0</v>
      </c>
      <c r="Z3196" t="s">
        <v>46</v>
      </c>
      <c r="AA3196">
        <v>56849</v>
      </c>
      <c r="AB3196" t="s">
        <v>480</v>
      </c>
      <c r="AC3196" t="s">
        <v>68</v>
      </c>
      <c r="AD3196" t="s">
        <v>38</v>
      </c>
      <c r="AE3196" t="s">
        <v>49</v>
      </c>
      <c r="AF3196" t="s">
        <v>50</v>
      </c>
      <c r="AG3196">
        <v>.9999999999999999999999999999999999999996</v>
      </c>
      <c r="AH3196">
        <v>0</v>
      </c>
      <c r="AI3196" t="s">
        <v>51</v>
      </c>
      <c r="AJ3196" t="s">
        <v>51</v>
      </c>
      <c r="AK3196" t="s">
        <v>51</v>
      </c>
    </row>
    <row r="3197" spans="1:37" x14ac:dyDescent="0.2">
      <c r="A3197">
        <v>56834</v>
      </c>
      <c r="B3197" t="s">
        <v>37</v>
      </c>
      <c r="C3197" t="s">
        <v>38</v>
      </c>
      <c r="D3197" t="s">
        <v>464</v>
      </c>
      <c r="E3197" t="s">
        <v>40</v>
      </c>
      <c r="G3197" s="4">
        <v>43945.080648148148</v>
      </c>
      <c r="H3197" s="4">
        <v>43945.080775462963</v>
      </c>
      <c r="I3197" t="s">
        <v>337</v>
      </c>
      <c r="J3197" s="5">
        <v>11.00000000000000000000000000000000000002</v>
      </c>
      <c r="K3197" t="s">
        <v>38</v>
      </c>
      <c r="M3197">
        <v>56844</v>
      </c>
      <c r="N3197" t="s">
        <v>481</v>
      </c>
      <c r="O3197" t="s">
        <v>482</v>
      </c>
      <c r="P3197" t="s">
        <v>38</v>
      </c>
      <c r="Q3197" t="s">
        <v>50</v>
      </c>
      <c r="R3197">
        <v>.9999999999999999999999999999999999999996</v>
      </c>
      <c r="S3197" t="s">
        <v>45</v>
      </c>
      <c r="T3197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7">
        <v>56845</v>
      </c>
      <c r="V3197" t="s">
        <v>38</v>
      </c>
      <c r="W3197" t="s">
        <v>50</v>
      </c>
      <c r="X3197">
        <v>.9999999999999999999999999999999999999996</v>
      </c>
      <c r="Y3197">
        <v>0</v>
      </c>
      <c r="Z3197" t="s">
        <v>46</v>
      </c>
      <c r="AA3197">
        <v>56846</v>
      </c>
      <c r="AB3197" t="s">
        <v>483</v>
      </c>
      <c r="AC3197" t="s">
        <v>68</v>
      </c>
      <c r="AD3197" t="s">
        <v>38</v>
      </c>
      <c r="AE3197" t="s">
        <v>49</v>
      </c>
      <c r="AF3197" t="s">
        <v>50</v>
      </c>
      <c r="AG3197">
        <v>.9999999999999999999999999999999999999996</v>
      </c>
      <c r="AH3197">
        <v>0</v>
      </c>
      <c r="AI3197" t="s">
        <v>51</v>
      </c>
      <c r="AJ3197" t="s">
        <v>51</v>
      </c>
      <c r="AK3197" t="s">
        <v>51</v>
      </c>
    </row>
    <row r="3198" spans="1:37" x14ac:dyDescent="0.2">
      <c r="A3198">
        <v>56834</v>
      </c>
      <c r="B3198" t="s">
        <v>37</v>
      </c>
      <c r="C3198" t="s">
        <v>38</v>
      </c>
      <c r="D3198" t="s">
        <v>464</v>
      </c>
      <c r="E3198" t="s">
        <v>40</v>
      </c>
      <c r="G3198" s="4">
        <v>43945.080648148148</v>
      </c>
      <c r="H3198" s="4">
        <v>43945.080775462963</v>
      </c>
      <c r="I3198" t="s">
        <v>337</v>
      </c>
      <c r="J3198" s="5">
        <v>11.00000000000000000000000000000000000002</v>
      </c>
      <c r="K3198" t="s">
        <v>38</v>
      </c>
      <c r="M3198">
        <v>56841</v>
      </c>
      <c r="N3198" t="s">
        <v>484</v>
      </c>
      <c r="O3198" t="s">
        <v>485</v>
      </c>
      <c r="P3198" t="s">
        <v>38</v>
      </c>
      <c r="Q3198" t="s">
        <v>50</v>
      </c>
      <c r="R3198">
        <v>0</v>
      </c>
      <c r="S3198" t="s">
        <v>45</v>
      </c>
      <c r="T3198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8">
        <v>56842</v>
      </c>
      <c r="V3198" t="s">
        <v>38</v>
      </c>
      <c r="W3198" t="s">
        <v>50</v>
      </c>
      <c r="X3198">
        <v>0</v>
      </c>
      <c r="Y3198">
        <v>0</v>
      </c>
      <c r="Z3198" t="s">
        <v>46</v>
      </c>
      <c r="AA3198">
        <v>56843</v>
      </c>
      <c r="AB3198" t="s">
        <v>2416</v>
      </c>
      <c r="AC3198" t="s">
        <v>68</v>
      </c>
      <c r="AD3198" t="s">
        <v>38</v>
      </c>
      <c r="AE3198" t="s">
        <v>49</v>
      </c>
      <c r="AF3198" t="s">
        <v>50</v>
      </c>
      <c r="AG3198">
        <v>0</v>
      </c>
      <c r="AH3198">
        <v>0</v>
      </c>
      <c r="AI3198" t="s">
        <v>51</v>
      </c>
      <c r="AJ3198" t="s">
        <v>51</v>
      </c>
      <c r="AK3198" t="s">
        <v>51</v>
      </c>
    </row>
    <row r="3199" spans="1:37" x14ac:dyDescent="0.2">
      <c r="A3199">
        <v>56834</v>
      </c>
      <c r="B3199" t="s">
        <v>37</v>
      </c>
      <c r="C3199" t="s">
        <v>38</v>
      </c>
      <c r="D3199" t="s">
        <v>464</v>
      </c>
      <c r="E3199" t="s">
        <v>40</v>
      </c>
      <c r="G3199" s="4">
        <v>43945.080648148148</v>
      </c>
      <c r="H3199" s="4">
        <v>43945.080775462963</v>
      </c>
      <c r="I3199" t="s">
        <v>337</v>
      </c>
      <c r="J3199" s="5">
        <v>11.00000000000000000000000000000000000002</v>
      </c>
      <c r="K3199" t="s">
        <v>38</v>
      </c>
      <c r="M3199">
        <v>56838</v>
      </c>
      <c r="N3199" t="s">
        <v>487</v>
      </c>
      <c r="O3199" t="s">
        <v>488</v>
      </c>
      <c r="P3199" t="s">
        <v>38</v>
      </c>
      <c r="Q3199" t="s">
        <v>50</v>
      </c>
      <c r="R3199">
        <v>.9999999999999999999999999999999999999996</v>
      </c>
      <c r="S3199" t="s">
        <v>45</v>
      </c>
      <c r="T3199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199">
        <v>56839</v>
      </c>
      <c r="V3199" t="s">
        <v>38</v>
      </c>
      <c r="W3199" t="s">
        <v>50</v>
      </c>
      <c r="X3199">
        <v>.9999999999999999999999999999999999999996</v>
      </c>
      <c r="Y3199">
        <v>0</v>
      </c>
      <c r="Z3199" t="s">
        <v>46</v>
      </c>
      <c r="AA3199">
        <v>56840</v>
      </c>
      <c r="AB3199" t="s">
        <v>489</v>
      </c>
      <c r="AC3199" t="s">
        <v>68</v>
      </c>
      <c r="AD3199" t="s">
        <v>38</v>
      </c>
      <c r="AE3199" t="s">
        <v>49</v>
      </c>
      <c r="AF3199" t="s">
        <v>50</v>
      </c>
      <c r="AG3199">
        <v>.9999999999999999999999999999999999999996</v>
      </c>
      <c r="AH3199">
        <v>0</v>
      </c>
      <c r="AI3199" t="s">
        <v>51</v>
      </c>
      <c r="AJ3199" t="s">
        <v>51</v>
      </c>
      <c r="AK3199" t="s">
        <v>51</v>
      </c>
    </row>
    <row r="3200" spans="1:37" x14ac:dyDescent="0.2">
      <c r="A3200">
        <v>56834</v>
      </c>
      <c r="B3200" t="s">
        <v>37</v>
      </c>
      <c r="C3200" t="s">
        <v>38</v>
      </c>
      <c r="D3200" t="s">
        <v>464</v>
      </c>
      <c r="E3200" t="s">
        <v>40</v>
      </c>
      <c r="G3200" s="4">
        <v>43945.080648148148</v>
      </c>
      <c r="H3200" s="4">
        <v>43945.080775462963</v>
      </c>
      <c r="I3200" t="s">
        <v>337</v>
      </c>
      <c r="J3200" s="5">
        <v>11.00000000000000000000000000000000000002</v>
      </c>
      <c r="K3200" t="s">
        <v>38</v>
      </c>
      <c r="M3200">
        <v>56835</v>
      </c>
      <c r="N3200" t="s">
        <v>490</v>
      </c>
      <c r="O3200" t="s">
        <v>491</v>
      </c>
      <c r="P3200" t="s">
        <v>38</v>
      </c>
      <c r="Q3200" t="s">
        <v>50</v>
      </c>
      <c r="R3200">
        <v>0</v>
      </c>
      <c r="S3200" t="s">
        <v>45</v>
      </c>
      <c r="T3200" t="str" s="2">
        <f>=HYPERLINK("http://demo.enginatics.com:80/ecc/user/applications/log/56834.log","http://demo.enginatics.com:80/ecc/user/applications/log/56834.log")</f>
        <v>"http://demo.enginatics.com:80/ecc/user/applications/log/56834.log")</v>
      </c>
      <c r="U3200">
        <v>56836</v>
      </c>
      <c r="V3200" t="s">
        <v>38</v>
      </c>
      <c r="W3200" t="s">
        <v>50</v>
      </c>
      <c r="X3200">
        <v>0</v>
      </c>
      <c r="Y3200">
        <v>0</v>
      </c>
      <c r="Z3200" t="s">
        <v>46</v>
      </c>
      <c r="AA3200">
        <v>56837</v>
      </c>
      <c r="AB3200" t="s">
        <v>2417</v>
      </c>
      <c r="AC3200" t="s">
        <v>68</v>
      </c>
      <c r="AD3200" t="s">
        <v>38</v>
      </c>
      <c r="AE3200" t="s">
        <v>49</v>
      </c>
      <c r="AF3200" t="s">
        <v>50</v>
      </c>
      <c r="AG3200">
        <v>0</v>
      </c>
      <c r="AH3200">
        <v>0</v>
      </c>
      <c r="AI3200" t="s">
        <v>51</v>
      </c>
      <c r="AJ3200" t="s">
        <v>51</v>
      </c>
      <c r="AK3200" t="s">
        <v>51</v>
      </c>
    </row>
    <row r="3201" spans="1:37" x14ac:dyDescent="0.2">
      <c r="A3201">
        <v>56830</v>
      </c>
      <c r="B3201" t="s">
        <v>37</v>
      </c>
      <c r="C3201" t="s">
        <v>38</v>
      </c>
      <c r="D3201" t="s">
        <v>495</v>
      </c>
      <c r="E3201" t="s">
        <v>40</v>
      </c>
      <c r="G3201" s="4">
        <v>43945.078298611111</v>
      </c>
      <c r="H3201" s="4">
        <v>43945.0784375</v>
      </c>
      <c r="I3201" t="s">
        <v>236</v>
      </c>
      <c r="J3201" s="5">
        <v>12.00000000000000000000000000000000000001</v>
      </c>
      <c r="K3201" t="s">
        <v>38</v>
      </c>
      <c r="M3201">
        <v>56831</v>
      </c>
      <c r="N3201" t="s">
        <v>496</v>
      </c>
      <c r="O3201" t="s">
        <v>497</v>
      </c>
      <c r="P3201" t="s">
        <v>38</v>
      </c>
      <c r="Q3201" t="s">
        <v>236</v>
      </c>
      <c r="R3201">
        <v>12.00000000000000000000000000000000000001</v>
      </c>
      <c r="S3201" t="s">
        <v>45</v>
      </c>
      <c r="T3201" t="str" s="2">
        <f>=HYPERLINK("http://demo.enginatics.com:80/ecc/user/applications/log/56830.log","http://demo.enginatics.com:80/ecc/user/applications/log/56830.log")</f>
        <v>"http://demo.enginatics.com:80/ecc/user/applications/log/56830.log")</v>
      </c>
      <c r="U3201">
        <v>56832</v>
      </c>
      <c r="V3201" t="s">
        <v>38</v>
      </c>
      <c r="W3201" t="s">
        <v>236</v>
      </c>
      <c r="X3201">
        <v>12.00000000000000000000000000000000000001</v>
      </c>
      <c r="Y3201">
        <v>0</v>
      </c>
      <c r="Z3201" t="s">
        <v>46</v>
      </c>
      <c r="AA3201">
        <v>56833</v>
      </c>
      <c r="AB3201" t="s">
        <v>2418</v>
      </c>
      <c r="AC3201" t="s">
        <v>97</v>
      </c>
      <c r="AD3201" t="s">
        <v>38</v>
      </c>
      <c r="AE3201" t="s">
        <v>49</v>
      </c>
      <c r="AF3201" t="s">
        <v>236</v>
      </c>
      <c r="AG3201">
        <v>12.00000000000000000000000000000000000001</v>
      </c>
      <c r="AH3201">
        <v>12</v>
      </c>
      <c r="AI3201" t="s">
        <v>51</v>
      </c>
      <c r="AJ3201" t="s">
        <v>51</v>
      </c>
      <c r="AK3201" t="s">
        <v>51</v>
      </c>
    </row>
    <row r="3202" spans="1:37" x14ac:dyDescent="0.2">
      <c r="A3202">
        <v>56820</v>
      </c>
      <c r="B3202" t="s">
        <v>37</v>
      </c>
      <c r="C3202" t="s">
        <v>38</v>
      </c>
      <c r="D3202" t="s">
        <v>499</v>
      </c>
      <c r="E3202" t="s">
        <v>40</v>
      </c>
      <c r="G3202" s="4">
        <v>43945.068402777778</v>
      </c>
      <c r="H3202" s="4">
        <v>43945.068460648148</v>
      </c>
      <c r="I3202" t="s">
        <v>78</v>
      </c>
      <c r="J3202" s="5">
        <v>5</v>
      </c>
      <c r="K3202" t="s">
        <v>38</v>
      </c>
      <c r="M3202">
        <v>56827</v>
      </c>
      <c r="N3202" t="s">
        <v>500</v>
      </c>
      <c r="O3202" t="s">
        <v>501</v>
      </c>
      <c r="P3202" t="s">
        <v>38</v>
      </c>
      <c r="Q3202" t="s">
        <v>88</v>
      </c>
      <c r="R3202">
        <v>2</v>
      </c>
      <c r="S3202" t="s">
        <v>45</v>
      </c>
      <c r="T3202" t="str" s="2">
        <f>=HYPERLINK("http://demo.enginatics.com:80/ecc/user/applications/log/56820.log","http://demo.enginatics.com:80/ecc/user/applications/log/56820.log")</f>
        <v>"http://demo.enginatics.com:80/ecc/user/applications/log/56820.log")</v>
      </c>
      <c r="U3202">
        <v>56828</v>
      </c>
      <c r="V3202" t="s">
        <v>38</v>
      </c>
      <c r="W3202" t="s">
        <v>50</v>
      </c>
      <c r="X3202">
        <v>.9999999999999999999999999999999999999996</v>
      </c>
      <c r="Y3202">
        <v>0</v>
      </c>
      <c r="Z3202" t="s">
        <v>46</v>
      </c>
      <c r="AA3202">
        <v>56829</v>
      </c>
      <c r="AB3202" t="s">
        <v>2419</v>
      </c>
      <c r="AC3202" t="s">
        <v>68</v>
      </c>
      <c r="AD3202" t="s">
        <v>38</v>
      </c>
      <c r="AE3202" t="s">
        <v>49</v>
      </c>
      <c r="AF3202" t="s">
        <v>50</v>
      </c>
      <c r="AG3202">
        <v>.9999999999999999999999999999999999999996</v>
      </c>
      <c r="AH3202">
        <v>0</v>
      </c>
      <c r="AI3202" t="s">
        <v>51</v>
      </c>
      <c r="AJ3202" t="s">
        <v>51</v>
      </c>
      <c r="AK3202" t="s">
        <v>51</v>
      </c>
    </row>
    <row r="3203" spans="1:37" x14ac:dyDescent="0.2">
      <c r="A3203">
        <v>56820</v>
      </c>
      <c r="B3203" t="s">
        <v>37</v>
      </c>
      <c r="C3203" t="s">
        <v>38</v>
      </c>
      <c r="D3203" t="s">
        <v>499</v>
      </c>
      <c r="E3203" t="s">
        <v>40</v>
      </c>
      <c r="G3203" s="4">
        <v>43945.068402777778</v>
      </c>
      <c r="H3203" s="4">
        <v>43945.068460648148</v>
      </c>
      <c r="I3203" t="s">
        <v>78</v>
      </c>
      <c r="J3203" s="5">
        <v>5</v>
      </c>
      <c r="K3203" t="s">
        <v>38</v>
      </c>
      <c r="M3203">
        <v>56824</v>
      </c>
      <c r="N3203" t="s">
        <v>503</v>
      </c>
      <c r="O3203" t="s">
        <v>504</v>
      </c>
      <c r="P3203" t="s">
        <v>38</v>
      </c>
      <c r="Q3203" t="s">
        <v>88</v>
      </c>
      <c r="R3203">
        <v>2</v>
      </c>
      <c r="S3203" t="s">
        <v>45</v>
      </c>
      <c r="T3203" t="str" s="2">
        <f>=HYPERLINK("http://demo.enginatics.com:80/ecc/user/applications/log/56820.log","http://demo.enginatics.com:80/ecc/user/applications/log/56820.log")</f>
        <v>"http://demo.enginatics.com:80/ecc/user/applications/log/56820.log")</v>
      </c>
      <c r="U3203">
        <v>56825</v>
      </c>
      <c r="V3203" t="s">
        <v>38</v>
      </c>
      <c r="W3203" t="s">
        <v>50</v>
      </c>
      <c r="X3203">
        <v>.9999999999999999999999999999999999999996</v>
      </c>
      <c r="Y3203">
        <v>0</v>
      </c>
      <c r="Z3203" t="s">
        <v>46</v>
      </c>
      <c r="AA3203">
        <v>56826</v>
      </c>
      <c r="AB3203" t="s">
        <v>505</v>
      </c>
      <c r="AC3203" t="s">
        <v>68</v>
      </c>
      <c r="AD3203" t="s">
        <v>38</v>
      </c>
      <c r="AE3203" t="s">
        <v>49</v>
      </c>
      <c r="AF3203" t="s">
        <v>50</v>
      </c>
      <c r="AG3203">
        <v>.9999999999999999999999999999999999999996</v>
      </c>
      <c r="AH3203">
        <v>1</v>
      </c>
      <c r="AI3203" t="s">
        <v>51</v>
      </c>
      <c r="AJ3203" t="s">
        <v>51</v>
      </c>
      <c r="AK3203" t="s">
        <v>51</v>
      </c>
    </row>
    <row r="3204" spans="1:37" x14ac:dyDescent="0.2">
      <c r="A3204">
        <v>56820</v>
      </c>
      <c r="B3204" t="s">
        <v>37</v>
      </c>
      <c r="C3204" t="s">
        <v>38</v>
      </c>
      <c r="D3204" t="s">
        <v>499</v>
      </c>
      <c r="E3204" t="s">
        <v>40</v>
      </c>
      <c r="G3204" s="4">
        <v>43945.068402777778</v>
      </c>
      <c r="H3204" s="4">
        <v>43945.068460648148</v>
      </c>
      <c r="I3204" t="s">
        <v>78</v>
      </c>
      <c r="J3204" s="5">
        <v>5</v>
      </c>
      <c r="K3204" t="s">
        <v>38</v>
      </c>
      <c r="M3204">
        <v>56821</v>
      </c>
      <c r="N3204" t="s">
        <v>506</v>
      </c>
      <c r="O3204" t="s">
        <v>507</v>
      </c>
      <c r="P3204" t="s">
        <v>38</v>
      </c>
      <c r="Q3204" t="s">
        <v>50</v>
      </c>
      <c r="R3204">
        <v>.9999999999999999999999999999999999999996</v>
      </c>
      <c r="S3204" t="s">
        <v>45</v>
      </c>
      <c r="T3204" t="str" s="2">
        <f>=HYPERLINK("http://demo.enginatics.com:80/ecc/user/applications/log/56820.log","http://demo.enginatics.com:80/ecc/user/applications/log/56820.log")</f>
        <v>"http://demo.enginatics.com:80/ecc/user/applications/log/56820.log")</v>
      </c>
      <c r="U3204">
        <v>56822</v>
      </c>
      <c r="V3204" t="s">
        <v>38</v>
      </c>
      <c r="W3204" t="s">
        <v>50</v>
      </c>
      <c r="X3204">
        <v>.9999999999999999999999999999999999999996</v>
      </c>
      <c r="Y3204">
        <v>0</v>
      </c>
      <c r="Z3204" t="s">
        <v>46</v>
      </c>
      <c r="AA3204">
        <v>56823</v>
      </c>
      <c r="AB3204" t="s">
        <v>2420</v>
      </c>
      <c r="AC3204" t="s">
        <v>68</v>
      </c>
      <c r="AD3204" t="s">
        <v>38</v>
      </c>
      <c r="AE3204" t="s">
        <v>49</v>
      </c>
      <c r="AF3204" t="s">
        <v>50</v>
      </c>
      <c r="AG3204">
        <v>.9999999999999999999999999999999999999996</v>
      </c>
      <c r="AH3204">
        <v>0</v>
      </c>
      <c r="AI3204" t="s">
        <v>51</v>
      </c>
      <c r="AJ3204" t="s">
        <v>51</v>
      </c>
      <c r="AK3204" t="s">
        <v>51</v>
      </c>
    </row>
    <row r="3205" spans="1:37" x14ac:dyDescent="0.2">
      <c r="A3205">
        <v>56792</v>
      </c>
      <c r="B3205" t="s">
        <v>37</v>
      </c>
      <c r="C3205" t="s">
        <v>38</v>
      </c>
      <c r="D3205" t="s">
        <v>509</v>
      </c>
      <c r="E3205" t="s">
        <v>40</v>
      </c>
      <c r="G3205" s="4">
        <v>43945.058101851852</v>
      </c>
      <c r="H3205" s="4">
        <v>43945.058391203704</v>
      </c>
      <c r="I3205" t="s">
        <v>180</v>
      </c>
      <c r="J3205" s="5">
        <v>25.00000000000000000000000000000000000001</v>
      </c>
      <c r="K3205" t="s">
        <v>38</v>
      </c>
      <c r="M3205">
        <v>56815</v>
      </c>
      <c r="N3205" t="s">
        <v>511</v>
      </c>
      <c r="O3205" t="s">
        <v>512</v>
      </c>
      <c r="P3205" t="s">
        <v>38</v>
      </c>
      <c r="Q3205" t="s">
        <v>247</v>
      </c>
      <c r="R3205">
        <v>7</v>
      </c>
      <c r="S3205" t="s">
        <v>45</v>
      </c>
      <c r="T3205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05">
        <v>56816</v>
      </c>
      <c r="V3205" t="s">
        <v>38</v>
      </c>
      <c r="W3205" t="s">
        <v>247</v>
      </c>
      <c r="X3205">
        <v>7</v>
      </c>
      <c r="Y3205">
        <v>2</v>
      </c>
      <c r="Z3205" t="s">
        <v>46</v>
      </c>
      <c r="AA3205">
        <v>56819</v>
      </c>
      <c r="AB3205" t="s">
        <v>2421</v>
      </c>
      <c r="AC3205" t="s">
        <v>97</v>
      </c>
      <c r="AD3205" t="s">
        <v>38</v>
      </c>
      <c r="AE3205" t="s">
        <v>49</v>
      </c>
      <c r="AF3205" t="s">
        <v>50</v>
      </c>
      <c r="AG3205">
        <v>0</v>
      </c>
      <c r="AH3205">
        <v>0</v>
      </c>
      <c r="AI3205" t="s">
        <v>51</v>
      </c>
      <c r="AJ3205" t="s">
        <v>51</v>
      </c>
      <c r="AK3205" t="s">
        <v>51</v>
      </c>
    </row>
    <row r="3206" spans="1:37" x14ac:dyDescent="0.2">
      <c r="A3206">
        <v>56792</v>
      </c>
      <c r="B3206" t="s">
        <v>37</v>
      </c>
      <c r="C3206" t="s">
        <v>38</v>
      </c>
      <c r="D3206" t="s">
        <v>509</v>
      </c>
      <c r="E3206" t="s">
        <v>40</v>
      </c>
      <c r="G3206" s="4">
        <v>43945.058101851852</v>
      </c>
      <c r="H3206" s="4">
        <v>43945.058391203704</v>
      </c>
      <c r="I3206" t="s">
        <v>180</v>
      </c>
      <c r="J3206" s="5">
        <v>25.00000000000000000000000000000000000001</v>
      </c>
      <c r="K3206" t="s">
        <v>38</v>
      </c>
      <c r="M3206">
        <v>56815</v>
      </c>
      <c r="N3206" t="s">
        <v>511</v>
      </c>
      <c r="O3206" t="s">
        <v>512</v>
      </c>
      <c r="P3206" t="s">
        <v>38</v>
      </c>
      <c r="Q3206" t="s">
        <v>247</v>
      </c>
      <c r="R3206">
        <v>7</v>
      </c>
      <c r="S3206" t="s">
        <v>45</v>
      </c>
      <c r="T3206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06">
        <v>56816</v>
      </c>
      <c r="V3206" t="s">
        <v>38</v>
      </c>
      <c r="W3206" t="s">
        <v>247</v>
      </c>
      <c r="X3206">
        <v>7</v>
      </c>
      <c r="Y3206">
        <v>2</v>
      </c>
      <c r="Z3206" t="s">
        <v>46</v>
      </c>
      <c r="AA3206">
        <v>56818</v>
      </c>
      <c r="AB3206" t="s">
        <v>514</v>
      </c>
      <c r="AC3206" t="s">
        <v>97</v>
      </c>
      <c r="AD3206" t="s">
        <v>38</v>
      </c>
      <c r="AE3206" t="s">
        <v>49</v>
      </c>
      <c r="AF3206" t="s">
        <v>50</v>
      </c>
      <c r="AG3206">
        <v>0</v>
      </c>
      <c r="AH3206">
        <v>0</v>
      </c>
      <c r="AI3206" t="s">
        <v>51</v>
      </c>
      <c r="AJ3206" t="s">
        <v>51</v>
      </c>
      <c r="AK3206" t="s">
        <v>51</v>
      </c>
    </row>
    <row r="3207" spans="1:37" x14ac:dyDescent="0.2">
      <c r="A3207">
        <v>56792</v>
      </c>
      <c r="B3207" t="s">
        <v>37</v>
      </c>
      <c r="C3207" t="s">
        <v>38</v>
      </c>
      <c r="D3207" t="s">
        <v>509</v>
      </c>
      <c r="E3207" t="s">
        <v>40</v>
      </c>
      <c r="G3207" s="4">
        <v>43945.058101851852</v>
      </c>
      <c r="H3207" s="4">
        <v>43945.058391203704</v>
      </c>
      <c r="I3207" t="s">
        <v>180</v>
      </c>
      <c r="J3207" s="5">
        <v>25.00000000000000000000000000000000000001</v>
      </c>
      <c r="K3207" t="s">
        <v>38</v>
      </c>
      <c r="M3207">
        <v>56815</v>
      </c>
      <c r="N3207" t="s">
        <v>511</v>
      </c>
      <c r="O3207" t="s">
        <v>512</v>
      </c>
      <c r="P3207" t="s">
        <v>38</v>
      </c>
      <c r="Q3207" t="s">
        <v>247</v>
      </c>
      <c r="R3207">
        <v>7</v>
      </c>
      <c r="S3207" t="s">
        <v>45</v>
      </c>
      <c r="T3207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07">
        <v>56816</v>
      </c>
      <c r="V3207" t="s">
        <v>38</v>
      </c>
      <c r="W3207" t="s">
        <v>247</v>
      </c>
      <c r="X3207">
        <v>7</v>
      </c>
      <c r="Y3207">
        <v>2</v>
      </c>
      <c r="Z3207" t="s">
        <v>46</v>
      </c>
      <c r="AA3207">
        <v>56817</v>
      </c>
      <c r="AB3207" t="s">
        <v>2422</v>
      </c>
      <c r="AC3207" t="s">
        <v>56</v>
      </c>
      <c r="AD3207" t="s">
        <v>38</v>
      </c>
      <c r="AE3207" t="s">
        <v>49</v>
      </c>
      <c r="AF3207" t="s">
        <v>78</v>
      </c>
      <c r="AG3207">
        <v>5</v>
      </c>
      <c r="AH3207">
        <v>0</v>
      </c>
      <c r="AI3207" t="s">
        <v>51</v>
      </c>
      <c r="AJ3207" t="s">
        <v>51</v>
      </c>
      <c r="AK3207" t="s">
        <v>51</v>
      </c>
    </row>
    <row r="3208" spans="1:37" x14ac:dyDescent="0.2">
      <c r="A3208">
        <v>56792</v>
      </c>
      <c r="B3208" t="s">
        <v>37</v>
      </c>
      <c r="C3208" t="s">
        <v>38</v>
      </c>
      <c r="D3208" t="s">
        <v>509</v>
      </c>
      <c r="E3208" t="s">
        <v>40</v>
      </c>
      <c r="G3208" s="4">
        <v>43945.058101851852</v>
      </c>
      <c r="H3208" s="4">
        <v>43945.058391203704</v>
      </c>
      <c r="I3208" t="s">
        <v>180</v>
      </c>
      <c r="J3208" s="5">
        <v>25.00000000000000000000000000000000000001</v>
      </c>
      <c r="K3208" t="s">
        <v>38</v>
      </c>
      <c r="M3208">
        <v>56811</v>
      </c>
      <c r="N3208" t="s">
        <v>516</v>
      </c>
      <c r="O3208" t="s">
        <v>517</v>
      </c>
      <c r="P3208" t="s">
        <v>38</v>
      </c>
      <c r="Q3208" t="s">
        <v>85</v>
      </c>
      <c r="R3208">
        <v>3</v>
      </c>
      <c r="S3208" t="s">
        <v>45</v>
      </c>
      <c r="T3208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08">
        <v>56812</v>
      </c>
      <c r="V3208" t="s">
        <v>38</v>
      </c>
      <c r="W3208" t="s">
        <v>85</v>
      </c>
      <c r="X3208">
        <v>3</v>
      </c>
      <c r="Y3208">
        <v>2</v>
      </c>
      <c r="Z3208" t="s">
        <v>46</v>
      </c>
      <c r="AA3208">
        <v>56814</v>
      </c>
      <c r="AB3208" t="s">
        <v>518</v>
      </c>
      <c r="AC3208" t="s">
        <v>97</v>
      </c>
      <c r="AD3208" t="s">
        <v>38</v>
      </c>
      <c r="AE3208" t="s">
        <v>49</v>
      </c>
      <c r="AF3208" t="s">
        <v>50</v>
      </c>
      <c r="AG3208">
        <v>0</v>
      </c>
      <c r="AH3208">
        <v>0</v>
      </c>
      <c r="AI3208" t="s">
        <v>51</v>
      </c>
      <c r="AJ3208" t="s">
        <v>51</v>
      </c>
      <c r="AK3208" t="s">
        <v>51</v>
      </c>
    </row>
    <row r="3209" spans="1:37" x14ac:dyDescent="0.2">
      <c r="A3209">
        <v>56792</v>
      </c>
      <c r="B3209" t="s">
        <v>37</v>
      </c>
      <c r="C3209" t="s">
        <v>38</v>
      </c>
      <c r="D3209" t="s">
        <v>509</v>
      </c>
      <c r="E3209" t="s">
        <v>40</v>
      </c>
      <c r="G3209" s="4">
        <v>43945.058101851852</v>
      </c>
      <c r="H3209" s="4">
        <v>43945.058391203704</v>
      </c>
      <c r="I3209" t="s">
        <v>180</v>
      </c>
      <c r="J3209" s="5">
        <v>25.00000000000000000000000000000000000001</v>
      </c>
      <c r="K3209" t="s">
        <v>38</v>
      </c>
      <c r="M3209">
        <v>56811</v>
      </c>
      <c r="N3209" t="s">
        <v>516</v>
      </c>
      <c r="O3209" t="s">
        <v>517</v>
      </c>
      <c r="P3209" t="s">
        <v>38</v>
      </c>
      <c r="Q3209" t="s">
        <v>85</v>
      </c>
      <c r="R3209">
        <v>3</v>
      </c>
      <c r="S3209" t="s">
        <v>45</v>
      </c>
      <c r="T3209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09">
        <v>56812</v>
      </c>
      <c r="V3209" t="s">
        <v>38</v>
      </c>
      <c r="W3209" t="s">
        <v>85</v>
      </c>
      <c r="X3209">
        <v>3</v>
      </c>
      <c r="Y3209">
        <v>2</v>
      </c>
      <c r="Z3209" t="s">
        <v>46</v>
      </c>
      <c r="AA3209">
        <v>56813</v>
      </c>
      <c r="AB3209" t="s">
        <v>519</v>
      </c>
      <c r="AC3209" t="s">
        <v>56</v>
      </c>
      <c r="AD3209" t="s">
        <v>38</v>
      </c>
      <c r="AE3209" t="s">
        <v>49</v>
      </c>
      <c r="AF3209" t="s">
        <v>50</v>
      </c>
      <c r="AG3209">
        <v>0</v>
      </c>
      <c r="AH3209">
        <v>0</v>
      </c>
      <c r="AI3209" t="s">
        <v>51</v>
      </c>
      <c r="AJ3209" t="s">
        <v>51</v>
      </c>
      <c r="AK3209" t="s">
        <v>51</v>
      </c>
    </row>
    <row r="3210" spans="1:37" x14ac:dyDescent="0.2">
      <c r="A3210">
        <v>56792</v>
      </c>
      <c r="B3210" t="s">
        <v>37</v>
      </c>
      <c r="C3210" t="s">
        <v>38</v>
      </c>
      <c r="D3210" t="s">
        <v>509</v>
      </c>
      <c r="E3210" t="s">
        <v>40</v>
      </c>
      <c r="G3210" s="4">
        <v>43945.058101851852</v>
      </c>
      <c r="H3210" s="4">
        <v>43945.058391203704</v>
      </c>
      <c r="I3210" t="s">
        <v>180</v>
      </c>
      <c r="J3210" s="5">
        <v>25.00000000000000000000000000000000000001</v>
      </c>
      <c r="K3210" t="s">
        <v>38</v>
      </c>
      <c r="M3210">
        <v>56808</v>
      </c>
      <c r="N3210" t="s">
        <v>520</v>
      </c>
      <c r="O3210" t="s">
        <v>521</v>
      </c>
      <c r="P3210" t="s">
        <v>38</v>
      </c>
      <c r="Q3210" t="s">
        <v>44</v>
      </c>
      <c r="R3210">
        <v>4</v>
      </c>
      <c r="S3210" t="s">
        <v>45</v>
      </c>
      <c r="T3210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0">
        <v>56809</v>
      </c>
      <c r="V3210" t="s">
        <v>38</v>
      </c>
      <c r="W3210" t="s">
        <v>44</v>
      </c>
      <c r="X3210">
        <v>4</v>
      </c>
      <c r="Y3210">
        <v>0</v>
      </c>
      <c r="Z3210" t="s">
        <v>46</v>
      </c>
      <c r="AA3210">
        <v>56810</v>
      </c>
      <c r="AB3210" t="s">
        <v>522</v>
      </c>
      <c r="AC3210" t="s">
        <v>97</v>
      </c>
      <c r="AD3210" t="s">
        <v>38</v>
      </c>
      <c r="AE3210" t="s">
        <v>523</v>
      </c>
      <c r="AF3210" t="s">
        <v>44</v>
      </c>
      <c r="AG3210">
        <v>4</v>
      </c>
      <c r="AH3210">
        <v>0</v>
      </c>
      <c r="AI3210" t="s">
        <v>524</v>
      </c>
      <c r="AJ3210" t="s">
        <v>51</v>
      </c>
      <c r="AK3210" t="s">
        <v>524</v>
      </c>
    </row>
    <row r="3211" spans="1:37" x14ac:dyDescent="0.2">
      <c r="A3211">
        <v>56792</v>
      </c>
      <c r="B3211" t="s">
        <v>37</v>
      </c>
      <c r="C3211" t="s">
        <v>38</v>
      </c>
      <c r="D3211" t="s">
        <v>509</v>
      </c>
      <c r="E3211" t="s">
        <v>40</v>
      </c>
      <c r="G3211" s="4">
        <v>43945.058101851852</v>
      </c>
      <c r="H3211" s="4">
        <v>43945.058391203704</v>
      </c>
      <c r="I3211" t="s">
        <v>180</v>
      </c>
      <c r="J3211" s="5">
        <v>25.00000000000000000000000000000000000001</v>
      </c>
      <c r="K3211" t="s">
        <v>38</v>
      </c>
      <c r="M3211">
        <v>56805</v>
      </c>
      <c r="N3211" t="s">
        <v>525</v>
      </c>
      <c r="O3211" t="s">
        <v>526</v>
      </c>
      <c r="P3211" t="s">
        <v>38</v>
      </c>
      <c r="Q3211" t="s">
        <v>50</v>
      </c>
      <c r="R3211">
        <v>.9999999999999999999999999999999999999996</v>
      </c>
      <c r="S3211" t="s">
        <v>45</v>
      </c>
      <c r="T3211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1">
        <v>56806</v>
      </c>
      <c r="V3211" t="s">
        <v>38</v>
      </c>
      <c r="W3211" t="s">
        <v>50</v>
      </c>
      <c r="X3211">
        <v>.9999999999999999999999999999999999999996</v>
      </c>
      <c r="Y3211">
        <v>0</v>
      </c>
      <c r="Z3211" t="s">
        <v>46</v>
      </c>
      <c r="AA3211">
        <v>56807</v>
      </c>
      <c r="AB3211" t="s">
        <v>527</v>
      </c>
      <c r="AC3211" t="s">
        <v>97</v>
      </c>
      <c r="AD3211" t="s">
        <v>38</v>
      </c>
      <c r="AE3211" t="s">
        <v>49</v>
      </c>
      <c r="AF3211" t="s">
        <v>50</v>
      </c>
      <c r="AG3211">
        <v>0</v>
      </c>
      <c r="AH3211">
        <v>0</v>
      </c>
      <c r="AI3211" t="s">
        <v>51</v>
      </c>
      <c r="AJ3211" t="s">
        <v>51</v>
      </c>
      <c r="AK3211" t="s">
        <v>51</v>
      </c>
    </row>
    <row r="3212" spans="1:37" x14ac:dyDescent="0.2">
      <c r="A3212">
        <v>56792</v>
      </c>
      <c r="B3212" t="s">
        <v>37</v>
      </c>
      <c r="C3212" t="s">
        <v>38</v>
      </c>
      <c r="D3212" t="s">
        <v>509</v>
      </c>
      <c r="E3212" t="s">
        <v>40</v>
      </c>
      <c r="G3212" s="4">
        <v>43945.058101851852</v>
      </c>
      <c r="H3212" s="4">
        <v>43945.058391203704</v>
      </c>
      <c r="I3212" t="s">
        <v>180</v>
      </c>
      <c r="J3212" s="5">
        <v>25.00000000000000000000000000000000000001</v>
      </c>
      <c r="K3212" t="s">
        <v>38</v>
      </c>
      <c r="M3212">
        <v>56798</v>
      </c>
      <c r="N3212" t="s">
        <v>528</v>
      </c>
      <c r="O3212" t="s">
        <v>529</v>
      </c>
      <c r="P3212" t="s">
        <v>38</v>
      </c>
      <c r="Q3212" t="s">
        <v>78</v>
      </c>
      <c r="R3212">
        <v>5</v>
      </c>
      <c r="S3212" t="s">
        <v>45</v>
      </c>
      <c r="T3212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2">
        <v>56799</v>
      </c>
      <c r="V3212" t="s">
        <v>38</v>
      </c>
      <c r="W3212" t="s">
        <v>78</v>
      </c>
      <c r="X3212">
        <v>5</v>
      </c>
      <c r="Y3212">
        <v>1</v>
      </c>
      <c r="Z3212" t="s">
        <v>46</v>
      </c>
      <c r="AA3212">
        <v>56804</v>
      </c>
      <c r="AB3212" t="s">
        <v>530</v>
      </c>
      <c r="AC3212" t="s">
        <v>56</v>
      </c>
      <c r="AD3212" t="s">
        <v>38</v>
      </c>
      <c r="AE3212" t="s">
        <v>49</v>
      </c>
      <c r="AF3212" t="s">
        <v>50</v>
      </c>
      <c r="AG3212">
        <v>0</v>
      </c>
      <c r="AH3212">
        <v>0</v>
      </c>
      <c r="AI3212" t="s">
        <v>51</v>
      </c>
      <c r="AJ3212" t="s">
        <v>51</v>
      </c>
      <c r="AK3212" t="s">
        <v>51</v>
      </c>
    </row>
    <row r="3213" spans="1:37" x14ac:dyDescent="0.2">
      <c r="A3213">
        <v>56792</v>
      </c>
      <c r="B3213" t="s">
        <v>37</v>
      </c>
      <c r="C3213" t="s">
        <v>38</v>
      </c>
      <c r="D3213" t="s">
        <v>509</v>
      </c>
      <c r="E3213" t="s">
        <v>40</v>
      </c>
      <c r="G3213" s="4">
        <v>43945.058101851852</v>
      </c>
      <c r="H3213" s="4">
        <v>43945.058391203704</v>
      </c>
      <c r="I3213" t="s">
        <v>180</v>
      </c>
      <c r="J3213" s="5">
        <v>25.00000000000000000000000000000000000001</v>
      </c>
      <c r="K3213" t="s">
        <v>38</v>
      </c>
      <c r="M3213">
        <v>56798</v>
      </c>
      <c r="N3213" t="s">
        <v>528</v>
      </c>
      <c r="O3213" t="s">
        <v>529</v>
      </c>
      <c r="P3213" t="s">
        <v>38</v>
      </c>
      <c r="Q3213" t="s">
        <v>78</v>
      </c>
      <c r="R3213">
        <v>5</v>
      </c>
      <c r="S3213" t="s">
        <v>45</v>
      </c>
      <c r="T3213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3">
        <v>56799</v>
      </c>
      <c r="V3213" t="s">
        <v>38</v>
      </c>
      <c r="W3213" t="s">
        <v>78</v>
      </c>
      <c r="X3213">
        <v>5</v>
      </c>
      <c r="Y3213">
        <v>1</v>
      </c>
      <c r="Z3213" t="s">
        <v>46</v>
      </c>
      <c r="AA3213">
        <v>56803</v>
      </c>
      <c r="AB3213" t="s">
        <v>2423</v>
      </c>
      <c r="AC3213" t="s">
        <v>68</v>
      </c>
      <c r="AD3213" t="s">
        <v>38</v>
      </c>
      <c r="AE3213" t="s">
        <v>49</v>
      </c>
      <c r="AF3213" t="s">
        <v>50</v>
      </c>
      <c r="AG3213">
        <v>0</v>
      </c>
      <c r="AH3213">
        <v>0</v>
      </c>
      <c r="AI3213" t="s">
        <v>51</v>
      </c>
      <c r="AJ3213" t="s">
        <v>51</v>
      </c>
      <c r="AK3213" t="s">
        <v>51</v>
      </c>
    </row>
    <row r="3214" spans="1:37" x14ac:dyDescent="0.2">
      <c r="A3214">
        <v>56792</v>
      </c>
      <c r="B3214" t="s">
        <v>37</v>
      </c>
      <c r="C3214" t="s">
        <v>38</v>
      </c>
      <c r="D3214" t="s">
        <v>509</v>
      </c>
      <c r="E3214" t="s">
        <v>40</v>
      </c>
      <c r="G3214" s="4">
        <v>43945.058101851852</v>
      </c>
      <c r="H3214" s="4">
        <v>43945.058391203704</v>
      </c>
      <c r="I3214" t="s">
        <v>180</v>
      </c>
      <c r="J3214" s="5">
        <v>25.00000000000000000000000000000000000001</v>
      </c>
      <c r="K3214" t="s">
        <v>38</v>
      </c>
      <c r="M3214">
        <v>56798</v>
      </c>
      <c r="N3214" t="s">
        <v>528</v>
      </c>
      <c r="O3214" t="s">
        <v>529</v>
      </c>
      <c r="P3214" t="s">
        <v>38</v>
      </c>
      <c r="Q3214" t="s">
        <v>78</v>
      </c>
      <c r="R3214">
        <v>5</v>
      </c>
      <c r="S3214" t="s">
        <v>45</v>
      </c>
      <c r="T3214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4">
        <v>56799</v>
      </c>
      <c r="V3214" t="s">
        <v>38</v>
      </c>
      <c r="W3214" t="s">
        <v>78</v>
      </c>
      <c r="X3214">
        <v>5</v>
      </c>
      <c r="Y3214">
        <v>1</v>
      </c>
      <c r="Z3214" t="s">
        <v>46</v>
      </c>
      <c r="AA3214">
        <v>56802</v>
      </c>
      <c r="AB3214" t="s">
        <v>532</v>
      </c>
      <c r="AC3214" t="s">
        <v>56</v>
      </c>
      <c r="AD3214" t="s">
        <v>38</v>
      </c>
      <c r="AE3214" t="s">
        <v>533</v>
      </c>
      <c r="AF3214" t="s">
        <v>44</v>
      </c>
      <c r="AG3214">
        <v>4</v>
      </c>
      <c r="AH3214">
        <v>0</v>
      </c>
      <c r="AI3214" t="s">
        <v>534</v>
      </c>
      <c r="AJ3214" t="s">
        <v>51</v>
      </c>
      <c r="AK3214" t="s">
        <v>534</v>
      </c>
    </row>
    <row r="3215" spans="1:37" x14ac:dyDescent="0.2">
      <c r="A3215">
        <v>56792</v>
      </c>
      <c r="B3215" t="s">
        <v>37</v>
      </c>
      <c r="C3215" t="s">
        <v>38</v>
      </c>
      <c r="D3215" t="s">
        <v>509</v>
      </c>
      <c r="E3215" t="s">
        <v>40</v>
      </c>
      <c r="G3215" s="4">
        <v>43945.058101851852</v>
      </c>
      <c r="H3215" s="4">
        <v>43945.058391203704</v>
      </c>
      <c r="I3215" t="s">
        <v>180</v>
      </c>
      <c r="J3215" s="5">
        <v>25.00000000000000000000000000000000000001</v>
      </c>
      <c r="K3215" t="s">
        <v>38</v>
      </c>
      <c r="M3215">
        <v>56798</v>
      </c>
      <c r="N3215" t="s">
        <v>528</v>
      </c>
      <c r="O3215" t="s">
        <v>529</v>
      </c>
      <c r="P3215" t="s">
        <v>38</v>
      </c>
      <c r="Q3215" t="s">
        <v>78</v>
      </c>
      <c r="R3215">
        <v>5</v>
      </c>
      <c r="S3215" t="s">
        <v>45</v>
      </c>
      <c r="T3215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5">
        <v>56799</v>
      </c>
      <c r="V3215" t="s">
        <v>38</v>
      </c>
      <c r="W3215" t="s">
        <v>78</v>
      </c>
      <c r="X3215">
        <v>5</v>
      </c>
      <c r="Y3215">
        <v>1</v>
      </c>
      <c r="Z3215" t="s">
        <v>46</v>
      </c>
      <c r="AA3215">
        <v>56801</v>
      </c>
      <c r="AB3215" t="s">
        <v>535</v>
      </c>
      <c r="AC3215" t="s">
        <v>97</v>
      </c>
      <c r="AD3215" t="s">
        <v>38</v>
      </c>
      <c r="AE3215" t="s">
        <v>49</v>
      </c>
      <c r="AF3215" t="s">
        <v>50</v>
      </c>
      <c r="AG3215">
        <v>0</v>
      </c>
      <c r="AH3215">
        <v>0</v>
      </c>
      <c r="AI3215" t="s">
        <v>51</v>
      </c>
      <c r="AJ3215" t="s">
        <v>51</v>
      </c>
      <c r="AK3215" t="s">
        <v>51</v>
      </c>
    </row>
    <row r="3216" spans="1:37" x14ac:dyDescent="0.2">
      <c r="A3216">
        <v>56792</v>
      </c>
      <c r="B3216" t="s">
        <v>37</v>
      </c>
      <c r="C3216" t="s">
        <v>38</v>
      </c>
      <c r="D3216" t="s">
        <v>509</v>
      </c>
      <c r="E3216" t="s">
        <v>40</v>
      </c>
      <c r="G3216" s="4">
        <v>43945.058101851852</v>
      </c>
      <c r="H3216" s="4">
        <v>43945.058391203704</v>
      </c>
      <c r="I3216" t="s">
        <v>180</v>
      </c>
      <c r="J3216" s="5">
        <v>25.00000000000000000000000000000000000001</v>
      </c>
      <c r="K3216" t="s">
        <v>38</v>
      </c>
      <c r="M3216">
        <v>56798</v>
      </c>
      <c r="N3216" t="s">
        <v>528</v>
      </c>
      <c r="O3216" t="s">
        <v>529</v>
      </c>
      <c r="P3216" t="s">
        <v>38</v>
      </c>
      <c r="Q3216" t="s">
        <v>78</v>
      </c>
      <c r="R3216">
        <v>5</v>
      </c>
      <c r="S3216" t="s">
        <v>45</v>
      </c>
      <c r="T3216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6">
        <v>56799</v>
      </c>
      <c r="V3216" t="s">
        <v>38</v>
      </c>
      <c r="W3216" t="s">
        <v>78</v>
      </c>
      <c r="X3216">
        <v>5</v>
      </c>
      <c r="Y3216">
        <v>1</v>
      </c>
      <c r="Z3216" t="s">
        <v>46</v>
      </c>
      <c r="AA3216">
        <v>56800</v>
      </c>
      <c r="AB3216" t="s">
        <v>536</v>
      </c>
      <c r="AC3216" t="s">
        <v>56</v>
      </c>
      <c r="AD3216" t="s">
        <v>38</v>
      </c>
      <c r="AE3216" t="s">
        <v>49</v>
      </c>
      <c r="AF3216" t="s">
        <v>50</v>
      </c>
      <c r="AG3216">
        <v>0</v>
      </c>
      <c r="AH3216">
        <v>0</v>
      </c>
      <c r="AI3216" t="s">
        <v>51</v>
      </c>
      <c r="AJ3216" t="s">
        <v>51</v>
      </c>
      <c r="AK3216" t="s">
        <v>51</v>
      </c>
    </row>
    <row r="3217" spans="1:37" x14ac:dyDescent="0.2">
      <c r="A3217">
        <v>56792</v>
      </c>
      <c r="B3217" t="s">
        <v>37</v>
      </c>
      <c r="C3217" t="s">
        <v>38</v>
      </c>
      <c r="D3217" t="s">
        <v>509</v>
      </c>
      <c r="E3217" t="s">
        <v>40</v>
      </c>
      <c r="G3217" s="4">
        <v>43945.058101851852</v>
      </c>
      <c r="H3217" s="4">
        <v>43945.058391203704</v>
      </c>
      <c r="I3217" t="s">
        <v>180</v>
      </c>
      <c r="J3217" s="5">
        <v>25.00000000000000000000000000000000000001</v>
      </c>
      <c r="K3217" t="s">
        <v>38</v>
      </c>
      <c r="M3217">
        <v>56793</v>
      </c>
      <c r="N3217" t="s">
        <v>537</v>
      </c>
      <c r="O3217" t="s">
        <v>538</v>
      </c>
      <c r="P3217" t="s">
        <v>38</v>
      </c>
      <c r="Q3217" t="s">
        <v>78</v>
      </c>
      <c r="R3217">
        <v>5</v>
      </c>
      <c r="S3217" t="s">
        <v>45</v>
      </c>
      <c r="T3217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7">
        <v>56794</v>
      </c>
      <c r="V3217" t="s">
        <v>38</v>
      </c>
      <c r="W3217" t="s">
        <v>78</v>
      </c>
      <c r="X3217">
        <v>5</v>
      </c>
      <c r="Y3217">
        <v>3</v>
      </c>
      <c r="Z3217" t="s">
        <v>46</v>
      </c>
      <c r="AA3217">
        <v>56797</v>
      </c>
      <c r="AB3217" t="s">
        <v>539</v>
      </c>
      <c r="AC3217" t="s">
        <v>56</v>
      </c>
      <c r="AD3217" t="s">
        <v>38</v>
      </c>
      <c r="AE3217" t="s">
        <v>540</v>
      </c>
      <c r="AF3217" t="s">
        <v>88</v>
      </c>
      <c r="AG3217">
        <v>2</v>
      </c>
      <c r="AH3217">
        <v>0</v>
      </c>
      <c r="AI3217" t="s">
        <v>541</v>
      </c>
      <c r="AJ3217" t="s">
        <v>51</v>
      </c>
      <c r="AK3217" t="s">
        <v>541</v>
      </c>
    </row>
    <row r="3218" spans="1:37" x14ac:dyDescent="0.2">
      <c r="A3218">
        <v>56792</v>
      </c>
      <c r="B3218" t="s">
        <v>37</v>
      </c>
      <c r="C3218" t="s">
        <v>38</v>
      </c>
      <c r="D3218" t="s">
        <v>509</v>
      </c>
      <c r="E3218" t="s">
        <v>40</v>
      </c>
      <c r="G3218" s="4">
        <v>43945.058101851852</v>
      </c>
      <c r="H3218" s="4">
        <v>43945.058391203704</v>
      </c>
      <c r="I3218" t="s">
        <v>180</v>
      </c>
      <c r="J3218" s="5">
        <v>25.00000000000000000000000000000000000001</v>
      </c>
      <c r="K3218" t="s">
        <v>38</v>
      </c>
      <c r="M3218">
        <v>56793</v>
      </c>
      <c r="N3218" t="s">
        <v>537</v>
      </c>
      <c r="O3218" t="s">
        <v>538</v>
      </c>
      <c r="P3218" t="s">
        <v>38</v>
      </c>
      <c r="Q3218" t="s">
        <v>78</v>
      </c>
      <c r="R3218">
        <v>5</v>
      </c>
      <c r="S3218" t="s">
        <v>45</v>
      </c>
      <c r="T3218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8">
        <v>56794</v>
      </c>
      <c r="V3218" t="s">
        <v>38</v>
      </c>
      <c r="W3218" t="s">
        <v>78</v>
      </c>
      <c r="X3218">
        <v>5</v>
      </c>
      <c r="Y3218">
        <v>3</v>
      </c>
      <c r="Z3218" t="s">
        <v>46</v>
      </c>
      <c r="AA3218">
        <v>56796</v>
      </c>
      <c r="AB3218" t="s">
        <v>542</v>
      </c>
      <c r="AC3218" t="s">
        <v>97</v>
      </c>
      <c r="AD3218" t="s">
        <v>38</v>
      </c>
      <c r="AE3218" t="s">
        <v>49</v>
      </c>
      <c r="AF3218" t="s">
        <v>50</v>
      </c>
      <c r="AG3218">
        <v>0</v>
      </c>
      <c r="AH3218">
        <v>0</v>
      </c>
      <c r="AI3218" t="s">
        <v>51</v>
      </c>
      <c r="AJ3218" t="s">
        <v>51</v>
      </c>
      <c r="AK3218" t="s">
        <v>51</v>
      </c>
    </row>
    <row r="3219" spans="1:37" x14ac:dyDescent="0.2">
      <c r="A3219">
        <v>56792</v>
      </c>
      <c r="B3219" t="s">
        <v>37</v>
      </c>
      <c r="C3219" t="s">
        <v>38</v>
      </c>
      <c r="D3219" t="s">
        <v>509</v>
      </c>
      <c r="E3219" t="s">
        <v>40</v>
      </c>
      <c r="G3219" s="4">
        <v>43945.058101851852</v>
      </c>
      <c r="H3219" s="4">
        <v>43945.058391203704</v>
      </c>
      <c r="I3219" t="s">
        <v>180</v>
      </c>
      <c r="J3219" s="5">
        <v>25.00000000000000000000000000000000000001</v>
      </c>
      <c r="K3219" t="s">
        <v>38</v>
      </c>
      <c r="M3219">
        <v>56793</v>
      </c>
      <c r="N3219" t="s">
        <v>537</v>
      </c>
      <c r="O3219" t="s">
        <v>538</v>
      </c>
      <c r="P3219" t="s">
        <v>38</v>
      </c>
      <c r="Q3219" t="s">
        <v>78</v>
      </c>
      <c r="R3219">
        <v>5</v>
      </c>
      <c r="S3219" t="s">
        <v>45</v>
      </c>
      <c r="T3219" t="str" s="2">
        <f>=HYPERLINK("http://demo.enginatics.com:80/ecc/user/applications/log/56792.log","http://demo.enginatics.com:80/ecc/user/applications/log/56792.log")</f>
        <v>"http://demo.enginatics.com:80/ecc/user/applications/log/56792.log")</v>
      </c>
      <c r="U3219">
        <v>56794</v>
      </c>
      <c r="V3219" t="s">
        <v>38</v>
      </c>
      <c r="W3219" t="s">
        <v>78</v>
      </c>
      <c r="X3219">
        <v>5</v>
      </c>
      <c r="Y3219">
        <v>3</v>
      </c>
      <c r="Z3219" t="s">
        <v>46</v>
      </c>
      <c r="AA3219">
        <v>56795</v>
      </c>
      <c r="AB3219" t="s">
        <v>543</v>
      </c>
      <c r="AC3219" t="s">
        <v>56</v>
      </c>
      <c r="AD3219" t="s">
        <v>38</v>
      </c>
      <c r="AE3219" t="s">
        <v>49</v>
      </c>
      <c r="AF3219" t="s">
        <v>50</v>
      </c>
      <c r="AG3219">
        <v>0</v>
      </c>
      <c r="AH3219">
        <v>0</v>
      </c>
      <c r="AI3219" t="s">
        <v>51</v>
      </c>
      <c r="AJ3219" t="s">
        <v>51</v>
      </c>
      <c r="AK3219" t="s">
        <v>51</v>
      </c>
    </row>
    <row r="3220" spans="1:37" x14ac:dyDescent="0.2">
      <c r="A3220">
        <v>56783</v>
      </c>
      <c r="B3220" t="s">
        <v>37</v>
      </c>
      <c r="C3220" t="s">
        <v>38</v>
      </c>
      <c r="D3220" t="s">
        <v>544</v>
      </c>
      <c r="E3220" t="s">
        <v>40</v>
      </c>
      <c r="G3220" s="4">
        <v>43945.057546296296</v>
      </c>
      <c r="H3220" s="4">
        <v>43945.05755787037</v>
      </c>
      <c r="I3220" t="s">
        <v>50</v>
      </c>
      <c r="J3220" s="5">
        <v>.9999999999999999999999999999999999999996</v>
      </c>
      <c r="K3220" t="s">
        <v>38</v>
      </c>
      <c r="M3220">
        <v>56788</v>
      </c>
      <c r="N3220" t="s">
        <v>545</v>
      </c>
      <c r="O3220" t="s">
        <v>546</v>
      </c>
      <c r="P3220" t="s">
        <v>38</v>
      </c>
      <c r="Q3220" t="s">
        <v>50</v>
      </c>
      <c r="R3220">
        <v>0</v>
      </c>
      <c r="S3220" t="s">
        <v>45</v>
      </c>
      <c r="T3220" t="str" s="2">
        <f>=HYPERLINK("http://demo.enginatics.com:80/ecc/user/applications/log/56783.log","http://demo.enginatics.com:80/ecc/user/applications/log/56783.log")</f>
        <v>"http://demo.enginatics.com:80/ecc/user/applications/log/56783.log")</v>
      </c>
      <c r="U3220">
        <v>56789</v>
      </c>
      <c r="V3220" t="s">
        <v>38</v>
      </c>
      <c r="W3220" t="s">
        <v>50</v>
      </c>
      <c r="X3220">
        <v>0</v>
      </c>
      <c r="Y3220">
        <v>0</v>
      </c>
      <c r="Z3220" t="s">
        <v>46</v>
      </c>
      <c r="AA3220">
        <v>56791</v>
      </c>
      <c r="AB3220" t="s">
        <v>547</v>
      </c>
      <c r="AC3220" t="s">
        <v>56</v>
      </c>
      <c r="AD3220" t="s">
        <v>38</v>
      </c>
      <c r="AE3220" t="s">
        <v>49</v>
      </c>
      <c r="AF3220" t="s">
        <v>50</v>
      </c>
      <c r="AG3220">
        <v>0</v>
      </c>
      <c r="AH3220">
        <v>0</v>
      </c>
      <c r="AI3220" t="s">
        <v>51</v>
      </c>
      <c r="AJ3220" t="s">
        <v>51</v>
      </c>
      <c r="AK3220" t="s">
        <v>51</v>
      </c>
    </row>
    <row r="3221" spans="1:37" x14ac:dyDescent="0.2">
      <c r="A3221">
        <v>56783</v>
      </c>
      <c r="B3221" t="s">
        <v>37</v>
      </c>
      <c r="C3221" t="s">
        <v>38</v>
      </c>
      <c r="D3221" t="s">
        <v>544</v>
      </c>
      <c r="E3221" t="s">
        <v>40</v>
      </c>
      <c r="G3221" s="4">
        <v>43945.057546296296</v>
      </c>
      <c r="H3221" s="4">
        <v>43945.05755787037</v>
      </c>
      <c r="I3221" t="s">
        <v>50</v>
      </c>
      <c r="J3221" s="5">
        <v>.9999999999999999999999999999999999999996</v>
      </c>
      <c r="K3221" t="s">
        <v>38</v>
      </c>
      <c r="M3221">
        <v>56788</v>
      </c>
      <c r="N3221" t="s">
        <v>545</v>
      </c>
      <c r="O3221" t="s">
        <v>546</v>
      </c>
      <c r="P3221" t="s">
        <v>38</v>
      </c>
      <c r="Q3221" t="s">
        <v>50</v>
      </c>
      <c r="R3221">
        <v>0</v>
      </c>
      <c r="S3221" t="s">
        <v>45</v>
      </c>
      <c r="T3221" t="str" s="2">
        <f>=HYPERLINK("http://demo.enginatics.com:80/ecc/user/applications/log/56783.log","http://demo.enginatics.com:80/ecc/user/applications/log/56783.log")</f>
        <v>"http://demo.enginatics.com:80/ecc/user/applications/log/56783.log")</v>
      </c>
      <c r="U3221">
        <v>56789</v>
      </c>
      <c r="V3221" t="s">
        <v>38</v>
      </c>
      <c r="W3221" t="s">
        <v>50</v>
      </c>
      <c r="X3221">
        <v>0</v>
      </c>
      <c r="Y3221">
        <v>0</v>
      </c>
      <c r="Z3221" t="s">
        <v>46</v>
      </c>
      <c r="AA3221">
        <v>56790</v>
      </c>
      <c r="AB3221" t="s">
        <v>548</v>
      </c>
      <c r="AC3221" t="s">
        <v>68</v>
      </c>
      <c r="AD3221" t="s">
        <v>38</v>
      </c>
      <c r="AE3221" t="s">
        <v>49</v>
      </c>
      <c r="AF3221" t="s">
        <v>50</v>
      </c>
      <c r="AG3221">
        <v>0</v>
      </c>
      <c r="AH3221">
        <v>0</v>
      </c>
      <c r="AI3221" t="s">
        <v>51</v>
      </c>
      <c r="AJ3221" t="s">
        <v>51</v>
      </c>
      <c r="AK3221" t="s">
        <v>51</v>
      </c>
    </row>
    <row r="3222" spans="1:37" x14ac:dyDescent="0.2">
      <c r="A3222">
        <v>56783</v>
      </c>
      <c r="B3222" t="s">
        <v>37</v>
      </c>
      <c r="C3222" t="s">
        <v>38</v>
      </c>
      <c r="D3222" t="s">
        <v>544</v>
      </c>
      <c r="E3222" t="s">
        <v>40</v>
      </c>
      <c r="G3222" s="4">
        <v>43945.057546296296</v>
      </c>
      <c r="H3222" s="4">
        <v>43945.05755787037</v>
      </c>
      <c r="I3222" t="s">
        <v>50</v>
      </c>
      <c r="J3222" s="5">
        <v>.9999999999999999999999999999999999999996</v>
      </c>
      <c r="K3222" t="s">
        <v>38</v>
      </c>
      <c r="M3222">
        <v>56784</v>
      </c>
      <c r="N3222" t="s">
        <v>549</v>
      </c>
      <c r="O3222" t="s">
        <v>550</v>
      </c>
      <c r="P3222" t="s">
        <v>38</v>
      </c>
      <c r="Q3222" t="s">
        <v>50</v>
      </c>
      <c r="R3222">
        <v>.9999999999999999999999999999999999999996</v>
      </c>
      <c r="S3222" t="s">
        <v>45</v>
      </c>
      <c r="T3222" t="str" s="2">
        <f>=HYPERLINK("http://demo.enginatics.com:80/ecc/user/applications/log/56783.log","http://demo.enginatics.com:80/ecc/user/applications/log/56783.log")</f>
        <v>"http://demo.enginatics.com:80/ecc/user/applications/log/56783.log")</v>
      </c>
      <c r="U3222">
        <v>56785</v>
      </c>
      <c r="V3222" t="s">
        <v>38</v>
      </c>
      <c r="W3222" t="s">
        <v>50</v>
      </c>
      <c r="X3222">
        <v>.9999999999999999999999999999999999999996</v>
      </c>
      <c r="Y3222">
        <v>0</v>
      </c>
      <c r="Z3222" t="s">
        <v>46</v>
      </c>
      <c r="AA3222">
        <v>56787</v>
      </c>
      <c r="AB3222" t="s">
        <v>551</v>
      </c>
      <c r="AC3222" t="s">
        <v>56</v>
      </c>
      <c r="AD3222" t="s">
        <v>38</v>
      </c>
      <c r="AE3222" t="s">
        <v>49</v>
      </c>
      <c r="AF3222" t="s">
        <v>50</v>
      </c>
      <c r="AG3222">
        <v>0</v>
      </c>
      <c r="AH3222">
        <v>0</v>
      </c>
      <c r="AI3222" t="s">
        <v>51</v>
      </c>
      <c r="AJ3222" t="s">
        <v>51</v>
      </c>
      <c r="AK3222" t="s">
        <v>51</v>
      </c>
    </row>
    <row r="3223" spans="1:37" x14ac:dyDescent="0.2">
      <c r="A3223">
        <v>56783</v>
      </c>
      <c r="B3223" t="s">
        <v>37</v>
      </c>
      <c r="C3223" t="s">
        <v>38</v>
      </c>
      <c r="D3223" t="s">
        <v>544</v>
      </c>
      <c r="E3223" t="s">
        <v>40</v>
      </c>
      <c r="G3223" s="4">
        <v>43945.057546296296</v>
      </c>
      <c r="H3223" s="4">
        <v>43945.05755787037</v>
      </c>
      <c r="I3223" t="s">
        <v>50</v>
      </c>
      <c r="J3223" s="5">
        <v>.9999999999999999999999999999999999999996</v>
      </c>
      <c r="K3223" t="s">
        <v>38</v>
      </c>
      <c r="M3223">
        <v>56784</v>
      </c>
      <c r="N3223" t="s">
        <v>549</v>
      </c>
      <c r="O3223" t="s">
        <v>550</v>
      </c>
      <c r="P3223" t="s">
        <v>38</v>
      </c>
      <c r="Q3223" t="s">
        <v>50</v>
      </c>
      <c r="R3223">
        <v>.9999999999999999999999999999999999999996</v>
      </c>
      <c r="S3223" t="s">
        <v>45</v>
      </c>
      <c r="T3223" t="str" s="2">
        <f>=HYPERLINK("http://demo.enginatics.com:80/ecc/user/applications/log/56783.log","http://demo.enginatics.com:80/ecc/user/applications/log/56783.log")</f>
        <v>"http://demo.enginatics.com:80/ecc/user/applications/log/56783.log")</v>
      </c>
      <c r="U3223">
        <v>56785</v>
      </c>
      <c r="V3223" t="s">
        <v>38</v>
      </c>
      <c r="W3223" t="s">
        <v>50</v>
      </c>
      <c r="X3223">
        <v>.9999999999999999999999999999999999999996</v>
      </c>
      <c r="Y3223">
        <v>0</v>
      </c>
      <c r="Z3223" t="s">
        <v>46</v>
      </c>
      <c r="AA3223">
        <v>56786</v>
      </c>
      <c r="AB3223" t="s">
        <v>552</v>
      </c>
      <c r="AC3223" t="s">
        <v>68</v>
      </c>
      <c r="AD3223" t="s">
        <v>38</v>
      </c>
      <c r="AE3223" t="s">
        <v>49</v>
      </c>
      <c r="AF3223" t="s">
        <v>50</v>
      </c>
      <c r="AG3223">
        <v>.9999999999999999999999999999999999999996</v>
      </c>
      <c r="AH3223">
        <v>0</v>
      </c>
      <c r="AI3223" t="s">
        <v>51</v>
      </c>
      <c r="AJ3223" t="s">
        <v>51</v>
      </c>
      <c r="AK3223" t="s">
        <v>51</v>
      </c>
    </row>
    <row r="3224" spans="1:37" x14ac:dyDescent="0.2">
      <c r="A3224">
        <v>56770</v>
      </c>
      <c r="B3224" t="s">
        <v>37</v>
      </c>
      <c r="C3224" t="s">
        <v>38</v>
      </c>
      <c r="D3224" t="s">
        <v>553</v>
      </c>
      <c r="E3224" t="s">
        <v>590</v>
      </c>
      <c r="G3224" s="4">
        <v>43945.042685185185</v>
      </c>
      <c r="H3224" s="4">
        <v>43945.042696759259</v>
      </c>
      <c r="I3224" t="s">
        <v>50</v>
      </c>
      <c r="J3224" s="5">
        <v>.9999999999999999999999999999999999999996</v>
      </c>
      <c r="K3224" t="s">
        <v>38</v>
      </c>
      <c r="M3224">
        <v>56780</v>
      </c>
      <c r="N3224" t="s">
        <v>590</v>
      </c>
      <c r="O3224" t="s">
        <v>591</v>
      </c>
      <c r="P3224" t="s">
        <v>38</v>
      </c>
      <c r="Q3224" t="s">
        <v>50</v>
      </c>
      <c r="R3224">
        <v>0</v>
      </c>
      <c r="S3224" t="s">
        <v>45</v>
      </c>
      <c r="T3224" t="str" s="2">
        <f>=HYPERLINK("http://demo.enginatics.com:80/ecc/user/applications/log/56770.log","http://demo.enginatics.com:80/ecc/user/applications/log/56770.log")</f>
        <v>"http://demo.enginatics.com:80/ecc/user/applications/log/56770.log")</v>
      </c>
      <c r="U3224">
        <v>56781</v>
      </c>
      <c r="V3224" t="s">
        <v>38</v>
      </c>
      <c r="W3224" t="s">
        <v>50</v>
      </c>
      <c r="X3224">
        <v>0</v>
      </c>
      <c r="Y3224">
        <v>0</v>
      </c>
      <c r="Z3224" t="s">
        <v>46</v>
      </c>
      <c r="AA3224">
        <v>56782</v>
      </c>
      <c r="AB3224" t="s">
        <v>592</v>
      </c>
      <c r="AC3224" t="s">
        <v>48</v>
      </c>
      <c r="AD3224" t="s">
        <v>38</v>
      </c>
      <c r="AE3224" t="s">
        <v>49</v>
      </c>
      <c r="AF3224" t="s">
        <v>50</v>
      </c>
      <c r="AG3224">
        <v>0</v>
      </c>
      <c r="AH3224">
        <v>0</v>
      </c>
      <c r="AI3224" t="s">
        <v>51</v>
      </c>
      <c r="AJ3224" t="s">
        <v>51</v>
      </c>
      <c r="AK3224" t="s">
        <v>51</v>
      </c>
    </row>
    <row r="3225" spans="1:37" x14ac:dyDescent="0.2">
      <c r="A3225">
        <v>56767</v>
      </c>
      <c r="B3225" t="s">
        <v>37</v>
      </c>
      <c r="C3225" t="s">
        <v>38</v>
      </c>
      <c r="D3225" t="s">
        <v>553</v>
      </c>
      <c r="E3225" t="s">
        <v>569</v>
      </c>
      <c r="G3225" s="4">
        <v>43945.042673611111</v>
      </c>
      <c r="H3225" s="4">
        <v>43945.042696759259</v>
      </c>
      <c r="I3225" t="s">
        <v>88</v>
      </c>
      <c r="J3225" s="5">
        <v>2</v>
      </c>
      <c r="K3225" t="s">
        <v>38</v>
      </c>
      <c r="M3225">
        <v>56777</v>
      </c>
      <c r="N3225" t="s">
        <v>569</v>
      </c>
      <c r="O3225" t="s">
        <v>570</v>
      </c>
      <c r="P3225" t="s">
        <v>38</v>
      </c>
      <c r="Q3225" t="s">
        <v>50</v>
      </c>
      <c r="R3225">
        <v>.9999999999999999999999999999999999999996</v>
      </c>
      <c r="S3225" t="s">
        <v>45</v>
      </c>
      <c r="T3225" t="str" s="2">
        <f>=HYPERLINK("http://demo.enginatics.com:80/ecc/user/applications/log/56767.log","http://demo.enginatics.com:80/ecc/user/applications/log/56767.log")</f>
        <v>"http://demo.enginatics.com:80/ecc/user/applications/log/56767.log")</v>
      </c>
      <c r="U3225">
        <v>56778</v>
      </c>
      <c r="V3225" t="s">
        <v>38</v>
      </c>
      <c r="W3225" t="s">
        <v>50</v>
      </c>
      <c r="X3225">
        <v>.9999999999999999999999999999999999999996</v>
      </c>
      <c r="Y3225">
        <v>0</v>
      </c>
      <c r="Z3225" t="s">
        <v>46</v>
      </c>
      <c r="AA3225">
        <v>56779</v>
      </c>
      <c r="AB3225" t="s">
        <v>571</v>
      </c>
      <c r="AC3225" t="s">
        <v>48</v>
      </c>
      <c r="AD3225" t="s">
        <v>38</v>
      </c>
      <c r="AE3225" t="s">
        <v>49</v>
      </c>
      <c r="AF3225" t="s">
        <v>50</v>
      </c>
      <c r="AG3225">
        <v>.9999999999999999999999999999999999999996</v>
      </c>
      <c r="AH3225">
        <v>0</v>
      </c>
      <c r="AI3225" t="s">
        <v>51</v>
      </c>
      <c r="AJ3225" t="s">
        <v>51</v>
      </c>
      <c r="AK3225" t="s">
        <v>51</v>
      </c>
    </row>
    <row r="3226" spans="1:37" x14ac:dyDescent="0.2">
      <c r="A3226">
        <v>56765</v>
      </c>
      <c r="B3226" t="s">
        <v>37</v>
      </c>
      <c r="C3226" t="s">
        <v>38</v>
      </c>
      <c r="D3226" t="s">
        <v>553</v>
      </c>
      <c r="E3226" t="s">
        <v>563</v>
      </c>
      <c r="G3226" s="4">
        <v>43945.042673611111</v>
      </c>
      <c r="H3226" s="4">
        <v>43945.042696759259</v>
      </c>
      <c r="I3226" t="s">
        <v>88</v>
      </c>
      <c r="J3226" s="5">
        <v>2</v>
      </c>
      <c r="K3226" t="s">
        <v>38</v>
      </c>
      <c r="M3226">
        <v>56774</v>
      </c>
      <c r="N3226" t="s">
        <v>563</v>
      </c>
      <c r="O3226" t="s">
        <v>564</v>
      </c>
      <c r="P3226" t="s">
        <v>38</v>
      </c>
      <c r="Q3226" t="s">
        <v>50</v>
      </c>
      <c r="R3226">
        <v>.9999999999999999999999999999999999999996</v>
      </c>
      <c r="S3226" t="s">
        <v>45</v>
      </c>
      <c r="T3226" t="str" s="2">
        <f>=HYPERLINK("http://demo.enginatics.com:80/ecc/user/applications/log/56765.log","http://demo.enginatics.com:80/ecc/user/applications/log/56765.log")</f>
        <v>"http://demo.enginatics.com:80/ecc/user/applications/log/56765.log")</v>
      </c>
      <c r="U3226">
        <v>56775</v>
      </c>
      <c r="V3226" t="s">
        <v>38</v>
      </c>
      <c r="W3226" t="s">
        <v>50</v>
      </c>
      <c r="X3226">
        <v>.9999999999999999999999999999999999999996</v>
      </c>
      <c r="Y3226">
        <v>0</v>
      </c>
      <c r="Z3226" t="s">
        <v>46</v>
      </c>
      <c r="AA3226">
        <v>56776</v>
      </c>
      <c r="AB3226" t="s">
        <v>565</v>
      </c>
      <c r="AC3226" t="s">
        <v>48</v>
      </c>
      <c r="AD3226" t="s">
        <v>38</v>
      </c>
      <c r="AE3226" t="s">
        <v>49</v>
      </c>
      <c r="AF3226" t="s">
        <v>50</v>
      </c>
      <c r="AG3226">
        <v>.9999999999999999999999999999999999999996</v>
      </c>
      <c r="AH3226">
        <v>0</v>
      </c>
      <c r="AI3226" t="s">
        <v>51</v>
      </c>
      <c r="AJ3226" t="s">
        <v>51</v>
      </c>
      <c r="AK3226" t="s">
        <v>51</v>
      </c>
    </row>
    <row r="3227" spans="1:37" x14ac:dyDescent="0.2">
      <c r="A3227">
        <v>56764</v>
      </c>
      <c r="B3227" t="s">
        <v>37</v>
      </c>
      <c r="C3227" t="s">
        <v>38</v>
      </c>
      <c r="D3227" t="s">
        <v>553</v>
      </c>
      <c r="E3227" t="s">
        <v>557</v>
      </c>
      <c r="G3227" s="4">
        <v>43945.042673611111</v>
      </c>
      <c r="H3227" s="4">
        <v>43945.042685185185</v>
      </c>
      <c r="I3227" t="s">
        <v>50</v>
      </c>
      <c r="J3227" s="5">
        <v>.9999999999999999999999999999999999999996</v>
      </c>
      <c r="K3227" t="s">
        <v>38</v>
      </c>
      <c r="M3227">
        <v>56771</v>
      </c>
      <c r="N3227" t="s">
        <v>557</v>
      </c>
      <c r="O3227" t="s">
        <v>558</v>
      </c>
      <c r="P3227" t="s">
        <v>38</v>
      </c>
      <c r="Q3227" t="s">
        <v>50</v>
      </c>
      <c r="R3227">
        <v>0</v>
      </c>
      <c r="S3227" t="s">
        <v>45</v>
      </c>
      <c r="T3227" t="str" s="2">
        <f>=HYPERLINK("http://demo.enginatics.com:80/ecc/user/applications/log/56764.log","http://demo.enginatics.com:80/ecc/user/applications/log/56764.log")</f>
        <v>"http://demo.enginatics.com:80/ecc/user/applications/log/56764.log")</v>
      </c>
      <c r="U3227">
        <v>56772</v>
      </c>
      <c r="V3227" t="s">
        <v>38</v>
      </c>
      <c r="W3227" t="s">
        <v>50</v>
      </c>
      <c r="X3227">
        <v>0</v>
      </c>
      <c r="Y3227">
        <v>0</v>
      </c>
      <c r="Z3227" t="s">
        <v>46</v>
      </c>
      <c r="AA3227">
        <v>56773</v>
      </c>
      <c r="AB3227" t="s">
        <v>559</v>
      </c>
      <c r="AC3227" t="s">
        <v>48</v>
      </c>
      <c r="AD3227" t="s">
        <v>38</v>
      </c>
      <c r="AE3227" t="s">
        <v>49</v>
      </c>
      <c r="AF3227" t="s">
        <v>50</v>
      </c>
      <c r="AG3227">
        <v>0</v>
      </c>
      <c r="AH3227">
        <v>0</v>
      </c>
      <c r="AI3227" t="s">
        <v>51</v>
      </c>
      <c r="AJ3227" t="s">
        <v>51</v>
      </c>
      <c r="AK3227" t="s">
        <v>51</v>
      </c>
    </row>
    <row r="3228" spans="1:37" x14ac:dyDescent="0.2">
      <c r="A3228">
        <v>56760</v>
      </c>
      <c r="B3228" t="s">
        <v>37</v>
      </c>
      <c r="C3228" t="s">
        <v>38</v>
      </c>
      <c r="D3228" t="s">
        <v>553</v>
      </c>
      <c r="E3228" t="s">
        <v>587</v>
      </c>
      <c r="G3228" s="4">
        <v>43945.042673611111</v>
      </c>
      <c r="H3228" s="4">
        <v>43945.042685185185</v>
      </c>
      <c r="I3228" t="s">
        <v>50</v>
      </c>
      <c r="J3228" s="5">
        <v>.9999999999999999999999999999999999999996</v>
      </c>
      <c r="K3228" t="s">
        <v>38</v>
      </c>
      <c r="M3228">
        <v>56766</v>
      </c>
      <c r="N3228" t="s">
        <v>587</v>
      </c>
      <c r="O3228" t="s">
        <v>588</v>
      </c>
      <c r="P3228" t="s">
        <v>38</v>
      </c>
      <c r="Q3228" t="s">
        <v>50</v>
      </c>
      <c r="R3228">
        <v>.9999999999999999999999999999999999999996</v>
      </c>
      <c r="S3228" t="s">
        <v>45</v>
      </c>
      <c r="T3228" t="str" s="2">
        <f>=HYPERLINK("http://demo.enginatics.com:80/ecc/user/applications/log/56760.log","http://demo.enginatics.com:80/ecc/user/applications/log/56760.log")</f>
        <v>"http://demo.enginatics.com:80/ecc/user/applications/log/56760.log")</v>
      </c>
      <c r="U3228">
        <v>56768</v>
      </c>
      <c r="V3228" t="s">
        <v>38</v>
      </c>
      <c r="W3228" t="s">
        <v>50</v>
      </c>
      <c r="X3228">
        <v>.9999999999999999999999999999999999999996</v>
      </c>
      <c r="Y3228">
        <v>0</v>
      </c>
      <c r="Z3228" t="s">
        <v>46</v>
      </c>
      <c r="AA3228">
        <v>56769</v>
      </c>
      <c r="AB3228" t="s">
        <v>589</v>
      </c>
      <c r="AC3228" t="s">
        <v>48</v>
      </c>
      <c r="AD3228" t="s">
        <v>38</v>
      </c>
      <c r="AE3228" t="s">
        <v>49</v>
      </c>
      <c r="AF3228" t="s">
        <v>50</v>
      </c>
      <c r="AG3228">
        <v>0</v>
      </c>
      <c r="AH3228">
        <v>0</v>
      </c>
      <c r="AI3228" t="s">
        <v>51</v>
      </c>
      <c r="AJ3228" t="s">
        <v>51</v>
      </c>
      <c r="AK3228" t="s">
        <v>51</v>
      </c>
    </row>
    <row r="3229" spans="1:37" x14ac:dyDescent="0.2">
      <c r="A3229">
        <v>56759</v>
      </c>
      <c r="B3229" t="s">
        <v>37</v>
      </c>
      <c r="C3229" t="s">
        <v>38</v>
      </c>
      <c r="D3229" t="s">
        <v>553</v>
      </c>
      <c r="E3229" t="s">
        <v>572</v>
      </c>
      <c r="G3229" s="4">
        <v>43945.042673611111</v>
      </c>
      <c r="H3229" s="4">
        <v>43945.042673611111</v>
      </c>
      <c r="I3229" t="s">
        <v>50</v>
      </c>
      <c r="J3229" s="5">
        <v>0</v>
      </c>
      <c r="K3229" t="s">
        <v>38</v>
      </c>
      <c r="M3229">
        <v>56761</v>
      </c>
      <c r="N3229" t="s">
        <v>572</v>
      </c>
      <c r="O3229" t="s">
        <v>573</v>
      </c>
      <c r="P3229" t="s">
        <v>38</v>
      </c>
      <c r="Q3229" t="s">
        <v>50</v>
      </c>
      <c r="R3229">
        <v>0</v>
      </c>
      <c r="S3229" t="s">
        <v>45</v>
      </c>
      <c r="T3229" t="str" s="2">
        <f>=HYPERLINK("http://demo.enginatics.com:80/ecc/user/applications/log/56759.log","http://demo.enginatics.com:80/ecc/user/applications/log/56759.log")</f>
        <v>"http://demo.enginatics.com:80/ecc/user/applications/log/56759.log")</v>
      </c>
      <c r="U3229">
        <v>56762</v>
      </c>
      <c r="V3229" t="s">
        <v>38</v>
      </c>
      <c r="W3229" t="s">
        <v>50</v>
      </c>
      <c r="X3229">
        <v>0</v>
      </c>
      <c r="Y3229">
        <v>0</v>
      </c>
      <c r="Z3229" t="s">
        <v>46</v>
      </c>
      <c r="AA3229">
        <v>56763</v>
      </c>
      <c r="AB3229" t="s">
        <v>574</v>
      </c>
      <c r="AC3229" t="s">
        <v>48</v>
      </c>
      <c r="AD3229" t="s">
        <v>38</v>
      </c>
      <c r="AE3229" t="s">
        <v>49</v>
      </c>
      <c r="AF3229" t="s">
        <v>50</v>
      </c>
      <c r="AG3229">
        <v>0</v>
      </c>
      <c r="AH3229">
        <v>0</v>
      </c>
      <c r="AI3229" t="s">
        <v>51</v>
      </c>
      <c r="AJ3229" t="s">
        <v>51</v>
      </c>
      <c r="AK3229" t="s">
        <v>51</v>
      </c>
    </row>
    <row r="3230" spans="1:37" x14ac:dyDescent="0.2">
      <c r="A3230">
        <v>56754</v>
      </c>
      <c r="B3230" t="s">
        <v>37</v>
      </c>
      <c r="C3230" t="s">
        <v>38</v>
      </c>
      <c r="D3230" t="s">
        <v>553</v>
      </c>
      <c r="E3230" t="s">
        <v>560</v>
      </c>
      <c r="G3230" s="4">
        <v>43945.042662037037</v>
      </c>
      <c r="H3230" s="4">
        <v>43945.042685185185</v>
      </c>
      <c r="I3230" t="s">
        <v>88</v>
      </c>
      <c r="J3230" s="5">
        <v>2</v>
      </c>
      <c r="K3230" t="s">
        <v>38</v>
      </c>
      <c r="M3230">
        <v>56756</v>
      </c>
      <c r="N3230" t="s">
        <v>560</v>
      </c>
      <c r="O3230" t="s">
        <v>561</v>
      </c>
      <c r="P3230" t="s">
        <v>38</v>
      </c>
      <c r="Q3230" t="s">
        <v>88</v>
      </c>
      <c r="R3230">
        <v>2</v>
      </c>
      <c r="S3230" t="s">
        <v>45</v>
      </c>
      <c r="T3230" t="str" s="2">
        <f>=HYPERLINK("http://demo.enginatics.com:80/ecc/user/applications/log/56754.log","http://demo.enginatics.com:80/ecc/user/applications/log/56754.log")</f>
        <v>"http://demo.enginatics.com:80/ecc/user/applications/log/56754.log")</v>
      </c>
      <c r="U3230">
        <v>56757</v>
      </c>
      <c r="V3230" t="s">
        <v>38</v>
      </c>
      <c r="W3230" t="s">
        <v>50</v>
      </c>
      <c r="X3230">
        <v>.9999999999999999999999999999999999999996</v>
      </c>
      <c r="Y3230">
        <v>0</v>
      </c>
      <c r="Z3230" t="s">
        <v>46</v>
      </c>
      <c r="AA3230">
        <v>56758</v>
      </c>
      <c r="AB3230" t="s">
        <v>562</v>
      </c>
      <c r="AC3230" t="s">
        <v>48</v>
      </c>
      <c r="AD3230" t="s">
        <v>38</v>
      </c>
      <c r="AE3230" t="s">
        <v>49</v>
      </c>
      <c r="AF3230" t="s">
        <v>50</v>
      </c>
      <c r="AG3230">
        <v>.9999999999999999999999999999999999999996</v>
      </c>
      <c r="AH3230">
        <v>0</v>
      </c>
      <c r="AI3230" t="s">
        <v>51</v>
      </c>
      <c r="AJ3230" t="s">
        <v>51</v>
      </c>
      <c r="AK3230" t="s">
        <v>51</v>
      </c>
    </row>
    <row r="3231" spans="1:37" x14ac:dyDescent="0.2">
      <c r="A3231">
        <v>56751</v>
      </c>
      <c r="B3231" t="s">
        <v>37</v>
      </c>
      <c r="C3231" t="s">
        <v>38</v>
      </c>
      <c r="D3231" t="s">
        <v>553</v>
      </c>
      <c r="E3231" t="s">
        <v>554</v>
      </c>
      <c r="G3231" s="4">
        <v>43945.042662037037</v>
      </c>
      <c r="H3231" s="4">
        <v>43945.042673611111</v>
      </c>
      <c r="I3231" t="s">
        <v>50</v>
      </c>
      <c r="J3231" s="5">
        <v>.9999999999999999999999999999999999999996</v>
      </c>
      <c r="K3231" t="s">
        <v>38</v>
      </c>
      <c r="M3231">
        <v>56752</v>
      </c>
      <c r="N3231" t="s">
        <v>554</v>
      </c>
      <c r="O3231" t="s">
        <v>555</v>
      </c>
      <c r="P3231" t="s">
        <v>38</v>
      </c>
      <c r="Q3231" t="s">
        <v>50</v>
      </c>
      <c r="R3231">
        <v>.9999999999999999999999999999999999999996</v>
      </c>
      <c r="S3231" t="s">
        <v>45</v>
      </c>
      <c r="T3231" t="str" s="2">
        <f>=HYPERLINK("http://demo.enginatics.com:80/ecc/user/applications/log/56751.log","http://demo.enginatics.com:80/ecc/user/applications/log/56751.log")</f>
        <v>"http://demo.enginatics.com:80/ecc/user/applications/log/56751.log")</v>
      </c>
      <c r="U3231">
        <v>56753</v>
      </c>
      <c r="V3231" t="s">
        <v>38</v>
      </c>
      <c r="W3231" t="s">
        <v>50</v>
      </c>
      <c r="X3231">
        <v>.9999999999999999999999999999999999999996</v>
      </c>
      <c r="Y3231">
        <v>0</v>
      </c>
      <c r="Z3231" t="s">
        <v>46</v>
      </c>
      <c r="AA3231">
        <v>56755</v>
      </c>
      <c r="AB3231" t="s">
        <v>556</v>
      </c>
      <c r="AC3231" t="s">
        <v>48</v>
      </c>
      <c r="AD3231" t="s">
        <v>38</v>
      </c>
      <c r="AE3231" t="s">
        <v>49</v>
      </c>
      <c r="AF3231" t="s">
        <v>50</v>
      </c>
      <c r="AG3231">
        <v>.9999999999999999999999999999999999999996</v>
      </c>
      <c r="AH3231">
        <v>0</v>
      </c>
      <c r="AI3231" t="s">
        <v>51</v>
      </c>
      <c r="AJ3231" t="s">
        <v>51</v>
      </c>
      <c r="AK3231" t="s">
        <v>51</v>
      </c>
    </row>
    <row r="3232" spans="1:37" x14ac:dyDescent="0.2">
      <c r="A3232">
        <v>56747</v>
      </c>
      <c r="B3232" t="s">
        <v>37</v>
      </c>
      <c r="C3232" t="s">
        <v>38</v>
      </c>
      <c r="D3232" t="s">
        <v>553</v>
      </c>
      <c r="E3232" t="s">
        <v>581</v>
      </c>
      <c r="G3232" s="4">
        <v>43945.042650462963</v>
      </c>
      <c r="H3232" s="4">
        <v>43945.042662037037</v>
      </c>
      <c r="I3232" t="s">
        <v>50</v>
      </c>
      <c r="J3232" s="5">
        <v>.9999999999999999999999999999999999999996</v>
      </c>
      <c r="K3232" t="s">
        <v>38</v>
      </c>
      <c r="M3232">
        <v>56748</v>
      </c>
      <c r="N3232" t="s">
        <v>581</v>
      </c>
      <c r="O3232" t="s">
        <v>582</v>
      </c>
      <c r="P3232" t="s">
        <v>38</v>
      </c>
      <c r="Q3232" t="s">
        <v>50</v>
      </c>
      <c r="R3232">
        <v>.9999999999999999999999999999999999999996</v>
      </c>
      <c r="S3232" t="s">
        <v>45</v>
      </c>
      <c r="T3232" t="str" s="2">
        <f>=HYPERLINK("http://demo.enginatics.com:80/ecc/user/applications/log/56747.log","http://demo.enginatics.com:80/ecc/user/applications/log/56747.log")</f>
        <v>"http://demo.enginatics.com:80/ecc/user/applications/log/56747.log")</v>
      </c>
      <c r="U3232">
        <v>56749</v>
      </c>
      <c r="V3232" t="s">
        <v>38</v>
      </c>
      <c r="W3232" t="s">
        <v>50</v>
      </c>
      <c r="X3232">
        <v>.9999999999999999999999999999999999999996</v>
      </c>
      <c r="Y3232">
        <v>0</v>
      </c>
      <c r="Z3232" t="s">
        <v>46</v>
      </c>
      <c r="AA3232">
        <v>56750</v>
      </c>
      <c r="AB3232" t="s">
        <v>583</v>
      </c>
      <c r="AC3232" t="s">
        <v>48</v>
      </c>
      <c r="AD3232" t="s">
        <v>38</v>
      </c>
      <c r="AE3232" t="s">
        <v>49</v>
      </c>
      <c r="AF3232" t="s">
        <v>50</v>
      </c>
      <c r="AG3232">
        <v>0</v>
      </c>
      <c r="AH3232">
        <v>0</v>
      </c>
      <c r="AI3232" t="s">
        <v>51</v>
      </c>
      <c r="AJ3232" t="s">
        <v>51</v>
      </c>
      <c r="AK3232" t="s">
        <v>51</v>
      </c>
    </row>
    <row r="3233" spans="1:37" x14ac:dyDescent="0.2">
      <c r="A3233">
        <v>56743</v>
      </c>
      <c r="B3233" t="s">
        <v>37</v>
      </c>
      <c r="C3233" t="s">
        <v>38</v>
      </c>
      <c r="D3233" t="s">
        <v>553</v>
      </c>
      <c r="E3233" t="s">
        <v>566</v>
      </c>
      <c r="G3233" s="4">
        <v>43945.042650462963</v>
      </c>
      <c r="H3233" s="4">
        <v>43945.042662037037</v>
      </c>
      <c r="I3233" t="s">
        <v>50</v>
      </c>
      <c r="J3233" s="5">
        <v>.9999999999999999999999999999999999999996</v>
      </c>
      <c r="K3233" t="s">
        <v>38</v>
      </c>
      <c r="M3233">
        <v>56744</v>
      </c>
      <c r="N3233" t="s">
        <v>566</v>
      </c>
      <c r="O3233" t="s">
        <v>567</v>
      </c>
      <c r="P3233" t="s">
        <v>38</v>
      </c>
      <c r="Q3233" t="s">
        <v>50</v>
      </c>
      <c r="R3233">
        <v>.9999999999999999999999999999999999999996</v>
      </c>
      <c r="S3233" t="s">
        <v>45</v>
      </c>
      <c r="T3233" t="str" s="2">
        <f>=HYPERLINK("http://demo.enginatics.com:80/ecc/user/applications/log/56743.log","http://demo.enginatics.com:80/ecc/user/applications/log/56743.log")</f>
        <v>"http://demo.enginatics.com:80/ecc/user/applications/log/56743.log")</v>
      </c>
      <c r="U3233">
        <v>56745</v>
      </c>
      <c r="V3233" t="s">
        <v>38</v>
      </c>
      <c r="W3233" t="s">
        <v>50</v>
      </c>
      <c r="X3233">
        <v>.9999999999999999999999999999999999999996</v>
      </c>
      <c r="Y3233">
        <v>0</v>
      </c>
      <c r="Z3233" t="s">
        <v>46</v>
      </c>
      <c r="AA3233">
        <v>56746</v>
      </c>
      <c r="AB3233" t="s">
        <v>568</v>
      </c>
      <c r="AC3233" t="s">
        <v>48</v>
      </c>
      <c r="AD3233" t="s">
        <v>38</v>
      </c>
      <c r="AE3233" t="s">
        <v>49</v>
      </c>
      <c r="AF3233" t="s">
        <v>50</v>
      </c>
      <c r="AG3233">
        <v>.9999999999999999999999999999999999999996</v>
      </c>
      <c r="AH3233">
        <v>0</v>
      </c>
      <c r="AI3233" t="s">
        <v>51</v>
      </c>
      <c r="AJ3233" t="s">
        <v>51</v>
      </c>
      <c r="AK3233" t="s">
        <v>51</v>
      </c>
    </row>
    <row r="3234" spans="1:37" x14ac:dyDescent="0.2">
      <c r="A3234">
        <v>56733</v>
      </c>
      <c r="B3234" t="s">
        <v>37</v>
      </c>
      <c r="C3234" t="s">
        <v>38</v>
      </c>
      <c r="D3234" t="s">
        <v>553</v>
      </c>
      <c r="E3234" t="s">
        <v>578</v>
      </c>
      <c r="G3234" s="4">
        <v>43945.042638888889</v>
      </c>
      <c r="H3234" s="4">
        <v>43945.042650462963</v>
      </c>
      <c r="I3234" t="s">
        <v>50</v>
      </c>
      <c r="J3234" s="5">
        <v>.9999999999999999999999999999999999999996</v>
      </c>
      <c r="K3234" t="s">
        <v>38</v>
      </c>
      <c r="M3234">
        <v>56740</v>
      </c>
      <c r="N3234" t="s">
        <v>578</v>
      </c>
      <c r="O3234" t="s">
        <v>579</v>
      </c>
      <c r="P3234" t="s">
        <v>38</v>
      </c>
      <c r="Q3234" t="s">
        <v>50</v>
      </c>
      <c r="R3234">
        <v>.9999999999999999999999999999999999999996</v>
      </c>
      <c r="S3234" t="s">
        <v>45</v>
      </c>
      <c r="T3234" t="str" s="2">
        <f>=HYPERLINK("http://demo.enginatics.com:80/ecc/user/applications/log/56733.log","http://demo.enginatics.com:80/ecc/user/applications/log/56733.log")</f>
        <v>"http://demo.enginatics.com:80/ecc/user/applications/log/56733.log")</v>
      </c>
      <c r="U3234">
        <v>56741</v>
      </c>
      <c r="V3234" t="s">
        <v>38</v>
      </c>
      <c r="W3234" t="s">
        <v>50</v>
      </c>
      <c r="X3234">
        <v>.9999999999999999999999999999999999999996</v>
      </c>
      <c r="Y3234">
        <v>0</v>
      </c>
      <c r="Z3234" t="s">
        <v>46</v>
      </c>
      <c r="AA3234">
        <v>56742</v>
      </c>
      <c r="AB3234" t="s">
        <v>580</v>
      </c>
      <c r="AC3234" t="s">
        <v>48</v>
      </c>
      <c r="AD3234" t="s">
        <v>38</v>
      </c>
      <c r="AE3234" t="s">
        <v>49</v>
      </c>
      <c r="AF3234" t="s">
        <v>50</v>
      </c>
      <c r="AG3234">
        <v>0</v>
      </c>
      <c r="AH3234">
        <v>0</v>
      </c>
      <c r="AI3234" t="s">
        <v>51</v>
      </c>
      <c r="AJ3234" t="s">
        <v>51</v>
      </c>
      <c r="AK3234" t="s">
        <v>51</v>
      </c>
    </row>
    <row r="3235" spans="1:37" x14ac:dyDescent="0.2">
      <c r="A3235">
        <v>56732</v>
      </c>
      <c r="B3235" t="s">
        <v>37</v>
      </c>
      <c r="C3235" t="s">
        <v>38</v>
      </c>
      <c r="D3235" t="s">
        <v>553</v>
      </c>
      <c r="E3235" t="s">
        <v>575</v>
      </c>
      <c r="G3235" s="4">
        <v>43945.042615740741</v>
      </c>
      <c r="H3235" s="4">
        <v>43945.042650462963</v>
      </c>
      <c r="I3235" t="s">
        <v>85</v>
      </c>
      <c r="J3235" s="5">
        <v>3</v>
      </c>
      <c r="K3235" t="s">
        <v>38</v>
      </c>
      <c r="M3235">
        <v>56734</v>
      </c>
      <c r="N3235" t="s">
        <v>575</v>
      </c>
      <c r="O3235" t="s">
        <v>576</v>
      </c>
      <c r="P3235" t="s">
        <v>38</v>
      </c>
      <c r="Q3235" t="s">
        <v>50</v>
      </c>
      <c r="R3235">
        <v>.9999999999999999999999999999999999999996</v>
      </c>
      <c r="S3235" t="s">
        <v>45</v>
      </c>
      <c r="T3235" t="str" s="2">
        <f>=HYPERLINK("http://demo.enginatics.com:80/ecc/user/applications/log/56732.log","http://demo.enginatics.com:80/ecc/user/applications/log/56732.log")</f>
        <v>"http://demo.enginatics.com:80/ecc/user/applications/log/56732.log")</v>
      </c>
      <c r="U3235">
        <v>56736</v>
      </c>
      <c r="V3235" t="s">
        <v>38</v>
      </c>
      <c r="W3235" t="s">
        <v>50</v>
      </c>
      <c r="X3235">
        <v>.9999999999999999999999999999999999999996</v>
      </c>
      <c r="Y3235">
        <v>0</v>
      </c>
      <c r="Z3235" t="s">
        <v>46</v>
      </c>
      <c r="AA3235">
        <v>56739</v>
      </c>
      <c r="AB3235" t="s">
        <v>577</v>
      </c>
      <c r="AC3235" t="s">
        <v>48</v>
      </c>
      <c r="AD3235" t="s">
        <v>38</v>
      </c>
      <c r="AE3235" t="s">
        <v>49</v>
      </c>
      <c r="AF3235" t="s">
        <v>50</v>
      </c>
      <c r="AG3235">
        <v>.9999999999999999999999999999999999999996</v>
      </c>
      <c r="AH3235">
        <v>0</v>
      </c>
      <c r="AI3235" t="s">
        <v>51</v>
      </c>
      <c r="AJ3235" t="s">
        <v>51</v>
      </c>
      <c r="AK3235" t="s">
        <v>51</v>
      </c>
    </row>
    <row r="3236" spans="1:37" x14ac:dyDescent="0.2">
      <c r="A3236">
        <v>56731</v>
      </c>
      <c r="B3236" t="s">
        <v>37</v>
      </c>
      <c r="C3236" t="s">
        <v>38</v>
      </c>
      <c r="D3236" t="s">
        <v>553</v>
      </c>
      <c r="E3236" t="s">
        <v>584</v>
      </c>
      <c r="G3236" s="4">
        <v>43945.042615740741</v>
      </c>
      <c r="H3236" s="4">
        <v>43945.042638888889</v>
      </c>
      <c r="I3236" t="s">
        <v>88</v>
      </c>
      <c r="J3236" s="5">
        <v>2</v>
      </c>
      <c r="K3236" t="s">
        <v>38</v>
      </c>
      <c r="M3236">
        <v>56735</v>
      </c>
      <c r="N3236" t="s">
        <v>584</v>
      </c>
      <c r="O3236" t="s">
        <v>585</v>
      </c>
      <c r="P3236" t="s">
        <v>38</v>
      </c>
      <c r="Q3236" t="s">
        <v>50</v>
      </c>
      <c r="R3236">
        <v>0</v>
      </c>
      <c r="S3236" t="s">
        <v>45</v>
      </c>
      <c r="T3236" t="str" s="2">
        <f>=HYPERLINK("http://demo.enginatics.com:80/ecc/user/applications/log/56731.log","http://demo.enginatics.com:80/ecc/user/applications/log/56731.log")</f>
        <v>"http://demo.enginatics.com:80/ecc/user/applications/log/56731.log")</v>
      </c>
      <c r="U3236">
        <v>56737</v>
      </c>
      <c r="V3236" t="s">
        <v>38</v>
      </c>
      <c r="W3236" t="s">
        <v>50</v>
      </c>
      <c r="X3236">
        <v>0</v>
      </c>
      <c r="Y3236">
        <v>0</v>
      </c>
      <c r="Z3236" t="s">
        <v>46</v>
      </c>
      <c r="AA3236">
        <v>56738</v>
      </c>
      <c r="AB3236" t="s">
        <v>586</v>
      </c>
      <c r="AC3236" t="s">
        <v>48</v>
      </c>
      <c r="AD3236" t="s">
        <v>38</v>
      </c>
      <c r="AE3236" t="s">
        <v>49</v>
      </c>
      <c r="AF3236" t="s">
        <v>50</v>
      </c>
      <c r="AG3236">
        <v>0</v>
      </c>
      <c r="AH3236">
        <v>0</v>
      </c>
      <c r="AI3236" t="s">
        <v>51</v>
      </c>
      <c r="AJ3236" t="s">
        <v>51</v>
      </c>
      <c r="AK3236" t="s">
        <v>51</v>
      </c>
    </row>
    <row r="3237" spans="1:37" x14ac:dyDescent="0.2">
      <c r="A3237">
        <v>56727</v>
      </c>
      <c r="B3237" t="s">
        <v>37</v>
      </c>
      <c r="C3237" t="s">
        <v>38</v>
      </c>
      <c r="D3237" t="s">
        <v>553</v>
      </c>
      <c r="E3237" t="s">
        <v>593</v>
      </c>
      <c r="G3237" s="4">
        <v>43945.042581018519</v>
      </c>
      <c r="H3237" s="4">
        <v>43945.042638888889</v>
      </c>
      <c r="I3237" t="s">
        <v>78</v>
      </c>
      <c r="J3237" s="5">
        <v>5</v>
      </c>
      <c r="K3237" t="s">
        <v>38</v>
      </c>
      <c r="M3237">
        <v>56728</v>
      </c>
      <c r="N3237" t="s">
        <v>593</v>
      </c>
      <c r="O3237" t="s">
        <v>594</v>
      </c>
      <c r="P3237" t="s">
        <v>38</v>
      </c>
      <c r="Q3237" t="s">
        <v>44</v>
      </c>
      <c r="R3237">
        <v>4</v>
      </c>
      <c r="S3237" t="s">
        <v>45</v>
      </c>
      <c r="T3237" t="str" s="2">
        <f>=HYPERLINK("http://demo.enginatics.com:80/ecc/user/applications/log/56727.log","http://demo.enginatics.com:80/ecc/user/applications/log/56727.log")</f>
        <v>"http://demo.enginatics.com:80/ecc/user/applications/log/56727.log")</v>
      </c>
      <c r="U3237">
        <v>56729</v>
      </c>
      <c r="V3237" t="s">
        <v>38</v>
      </c>
      <c r="W3237" t="s">
        <v>44</v>
      </c>
      <c r="X3237">
        <v>4</v>
      </c>
      <c r="Y3237">
        <v>0</v>
      </c>
      <c r="Z3237" t="s">
        <v>46</v>
      </c>
      <c r="AA3237">
        <v>56730</v>
      </c>
      <c r="AB3237" t="s">
        <v>2424</v>
      </c>
      <c r="AC3237" t="s">
        <v>48</v>
      </c>
      <c r="AD3237" t="s">
        <v>38</v>
      </c>
      <c r="AE3237" t="s">
        <v>49</v>
      </c>
      <c r="AF3237" t="s">
        <v>44</v>
      </c>
      <c r="AG3237">
        <v>4</v>
      </c>
      <c r="AH3237">
        <v>3</v>
      </c>
      <c r="AI3237" t="s">
        <v>51</v>
      </c>
      <c r="AJ3237" t="s">
        <v>51</v>
      </c>
      <c r="AK3237" t="s">
        <v>51</v>
      </c>
    </row>
    <row r="3238" spans="1:37" x14ac:dyDescent="0.2">
      <c r="A3238">
        <v>56723</v>
      </c>
      <c r="B3238" t="s">
        <v>37</v>
      </c>
      <c r="C3238" t="s">
        <v>38</v>
      </c>
      <c r="D3238" t="s">
        <v>553</v>
      </c>
      <c r="E3238" t="s">
        <v>596</v>
      </c>
      <c r="G3238" s="4">
        <v>43945.042569444444</v>
      </c>
      <c r="H3238" s="4">
        <v>43945.042638888889</v>
      </c>
      <c r="I3238" t="s">
        <v>75</v>
      </c>
      <c r="J3238" s="5">
        <v>6</v>
      </c>
      <c r="K3238" t="s">
        <v>38</v>
      </c>
      <c r="M3238">
        <v>56724</v>
      </c>
      <c r="N3238" t="s">
        <v>596</v>
      </c>
      <c r="O3238" t="s">
        <v>597</v>
      </c>
      <c r="P3238" t="s">
        <v>38</v>
      </c>
      <c r="Q3238" t="s">
        <v>75</v>
      </c>
      <c r="R3238">
        <v>6</v>
      </c>
      <c r="S3238" t="s">
        <v>45</v>
      </c>
      <c r="T3238" t="str" s="2">
        <f>=HYPERLINK("http://demo.enginatics.com:80/ecc/user/applications/log/56723.log","http://demo.enginatics.com:80/ecc/user/applications/log/56723.log")</f>
        <v>"http://demo.enginatics.com:80/ecc/user/applications/log/56723.log")</v>
      </c>
      <c r="U3238">
        <v>56725</v>
      </c>
      <c r="V3238" t="s">
        <v>38</v>
      </c>
      <c r="W3238" t="s">
        <v>75</v>
      </c>
      <c r="X3238">
        <v>6</v>
      </c>
      <c r="Y3238">
        <v>0</v>
      </c>
      <c r="Z3238" t="s">
        <v>46</v>
      </c>
      <c r="AA3238">
        <v>56726</v>
      </c>
      <c r="AB3238" t="s">
        <v>2425</v>
      </c>
      <c r="AC3238" t="s">
        <v>48</v>
      </c>
      <c r="AD3238" t="s">
        <v>38</v>
      </c>
      <c r="AE3238" t="s">
        <v>49</v>
      </c>
      <c r="AF3238" t="s">
        <v>78</v>
      </c>
      <c r="AG3238">
        <v>5</v>
      </c>
      <c r="AH3238">
        <v>4</v>
      </c>
      <c r="AI3238" t="s">
        <v>51</v>
      </c>
      <c r="AJ3238" t="s">
        <v>51</v>
      </c>
      <c r="AK3238" t="s">
        <v>51</v>
      </c>
    </row>
    <row r="3239" spans="1:37" x14ac:dyDescent="0.2">
      <c r="A3239">
        <v>56719</v>
      </c>
      <c r="B3239" t="s">
        <v>37</v>
      </c>
      <c r="C3239" t="s">
        <v>38</v>
      </c>
      <c r="D3239" t="s">
        <v>83</v>
      </c>
      <c r="E3239" t="s">
        <v>599</v>
      </c>
      <c r="G3239" s="4">
        <v>43945.042465277778</v>
      </c>
      <c r="H3239" s="4">
        <v>43945.0425</v>
      </c>
      <c r="I3239" t="s">
        <v>85</v>
      </c>
      <c r="J3239" s="5">
        <v>3</v>
      </c>
      <c r="K3239" t="s">
        <v>38</v>
      </c>
      <c r="M3239">
        <v>56720</v>
      </c>
      <c r="N3239" t="s">
        <v>599</v>
      </c>
      <c r="O3239" t="s">
        <v>600</v>
      </c>
      <c r="P3239" t="s">
        <v>38</v>
      </c>
      <c r="Q3239" t="s">
        <v>85</v>
      </c>
      <c r="R3239">
        <v>3</v>
      </c>
      <c r="S3239" t="s">
        <v>45</v>
      </c>
      <c r="T3239" t="str" s="2">
        <f>=HYPERLINK("http://demo.enginatics.com:80/ecc/user/applications/log/56719.log","http://demo.enginatics.com:80/ecc/user/applications/log/56719.log")</f>
        <v>"http://demo.enginatics.com:80/ecc/user/applications/log/56719.log")</v>
      </c>
      <c r="U3239">
        <v>56721</v>
      </c>
      <c r="V3239" t="s">
        <v>38</v>
      </c>
      <c r="W3239" t="s">
        <v>85</v>
      </c>
      <c r="X3239">
        <v>3</v>
      </c>
      <c r="Y3239">
        <v>0</v>
      </c>
      <c r="Z3239" t="s">
        <v>46</v>
      </c>
      <c r="AA3239">
        <v>56722</v>
      </c>
      <c r="AB3239" t="s">
        <v>2426</v>
      </c>
      <c r="AC3239" t="s">
        <v>68</v>
      </c>
      <c r="AD3239" t="s">
        <v>38</v>
      </c>
      <c r="AE3239" t="s">
        <v>49</v>
      </c>
      <c r="AF3239" t="s">
        <v>85</v>
      </c>
      <c r="AG3239">
        <v>3</v>
      </c>
      <c r="AH3239">
        <v>2</v>
      </c>
      <c r="AI3239" t="s">
        <v>51</v>
      </c>
      <c r="AJ3239" t="s">
        <v>51</v>
      </c>
      <c r="AK3239" t="s">
        <v>51</v>
      </c>
    </row>
    <row r="3240" spans="1:37" x14ac:dyDescent="0.2">
      <c r="A3240">
        <v>56715</v>
      </c>
      <c r="B3240" t="s">
        <v>37</v>
      </c>
      <c r="C3240" t="s">
        <v>38</v>
      </c>
      <c r="D3240" t="s">
        <v>602</v>
      </c>
      <c r="E3240" t="s">
        <v>603</v>
      </c>
      <c r="G3240" s="4">
        <v>43945.031759259259</v>
      </c>
      <c r="H3240" s="4">
        <v>43945.031805555556</v>
      </c>
      <c r="I3240" t="s">
        <v>44</v>
      </c>
      <c r="J3240" s="5">
        <v>4</v>
      </c>
      <c r="K3240" t="s">
        <v>38</v>
      </c>
      <c r="M3240">
        <v>56716</v>
      </c>
      <c r="N3240" t="s">
        <v>603</v>
      </c>
      <c r="O3240" t="s">
        <v>604</v>
      </c>
      <c r="P3240" t="s">
        <v>38</v>
      </c>
      <c r="Q3240" t="s">
        <v>44</v>
      </c>
      <c r="R3240">
        <v>4</v>
      </c>
      <c r="S3240" t="s">
        <v>45</v>
      </c>
      <c r="T3240" t="str" s="2">
        <f>=HYPERLINK("http://demo.enginatics.com:80/ecc/user/applications/log/56715.log","http://demo.enginatics.com:80/ecc/user/applications/log/56715.log")</f>
        <v>"http://demo.enginatics.com:80/ecc/user/applications/log/56715.log")</v>
      </c>
      <c r="U3240">
        <v>56717</v>
      </c>
      <c r="V3240" t="s">
        <v>38</v>
      </c>
      <c r="W3240" t="s">
        <v>44</v>
      </c>
      <c r="X3240">
        <v>4</v>
      </c>
      <c r="Y3240">
        <v>0</v>
      </c>
      <c r="Z3240" t="s">
        <v>46</v>
      </c>
      <c r="AA3240">
        <v>56718</v>
      </c>
      <c r="AB3240" t="s">
        <v>605</v>
      </c>
      <c r="AC3240" t="s">
        <v>68</v>
      </c>
      <c r="AD3240" t="s">
        <v>38</v>
      </c>
      <c r="AE3240" t="s">
        <v>49</v>
      </c>
      <c r="AF3240" t="s">
        <v>44</v>
      </c>
      <c r="AG3240">
        <v>4</v>
      </c>
      <c r="AH3240">
        <v>3</v>
      </c>
      <c r="AI3240" t="s">
        <v>51</v>
      </c>
      <c r="AJ3240" t="s">
        <v>51</v>
      </c>
      <c r="AK3240" t="s">
        <v>51</v>
      </c>
    </row>
    <row r="3241" spans="1:37" x14ac:dyDescent="0.2">
      <c r="A3241">
        <v>56710</v>
      </c>
      <c r="B3241" t="s">
        <v>37</v>
      </c>
      <c r="C3241" t="s">
        <v>38</v>
      </c>
      <c r="D3241" t="s">
        <v>606</v>
      </c>
      <c r="E3241" t="s">
        <v>607</v>
      </c>
      <c r="G3241" s="4">
        <v>43945.02869212963</v>
      </c>
      <c r="H3241" s="4">
        <v>43945.02869212963</v>
      </c>
      <c r="I3241" t="s">
        <v>50</v>
      </c>
      <c r="J3241" s="5">
        <v>0</v>
      </c>
      <c r="K3241" t="s">
        <v>38</v>
      </c>
      <c r="M3241">
        <v>56711</v>
      </c>
      <c r="N3241" t="s">
        <v>607</v>
      </c>
      <c r="O3241" t="s">
        <v>608</v>
      </c>
      <c r="P3241" t="s">
        <v>38</v>
      </c>
      <c r="Q3241" t="s">
        <v>50</v>
      </c>
      <c r="R3241">
        <v>0</v>
      </c>
      <c r="S3241" t="s">
        <v>45</v>
      </c>
      <c r="T3241" t="str" s="2">
        <f>=HYPERLINK("http://demo.enginatics.com:80/ecc/user/applications/log/56710.log","http://demo.enginatics.com:80/ecc/user/applications/log/56710.log")</f>
        <v>"http://demo.enginatics.com:80/ecc/user/applications/log/56710.log")</v>
      </c>
      <c r="U3241">
        <v>56712</v>
      </c>
      <c r="V3241" t="s">
        <v>38</v>
      </c>
      <c r="W3241" t="s">
        <v>50</v>
      </c>
      <c r="X3241">
        <v>0</v>
      </c>
      <c r="Y3241">
        <v>0</v>
      </c>
      <c r="Z3241" t="s">
        <v>46</v>
      </c>
      <c r="AA3241">
        <v>56714</v>
      </c>
      <c r="AB3241" t="s">
        <v>609</v>
      </c>
      <c r="AC3241" t="s">
        <v>48</v>
      </c>
      <c r="AD3241" t="s">
        <v>38</v>
      </c>
      <c r="AE3241" t="s">
        <v>49</v>
      </c>
      <c r="AF3241" t="s">
        <v>50</v>
      </c>
      <c r="AG3241">
        <v>0</v>
      </c>
      <c r="AH3241">
        <v>0</v>
      </c>
      <c r="AI3241" t="s">
        <v>51</v>
      </c>
      <c r="AJ3241" t="s">
        <v>51</v>
      </c>
      <c r="AK3241" t="s">
        <v>51</v>
      </c>
    </row>
    <row r="3242" spans="1:37" x14ac:dyDescent="0.2">
      <c r="A3242">
        <v>56710</v>
      </c>
      <c r="B3242" t="s">
        <v>37</v>
      </c>
      <c r="C3242" t="s">
        <v>38</v>
      </c>
      <c r="D3242" t="s">
        <v>606</v>
      </c>
      <c r="E3242" t="s">
        <v>607</v>
      </c>
      <c r="G3242" s="4">
        <v>43945.02869212963</v>
      </c>
      <c r="H3242" s="4">
        <v>43945.02869212963</v>
      </c>
      <c r="I3242" t="s">
        <v>50</v>
      </c>
      <c r="J3242" s="5">
        <v>0</v>
      </c>
      <c r="K3242" t="s">
        <v>38</v>
      </c>
      <c r="M3242">
        <v>56711</v>
      </c>
      <c r="N3242" t="s">
        <v>607</v>
      </c>
      <c r="O3242" t="s">
        <v>608</v>
      </c>
      <c r="P3242" t="s">
        <v>38</v>
      </c>
      <c r="Q3242" t="s">
        <v>50</v>
      </c>
      <c r="R3242">
        <v>0</v>
      </c>
      <c r="S3242" t="s">
        <v>45</v>
      </c>
      <c r="T3242" t="str" s="2">
        <f>=HYPERLINK("http://demo.enginatics.com:80/ecc/user/applications/log/56710.log","http://demo.enginatics.com:80/ecc/user/applications/log/56710.log")</f>
        <v>"http://demo.enginatics.com:80/ecc/user/applications/log/56710.log")</v>
      </c>
      <c r="U3242">
        <v>56712</v>
      </c>
      <c r="V3242" t="s">
        <v>38</v>
      </c>
      <c r="W3242" t="s">
        <v>50</v>
      </c>
      <c r="X3242">
        <v>0</v>
      </c>
      <c r="Y3242">
        <v>0</v>
      </c>
      <c r="Z3242" t="s">
        <v>46</v>
      </c>
      <c r="AA3242">
        <v>56713</v>
      </c>
      <c r="AB3242" t="s">
        <v>610</v>
      </c>
      <c r="AC3242" t="s">
        <v>56</v>
      </c>
      <c r="AD3242" t="s">
        <v>38</v>
      </c>
      <c r="AE3242" t="s">
        <v>49</v>
      </c>
      <c r="AF3242" t="s">
        <v>50</v>
      </c>
      <c r="AG3242">
        <v>0</v>
      </c>
      <c r="AH3242">
        <v>0</v>
      </c>
      <c r="AI3242" t="s">
        <v>51</v>
      </c>
      <c r="AJ3242" t="s">
        <v>51</v>
      </c>
      <c r="AK3242" t="s">
        <v>51</v>
      </c>
    </row>
    <row r="3243" spans="1:37" x14ac:dyDescent="0.2">
      <c r="A3243">
        <v>56705</v>
      </c>
      <c r="B3243" t="s">
        <v>37</v>
      </c>
      <c r="C3243" t="s">
        <v>38</v>
      </c>
      <c r="D3243" t="s">
        <v>606</v>
      </c>
      <c r="E3243" t="s">
        <v>611</v>
      </c>
      <c r="G3243" s="4">
        <v>43945.028576388889</v>
      </c>
      <c r="H3243" s="4">
        <v>43945.028576388889</v>
      </c>
      <c r="I3243" t="s">
        <v>50</v>
      </c>
      <c r="J3243" s="5">
        <v>0</v>
      </c>
      <c r="K3243" t="s">
        <v>38</v>
      </c>
      <c r="M3243">
        <v>56706</v>
      </c>
      <c r="N3243" t="s">
        <v>611</v>
      </c>
      <c r="O3243" t="s">
        <v>612</v>
      </c>
      <c r="P3243" t="s">
        <v>38</v>
      </c>
      <c r="Q3243" t="s">
        <v>50</v>
      </c>
      <c r="R3243">
        <v>0</v>
      </c>
      <c r="S3243" t="s">
        <v>45</v>
      </c>
      <c r="T3243" t="str" s="2">
        <f>=HYPERLINK("http://demo.enginatics.com:80/ecc/user/applications/log/56705.log","http://demo.enginatics.com:80/ecc/user/applications/log/56705.log")</f>
        <v>"http://demo.enginatics.com:80/ecc/user/applications/log/56705.log")</v>
      </c>
      <c r="U3243">
        <v>56707</v>
      </c>
      <c r="V3243" t="s">
        <v>38</v>
      </c>
      <c r="W3243" t="s">
        <v>50</v>
      </c>
      <c r="X3243">
        <v>0</v>
      </c>
      <c r="Y3243">
        <v>0</v>
      </c>
      <c r="Z3243" t="s">
        <v>46</v>
      </c>
      <c r="AA3243">
        <v>56709</v>
      </c>
      <c r="AB3243" t="s">
        <v>613</v>
      </c>
      <c r="AC3243" t="s">
        <v>48</v>
      </c>
      <c r="AD3243" t="s">
        <v>38</v>
      </c>
      <c r="AE3243" t="s">
        <v>49</v>
      </c>
      <c r="AF3243" t="s">
        <v>50</v>
      </c>
      <c r="AG3243">
        <v>0</v>
      </c>
      <c r="AH3243">
        <v>0</v>
      </c>
      <c r="AI3243" t="s">
        <v>51</v>
      </c>
      <c r="AJ3243" t="s">
        <v>51</v>
      </c>
      <c r="AK3243" t="s">
        <v>51</v>
      </c>
    </row>
    <row r="3244" spans="1:37" x14ac:dyDescent="0.2">
      <c r="A3244">
        <v>56705</v>
      </c>
      <c r="B3244" t="s">
        <v>37</v>
      </c>
      <c r="C3244" t="s">
        <v>38</v>
      </c>
      <c r="D3244" t="s">
        <v>606</v>
      </c>
      <c r="E3244" t="s">
        <v>611</v>
      </c>
      <c r="G3244" s="4">
        <v>43945.028576388889</v>
      </c>
      <c r="H3244" s="4">
        <v>43945.028576388889</v>
      </c>
      <c r="I3244" t="s">
        <v>50</v>
      </c>
      <c r="J3244" s="5">
        <v>0</v>
      </c>
      <c r="K3244" t="s">
        <v>38</v>
      </c>
      <c r="M3244">
        <v>56706</v>
      </c>
      <c r="N3244" t="s">
        <v>611</v>
      </c>
      <c r="O3244" t="s">
        <v>612</v>
      </c>
      <c r="P3244" t="s">
        <v>38</v>
      </c>
      <c r="Q3244" t="s">
        <v>50</v>
      </c>
      <c r="R3244">
        <v>0</v>
      </c>
      <c r="S3244" t="s">
        <v>45</v>
      </c>
      <c r="T3244" t="str" s="2">
        <f>=HYPERLINK("http://demo.enginatics.com:80/ecc/user/applications/log/56705.log","http://demo.enginatics.com:80/ecc/user/applications/log/56705.log")</f>
        <v>"http://demo.enginatics.com:80/ecc/user/applications/log/56705.log")</v>
      </c>
      <c r="U3244">
        <v>56707</v>
      </c>
      <c r="V3244" t="s">
        <v>38</v>
      </c>
      <c r="W3244" t="s">
        <v>50</v>
      </c>
      <c r="X3244">
        <v>0</v>
      </c>
      <c r="Y3244">
        <v>0</v>
      </c>
      <c r="Z3244" t="s">
        <v>46</v>
      </c>
      <c r="AA3244">
        <v>56708</v>
      </c>
      <c r="AB3244" t="s">
        <v>614</v>
      </c>
      <c r="AC3244" t="s">
        <v>56</v>
      </c>
      <c r="AD3244" t="s">
        <v>38</v>
      </c>
      <c r="AE3244" t="s">
        <v>49</v>
      </c>
      <c r="AF3244" t="s">
        <v>50</v>
      </c>
      <c r="AG3244">
        <v>0</v>
      </c>
      <c r="AH3244">
        <v>0</v>
      </c>
      <c r="AI3244" t="s">
        <v>51</v>
      </c>
      <c r="AJ3244" t="s">
        <v>51</v>
      </c>
      <c r="AK3244" t="s">
        <v>51</v>
      </c>
    </row>
    <row r="3245" spans="1:37" x14ac:dyDescent="0.2">
      <c r="A3245">
        <v>56700</v>
      </c>
      <c r="B3245" t="s">
        <v>37</v>
      </c>
      <c r="C3245" t="s">
        <v>38</v>
      </c>
      <c r="D3245" t="s">
        <v>606</v>
      </c>
      <c r="E3245" t="s">
        <v>615</v>
      </c>
      <c r="G3245" s="4">
        <v>43945.028414351852</v>
      </c>
      <c r="H3245" s="4">
        <v>43945.028483796296</v>
      </c>
      <c r="I3245" t="s">
        <v>75</v>
      </c>
      <c r="J3245" s="5">
        <v>6</v>
      </c>
      <c r="K3245" t="s">
        <v>38</v>
      </c>
      <c r="M3245">
        <v>56701</v>
      </c>
      <c r="N3245" t="s">
        <v>615</v>
      </c>
      <c r="O3245" t="s">
        <v>616</v>
      </c>
      <c r="P3245" t="s">
        <v>38</v>
      </c>
      <c r="Q3245" t="s">
        <v>75</v>
      </c>
      <c r="R3245">
        <v>6</v>
      </c>
      <c r="S3245" t="s">
        <v>45</v>
      </c>
      <c r="T3245" t="str" s="2">
        <f>=HYPERLINK("http://demo.enginatics.com:80/ecc/user/applications/log/56700.log","http://demo.enginatics.com:80/ecc/user/applications/log/56700.log")</f>
        <v>"http://demo.enginatics.com:80/ecc/user/applications/log/56700.log")</v>
      </c>
      <c r="U3245">
        <v>56702</v>
      </c>
      <c r="V3245" t="s">
        <v>38</v>
      </c>
      <c r="W3245" t="s">
        <v>75</v>
      </c>
      <c r="X3245">
        <v>6</v>
      </c>
      <c r="Y3245">
        <v>5</v>
      </c>
      <c r="Z3245" t="s">
        <v>46</v>
      </c>
      <c r="AA3245">
        <v>56704</v>
      </c>
      <c r="AB3245" t="s">
        <v>617</v>
      </c>
      <c r="AC3245" t="s">
        <v>48</v>
      </c>
      <c r="AD3245" t="s">
        <v>38</v>
      </c>
      <c r="AE3245" t="s">
        <v>49</v>
      </c>
      <c r="AF3245" t="s">
        <v>50</v>
      </c>
      <c r="AG3245">
        <v>0</v>
      </c>
      <c r="AH3245">
        <v>0</v>
      </c>
      <c r="AI3245" t="s">
        <v>51</v>
      </c>
      <c r="AJ3245" t="s">
        <v>51</v>
      </c>
      <c r="AK3245" t="s">
        <v>51</v>
      </c>
    </row>
    <row r="3246" spans="1:37" x14ac:dyDescent="0.2">
      <c r="A3246">
        <v>56700</v>
      </c>
      <c r="B3246" t="s">
        <v>37</v>
      </c>
      <c r="C3246" t="s">
        <v>38</v>
      </c>
      <c r="D3246" t="s">
        <v>606</v>
      </c>
      <c r="E3246" t="s">
        <v>615</v>
      </c>
      <c r="G3246" s="4">
        <v>43945.028414351852</v>
      </c>
      <c r="H3246" s="4">
        <v>43945.028483796296</v>
      </c>
      <c r="I3246" t="s">
        <v>75</v>
      </c>
      <c r="J3246" s="5">
        <v>6</v>
      </c>
      <c r="K3246" t="s">
        <v>38</v>
      </c>
      <c r="M3246">
        <v>56701</v>
      </c>
      <c r="N3246" t="s">
        <v>615</v>
      </c>
      <c r="O3246" t="s">
        <v>616</v>
      </c>
      <c r="P3246" t="s">
        <v>38</v>
      </c>
      <c r="Q3246" t="s">
        <v>75</v>
      </c>
      <c r="R3246">
        <v>6</v>
      </c>
      <c r="S3246" t="s">
        <v>45</v>
      </c>
      <c r="T3246" t="str" s="2">
        <f>=HYPERLINK("http://demo.enginatics.com:80/ecc/user/applications/log/56700.log","http://demo.enginatics.com:80/ecc/user/applications/log/56700.log")</f>
        <v>"http://demo.enginatics.com:80/ecc/user/applications/log/56700.log")</v>
      </c>
      <c r="U3246">
        <v>56702</v>
      </c>
      <c r="V3246" t="s">
        <v>38</v>
      </c>
      <c r="W3246" t="s">
        <v>75</v>
      </c>
      <c r="X3246">
        <v>6</v>
      </c>
      <c r="Y3246">
        <v>5</v>
      </c>
      <c r="Z3246" t="s">
        <v>46</v>
      </c>
      <c r="AA3246">
        <v>56703</v>
      </c>
      <c r="AB3246" t="s">
        <v>618</v>
      </c>
      <c r="AC3246" t="s">
        <v>56</v>
      </c>
      <c r="AD3246" t="s">
        <v>38</v>
      </c>
      <c r="AE3246" t="s">
        <v>49</v>
      </c>
      <c r="AF3246" t="s">
        <v>50</v>
      </c>
      <c r="AG3246">
        <v>0</v>
      </c>
      <c r="AH3246">
        <v>0</v>
      </c>
      <c r="AI3246" t="s">
        <v>51</v>
      </c>
      <c r="AJ3246" t="s">
        <v>51</v>
      </c>
      <c r="AK3246" t="s">
        <v>51</v>
      </c>
    </row>
    <row r="3247" spans="1:37" x14ac:dyDescent="0.2">
      <c r="A3247">
        <v>56695</v>
      </c>
      <c r="B3247" t="s">
        <v>37</v>
      </c>
      <c r="C3247" t="s">
        <v>38</v>
      </c>
      <c r="D3247" t="s">
        <v>606</v>
      </c>
      <c r="E3247" t="s">
        <v>619</v>
      </c>
      <c r="G3247" s="4">
        <v>43945.028287037037</v>
      </c>
      <c r="H3247" s="4">
        <v>43945.028287037037</v>
      </c>
      <c r="I3247" t="s">
        <v>50</v>
      </c>
      <c r="J3247" s="5">
        <v>0</v>
      </c>
      <c r="K3247" t="s">
        <v>38</v>
      </c>
      <c r="M3247">
        <v>56696</v>
      </c>
      <c r="N3247" t="s">
        <v>619</v>
      </c>
      <c r="O3247" t="s">
        <v>620</v>
      </c>
      <c r="P3247" t="s">
        <v>38</v>
      </c>
      <c r="Q3247" t="s">
        <v>50</v>
      </c>
      <c r="R3247">
        <v>0</v>
      </c>
      <c r="S3247" t="s">
        <v>45</v>
      </c>
      <c r="T3247" t="str" s="2">
        <f>=HYPERLINK("http://demo.enginatics.com:80/ecc/user/applications/log/56695.log","http://demo.enginatics.com:80/ecc/user/applications/log/56695.log")</f>
        <v>"http://demo.enginatics.com:80/ecc/user/applications/log/56695.log")</v>
      </c>
      <c r="U3247">
        <v>56697</v>
      </c>
      <c r="V3247" t="s">
        <v>38</v>
      </c>
      <c r="W3247" t="s">
        <v>50</v>
      </c>
      <c r="X3247">
        <v>0</v>
      </c>
      <c r="Y3247">
        <v>0</v>
      </c>
      <c r="Z3247" t="s">
        <v>46</v>
      </c>
      <c r="AA3247">
        <v>56699</v>
      </c>
      <c r="AB3247" t="s">
        <v>621</v>
      </c>
      <c r="AC3247" t="s">
        <v>48</v>
      </c>
      <c r="AD3247" t="s">
        <v>38</v>
      </c>
      <c r="AE3247" t="s">
        <v>49</v>
      </c>
      <c r="AF3247" t="s">
        <v>50</v>
      </c>
      <c r="AG3247">
        <v>0</v>
      </c>
      <c r="AH3247">
        <v>0</v>
      </c>
      <c r="AI3247" t="s">
        <v>51</v>
      </c>
      <c r="AJ3247" t="s">
        <v>51</v>
      </c>
      <c r="AK3247" t="s">
        <v>51</v>
      </c>
    </row>
    <row r="3248" spans="1:37" x14ac:dyDescent="0.2">
      <c r="A3248">
        <v>56695</v>
      </c>
      <c r="B3248" t="s">
        <v>37</v>
      </c>
      <c r="C3248" t="s">
        <v>38</v>
      </c>
      <c r="D3248" t="s">
        <v>606</v>
      </c>
      <c r="E3248" t="s">
        <v>619</v>
      </c>
      <c r="G3248" s="4">
        <v>43945.028287037037</v>
      </c>
      <c r="H3248" s="4">
        <v>43945.028287037037</v>
      </c>
      <c r="I3248" t="s">
        <v>50</v>
      </c>
      <c r="J3248" s="5">
        <v>0</v>
      </c>
      <c r="K3248" t="s">
        <v>38</v>
      </c>
      <c r="M3248">
        <v>56696</v>
      </c>
      <c r="N3248" t="s">
        <v>619</v>
      </c>
      <c r="O3248" t="s">
        <v>620</v>
      </c>
      <c r="P3248" t="s">
        <v>38</v>
      </c>
      <c r="Q3248" t="s">
        <v>50</v>
      </c>
      <c r="R3248">
        <v>0</v>
      </c>
      <c r="S3248" t="s">
        <v>45</v>
      </c>
      <c r="T3248" t="str" s="2">
        <f>=HYPERLINK("http://demo.enginatics.com:80/ecc/user/applications/log/56695.log","http://demo.enginatics.com:80/ecc/user/applications/log/56695.log")</f>
        <v>"http://demo.enginatics.com:80/ecc/user/applications/log/56695.log")</v>
      </c>
      <c r="U3248">
        <v>56697</v>
      </c>
      <c r="V3248" t="s">
        <v>38</v>
      </c>
      <c r="W3248" t="s">
        <v>50</v>
      </c>
      <c r="X3248">
        <v>0</v>
      </c>
      <c r="Y3248">
        <v>0</v>
      </c>
      <c r="Z3248" t="s">
        <v>46</v>
      </c>
      <c r="AA3248">
        <v>56698</v>
      </c>
      <c r="AB3248" t="s">
        <v>622</v>
      </c>
      <c r="AC3248" t="s">
        <v>56</v>
      </c>
      <c r="AD3248" t="s">
        <v>38</v>
      </c>
      <c r="AE3248" t="s">
        <v>49</v>
      </c>
      <c r="AF3248" t="s">
        <v>50</v>
      </c>
      <c r="AG3248">
        <v>0</v>
      </c>
      <c r="AH3248">
        <v>0</v>
      </c>
      <c r="AI3248" t="s">
        <v>51</v>
      </c>
      <c r="AJ3248" t="s">
        <v>51</v>
      </c>
      <c r="AK3248" t="s">
        <v>51</v>
      </c>
    </row>
    <row r="3249" spans="1:37" x14ac:dyDescent="0.2">
      <c r="A3249">
        <v>56676</v>
      </c>
      <c r="B3249" t="s">
        <v>37</v>
      </c>
      <c r="C3249" t="s">
        <v>38</v>
      </c>
      <c r="D3249" t="s">
        <v>623</v>
      </c>
      <c r="E3249" t="s">
        <v>624</v>
      </c>
      <c r="G3249" s="4">
        <v>43945.024652777778</v>
      </c>
      <c r="H3249" s="4">
        <v>43945.024664351852</v>
      </c>
      <c r="I3249" t="s">
        <v>50</v>
      </c>
      <c r="J3249" s="5">
        <v>.9999999999999999999999999999999999999996</v>
      </c>
      <c r="K3249" t="s">
        <v>38</v>
      </c>
      <c r="M3249">
        <v>56677</v>
      </c>
      <c r="N3249" t="s">
        <v>624</v>
      </c>
      <c r="O3249" t="s">
        <v>623</v>
      </c>
      <c r="P3249" t="s">
        <v>38</v>
      </c>
      <c r="Q3249" t="s">
        <v>50</v>
      </c>
      <c r="R3249">
        <v>.9999999999999999999999999999999999999996</v>
      </c>
      <c r="S3249" t="s">
        <v>45</v>
      </c>
      <c r="T3249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49">
        <v>56678</v>
      </c>
      <c r="V3249" t="s">
        <v>38</v>
      </c>
      <c r="W3249" t="s">
        <v>50</v>
      </c>
      <c r="X3249">
        <v>.9999999999999999999999999999999999999996</v>
      </c>
      <c r="Y3249">
        <v>0</v>
      </c>
      <c r="Z3249" t="s">
        <v>46</v>
      </c>
      <c r="AA3249">
        <v>56694</v>
      </c>
      <c r="AB3249" t="s">
        <v>625</v>
      </c>
      <c r="AC3249" t="s">
        <v>56</v>
      </c>
      <c r="AD3249" t="s">
        <v>38</v>
      </c>
      <c r="AE3249" t="s">
        <v>49</v>
      </c>
      <c r="AF3249" t="s">
        <v>50</v>
      </c>
      <c r="AG3249">
        <v>.9999999999999999999999999999999999999996</v>
      </c>
      <c r="AH3249">
        <v>0</v>
      </c>
      <c r="AI3249" t="s">
        <v>51</v>
      </c>
      <c r="AJ3249" t="s">
        <v>51</v>
      </c>
      <c r="AK3249" t="s">
        <v>51</v>
      </c>
    </row>
    <row r="3250" spans="1:37" x14ac:dyDescent="0.2">
      <c r="A3250">
        <v>56676</v>
      </c>
      <c r="B3250" t="s">
        <v>37</v>
      </c>
      <c r="C3250" t="s">
        <v>38</v>
      </c>
      <c r="D3250" t="s">
        <v>623</v>
      </c>
      <c r="E3250" t="s">
        <v>624</v>
      </c>
      <c r="G3250" s="4">
        <v>43945.024652777778</v>
      </c>
      <c r="H3250" s="4">
        <v>43945.024664351852</v>
      </c>
      <c r="I3250" t="s">
        <v>50</v>
      </c>
      <c r="J3250" s="5">
        <v>.9999999999999999999999999999999999999996</v>
      </c>
      <c r="K3250" t="s">
        <v>38</v>
      </c>
      <c r="M3250">
        <v>56677</v>
      </c>
      <c r="N3250" t="s">
        <v>624</v>
      </c>
      <c r="O3250" t="s">
        <v>623</v>
      </c>
      <c r="P3250" t="s">
        <v>38</v>
      </c>
      <c r="Q3250" t="s">
        <v>50</v>
      </c>
      <c r="R3250">
        <v>.9999999999999999999999999999999999999996</v>
      </c>
      <c r="S3250" t="s">
        <v>45</v>
      </c>
      <c r="T3250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0">
        <v>56678</v>
      </c>
      <c r="V3250" t="s">
        <v>38</v>
      </c>
      <c r="W3250" t="s">
        <v>50</v>
      </c>
      <c r="X3250">
        <v>.9999999999999999999999999999999999999996</v>
      </c>
      <c r="Y3250">
        <v>0</v>
      </c>
      <c r="Z3250" t="s">
        <v>46</v>
      </c>
      <c r="AA3250">
        <v>56693</v>
      </c>
      <c r="AB3250" t="s">
        <v>626</v>
      </c>
      <c r="AC3250" t="s">
        <v>56</v>
      </c>
      <c r="AD3250" t="s">
        <v>38</v>
      </c>
      <c r="AE3250" t="s">
        <v>49</v>
      </c>
      <c r="AF3250" t="s">
        <v>50</v>
      </c>
      <c r="AG3250">
        <v>0</v>
      </c>
      <c r="AH3250">
        <v>0</v>
      </c>
      <c r="AI3250" t="s">
        <v>51</v>
      </c>
      <c r="AJ3250" t="s">
        <v>51</v>
      </c>
      <c r="AK3250" t="s">
        <v>51</v>
      </c>
    </row>
    <row r="3251" spans="1:37" x14ac:dyDescent="0.2">
      <c r="A3251">
        <v>56676</v>
      </c>
      <c r="B3251" t="s">
        <v>37</v>
      </c>
      <c r="C3251" t="s">
        <v>38</v>
      </c>
      <c r="D3251" t="s">
        <v>623</v>
      </c>
      <c r="E3251" t="s">
        <v>624</v>
      </c>
      <c r="G3251" s="4">
        <v>43945.024652777778</v>
      </c>
      <c r="H3251" s="4">
        <v>43945.024664351852</v>
      </c>
      <c r="I3251" t="s">
        <v>50</v>
      </c>
      <c r="J3251" s="5">
        <v>.9999999999999999999999999999999999999996</v>
      </c>
      <c r="K3251" t="s">
        <v>38</v>
      </c>
      <c r="M3251">
        <v>56677</v>
      </c>
      <c r="N3251" t="s">
        <v>624</v>
      </c>
      <c r="O3251" t="s">
        <v>623</v>
      </c>
      <c r="P3251" t="s">
        <v>38</v>
      </c>
      <c r="Q3251" t="s">
        <v>50</v>
      </c>
      <c r="R3251">
        <v>.9999999999999999999999999999999999999996</v>
      </c>
      <c r="S3251" t="s">
        <v>45</v>
      </c>
      <c r="T3251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1">
        <v>56678</v>
      </c>
      <c r="V3251" t="s">
        <v>38</v>
      </c>
      <c r="W3251" t="s">
        <v>50</v>
      </c>
      <c r="X3251">
        <v>.9999999999999999999999999999999999999996</v>
      </c>
      <c r="Y3251">
        <v>0</v>
      </c>
      <c r="Z3251" t="s">
        <v>46</v>
      </c>
      <c r="AA3251">
        <v>56692</v>
      </c>
      <c r="AB3251" t="s">
        <v>627</v>
      </c>
      <c r="AC3251" t="s">
        <v>56</v>
      </c>
      <c r="AD3251" t="s">
        <v>38</v>
      </c>
      <c r="AE3251" t="s">
        <v>49</v>
      </c>
      <c r="AF3251" t="s">
        <v>50</v>
      </c>
      <c r="AG3251">
        <v>0</v>
      </c>
      <c r="AH3251">
        <v>0</v>
      </c>
      <c r="AI3251" t="s">
        <v>51</v>
      </c>
      <c r="AJ3251" t="s">
        <v>51</v>
      </c>
      <c r="AK3251" t="s">
        <v>51</v>
      </c>
    </row>
    <row r="3252" spans="1:37" x14ac:dyDescent="0.2">
      <c r="A3252">
        <v>56676</v>
      </c>
      <c r="B3252" t="s">
        <v>37</v>
      </c>
      <c r="C3252" t="s">
        <v>38</v>
      </c>
      <c r="D3252" t="s">
        <v>623</v>
      </c>
      <c r="E3252" t="s">
        <v>624</v>
      </c>
      <c r="G3252" s="4">
        <v>43945.024652777778</v>
      </c>
      <c r="H3252" s="4">
        <v>43945.024664351852</v>
      </c>
      <c r="I3252" t="s">
        <v>50</v>
      </c>
      <c r="J3252" s="5">
        <v>.9999999999999999999999999999999999999996</v>
      </c>
      <c r="K3252" t="s">
        <v>38</v>
      </c>
      <c r="M3252">
        <v>56677</v>
      </c>
      <c r="N3252" t="s">
        <v>624</v>
      </c>
      <c r="O3252" t="s">
        <v>623</v>
      </c>
      <c r="P3252" t="s">
        <v>38</v>
      </c>
      <c r="Q3252" t="s">
        <v>50</v>
      </c>
      <c r="R3252">
        <v>.9999999999999999999999999999999999999996</v>
      </c>
      <c r="S3252" t="s">
        <v>45</v>
      </c>
      <c r="T3252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2">
        <v>56678</v>
      </c>
      <c r="V3252" t="s">
        <v>38</v>
      </c>
      <c r="W3252" t="s">
        <v>50</v>
      </c>
      <c r="X3252">
        <v>.9999999999999999999999999999999999999996</v>
      </c>
      <c r="Y3252">
        <v>0</v>
      </c>
      <c r="Z3252" t="s">
        <v>46</v>
      </c>
      <c r="AA3252">
        <v>56691</v>
      </c>
      <c r="AB3252" t="s">
        <v>628</v>
      </c>
      <c r="AC3252" t="s">
        <v>56</v>
      </c>
      <c r="AD3252" t="s">
        <v>38</v>
      </c>
      <c r="AE3252" t="s">
        <v>49</v>
      </c>
      <c r="AF3252" t="s">
        <v>50</v>
      </c>
      <c r="AG3252">
        <v>0</v>
      </c>
      <c r="AH3252">
        <v>0</v>
      </c>
      <c r="AI3252" t="s">
        <v>51</v>
      </c>
      <c r="AJ3252" t="s">
        <v>51</v>
      </c>
      <c r="AK3252" t="s">
        <v>51</v>
      </c>
    </row>
    <row r="3253" spans="1:37" x14ac:dyDescent="0.2">
      <c r="A3253">
        <v>56676</v>
      </c>
      <c r="B3253" t="s">
        <v>37</v>
      </c>
      <c r="C3253" t="s">
        <v>38</v>
      </c>
      <c r="D3253" t="s">
        <v>623</v>
      </c>
      <c r="E3253" t="s">
        <v>624</v>
      </c>
      <c r="G3253" s="4">
        <v>43945.024652777778</v>
      </c>
      <c r="H3253" s="4">
        <v>43945.024664351852</v>
      </c>
      <c r="I3253" t="s">
        <v>50</v>
      </c>
      <c r="J3253" s="5">
        <v>.9999999999999999999999999999999999999996</v>
      </c>
      <c r="K3253" t="s">
        <v>38</v>
      </c>
      <c r="M3253">
        <v>56677</v>
      </c>
      <c r="N3253" t="s">
        <v>624</v>
      </c>
      <c r="O3253" t="s">
        <v>623</v>
      </c>
      <c r="P3253" t="s">
        <v>38</v>
      </c>
      <c r="Q3253" t="s">
        <v>50</v>
      </c>
      <c r="R3253">
        <v>.9999999999999999999999999999999999999996</v>
      </c>
      <c r="S3253" t="s">
        <v>45</v>
      </c>
      <c r="T3253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3">
        <v>56678</v>
      </c>
      <c r="V3253" t="s">
        <v>38</v>
      </c>
      <c r="W3253" t="s">
        <v>50</v>
      </c>
      <c r="X3253">
        <v>.9999999999999999999999999999999999999996</v>
      </c>
      <c r="Y3253">
        <v>0</v>
      </c>
      <c r="Z3253" t="s">
        <v>46</v>
      </c>
      <c r="AA3253">
        <v>56690</v>
      </c>
      <c r="AB3253" t="s">
        <v>629</v>
      </c>
      <c r="AC3253" t="s">
        <v>56</v>
      </c>
      <c r="AD3253" t="s">
        <v>38</v>
      </c>
      <c r="AE3253" t="s">
        <v>49</v>
      </c>
      <c r="AF3253" t="s">
        <v>50</v>
      </c>
      <c r="AG3253">
        <v>0</v>
      </c>
      <c r="AH3253">
        <v>0</v>
      </c>
      <c r="AI3253" t="s">
        <v>51</v>
      </c>
      <c r="AJ3253" t="s">
        <v>51</v>
      </c>
      <c r="AK3253" t="s">
        <v>51</v>
      </c>
    </row>
    <row r="3254" spans="1:37" x14ac:dyDescent="0.2">
      <c r="A3254">
        <v>56676</v>
      </c>
      <c r="B3254" t="s">
        <v>37</v>
      </c>
      <c r="C3254" t="s">
        <v>38</v>
      </c>
      <c r="D3254" t="s">
        <v>623</v>
      </c>
      <c r="E3254" t="s">
        <v>624</v>
      </c>
      <c r="G3254" s="4">
        <v>43945.024652777778</v>
      </c>
      <c r="H3254" s="4">
        <v>43945.024664351852</v>
      </c>
      <c r="I3254" t="s">
        <v>50</v>
      </c>
      <c r="J3254" s="5">
        <v>.9999999999999999999999999999999999999996</v>
      </c>
      <c r="K3254" t="s">
        <v>38</v>
      </c>
      <c r="M3254">
        <v>56677</v>
      </c>
      <c r="N3254" t="s">
        <v>624</v>
      </c>
      <c r="O3254" t="s">
        <v>623</v>
      </c>
      <c r="P3254" t="s">
        <v>38</v>
      </c>
      <c r="Q3254" t="s">
        <v>50</v>
      </c>
      <c r="R3254">
        <v>.9999999999999999999999999999999999999996</v>
      </c>
      <c r="S3254" t="s">
        <v>45</v>
      </c>
      <c r="T3254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4">
        <v>56678</v>
      </c>
      <c r="V3254" t="s">
        <v>38</v>
      </c>
      <c r="W3254" t="s">
        <v>50</v>
      </c>
      <c r="X3254">
        <v>.9999999999999999999999999999999999999996</v>
      </c>
      <c r="Y3254">
        <v>0</v>
      </c>
      <c r="Z3254" t="s">
        <v>46</v>
      </c>
      <c r="AA3254">
        <v>56689</v>
      </c>
      <c r="AB3254" t="s">
        <v>630</v>
      </c>
      <c r="AC3254" t="s">
        <v>56</v>
      </c>
      <c r="AD3254" t="s">
        <v>38</v>
      </c>
      <c r="AE3254" t="s">
        <v>49</v>
      </c>
      <c r="AF3254" t="s">
        <v>50</v>
      </c>
      <c r="AG3254">
        <v>0</v>
      </c>
      <c r="AH3254">
        <v>0</v>
      </c>
      <c r="AI3254" t="s">
        <v>51</v>
      </c>
      <c r="AJ3254" t="s">
        <v>51</v>
      </c>
      <c r="AK3254" t="s">
        <v>51</v>
      </c>
    </row>
    <row r="3255" spans="1:37" x14ac:dyDescent="0.2">
      <c r="A3255">
        <v>56676</v>
      </c>
      <c r="B3255" t="s">
        <v>37</v>
      </c>
      <c r="C3255" t="s">
        <v>38</v>
      </c>
      <c r="D3255" t="s">
        <v>623</v>
      </c>
      <c r="E3255" t="s">
        <v>624</v>
      </c>
      <c r="G3255" s="4">
        <v>43945.024652777778</v>
      </c>
      <c r="H3255" s="4">
        <v>43945.024664351852</v>
      </c>
      <c r="I3255" t="s">
        <v>50</v>
      </c>
      <c r="J3255" s="5">
        <v>.9999999999999999999999999999999999999996</v>
      </c>
      <c r="K3255" t="s">
        <v>38</v>
      </c>
      <c r="M3255">
        <v>56677</v>
      </c>
      <c r="N3255" t="s">
        <v>624</v>
      </c>
      <c r="O3255" t="s">
        <v>623</v>
      </c>
      <c r="P3255" t="s">
        <v>38</v>
      </c>
      <c r="Q3255" t="s">
        <v>50</v>
      </c>
      <c r="R3255">
        <v>.9999999999999999999999999999999999999996</v>
      </c>
      <c r="S3255" t="s">
        <v>45</v>
      </c>
      <c r="T3255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5">
        <v>56678</v>
      </c>
      <c r="V3255" t="s">
        <v>38</v>
      </c>
      <c r="W3255" t="s">
        <v>50</v>
      </c>
      <c r="X3255">
        <v>.9999999999999999999999999999999999999996</v>
      </c>
      <c r="Y3255">
        <v>0</v>
      </c>
      <c r="Z3255" t="s">
        <v>46</v>
      </c>
      <c r="AA3255">
        <v>56688</v>
      </c>
      <c r="AB3255" t="s">
        <v>631</v>
      </c>
      <c r="AC3255" t="s">
        <v>56</v>
      </c>
      <c r="AD3255" t="s">
        <v>38</v>
      </c>
      <c r="AE3255" t="s">
        <v>49</v>
      </c>
      <c r="AF3255" t="s">
        <v>50</v>
      </c>
      <c r="AG3255">
        <v>0</v>
      </c>
      <c r="AH3255">
        <v>0</v>
      </c>
      <c r="AI3255" t="s">
        <v>51</v>
      </c>
      <c r="AJ3255" t="s">
        <v>51</v>
      </c>
      <c r="AK3255" t="s">
        <v>51</v>
      </c>
    </row>
    <row r="3256" spans="1:37" x14ac:dyDescent="0.2">
      <c r="A3256">
        <v>56676</v>
      </c>
      <c r="B3256" t="s">
        <v>37</v>
      </c>
      <c r="C3256" t="s">
        <v>38</v>
      </c>
      <c r="D3256" t="s">
        <v>623</v>
      </c>
      <c r="E3256" t="s">
        <v>624</v>
      </c>
      <c r="G3256" s="4">
        <v>43945.024652777778</v>
      </c>
      <c r="H3256" s="4">
        <v>43945.024664351852</v>
      </c>
      <c r="I3256" t="s">
        <v>50</v>
      </c>
      <c r="J3256" s="5">
        <v>.9999999999999999999999999999999999999996</v>
      </c>
      <c r="K3256" t="s">
        <v>38</v>
      </c>
      <c r="M3256">
        <v>56677</v>
      </c>
      <c r="N3256" t="s">
        <v>624</v>
      </c>
      <c r="O3256" t="s">
        <v>623</v>
      </c>
      <c r="P3256" t="s">
        <v>38</v>
      </c>
      <c r="Q3256" t="s">
        <v>50</v>
      </c>
      <c r="R3256">
        <v>.9999999999999999999999999999999999999996</v>
      </c>
      <c r="S3256" t="s">
        <v>45</v>
      </c>
      <c r="T3256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6">
        <v>56678</v>
      </c>
      <c r="V3256" t="s">
        <v>38</v>
      </c>
      <c r="W3256" t="s">
        <v>50</v>
      </c>
      <c r="X3256">
        <v>.9999999999999999999999999999999999999996</v>
      </c>
      <c r="Y3256">
        <v>0</v>
      </c>
      <c r="Z3256" t="s">
        <v>46</v>
      </c>
      <c r="AA3256">
        <v>56687</v>
      </c>
      <c r="AB3256" t="s">
        <v>632</v>
      </c>
      <c r="AC3256" t="s">
        <v>56</v>
      </c>
      <c r="AD3256" t="s">
        <v>38</v>
      </c>
      <c r="AE3256" t="s">
        <v>49</v>
      </c>
      <c r="AF3256" t="s">
        <v>50</v>
      </c>
      <c r="AG3256">
        <v>0</v>
      </c>
      <c r="AH3256">
        <v>0</v>
      </c>
      <c r="AI3256" t="s">
        <v>51</v>
      </c>
      <c r="AJ3256" t="s">
        <v>51</v>
      </c>
      <c r="AK3256" t="s">
        <v>51</v>
      </c>
    </row>
    <row r="3257" spans="1:37" x14ac:dyDescent="0.2">
      <c r="A3257">
        <v>56676</v>
      </c>
      <c r="B3257" t="s">
        <v>37</v>
      </c>
      <c r="C3257" t="s">
        <v>38</v>
      </c>
      <c r="D3257" t="s">
        <v>623</v>
      </c>
      <c r="E3257" t="s">
        <v>624</v>
      </c>
      <c r="G3257" s="4">
        <v>43945.024652777778</v>
      </c>
      <c r="H3257" s="4">
        <v>43945.024664351852</v>
      </c>
      <c r="I3257" t="s">
        <v>50</v>
      </c>
      <c r="J3257" s="5">
        <v>.9999999999999999999999999999999999999996</v>
      </c>
      <c r="K3257" t="s">
        <v>38</v>
      </c>
      <c r="M3257">
        <v>56677</v>
      </c>
      <c r="N3257" t="s">
        <v>624</v>
      </c>
      <c r="O3257" t="s">
        <v>623</v>
      </c>
      <c r="P3257" t="s">
        <v>38</v>
      </c>
      <c r="Q3257" t="s">
        <v>50</v>
      </c>
      <c r="R3257">
        <v>.9999999999999999999999999999999999999996</v>
      </c>
      <c r="S3257" t="s">
        <v>45</v>
      </c>
      <c r="T3257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7">
        <v>56678</v>
      </c>
      <c r="V3257" t="s">
        <v>38</v>
      </c>
      <c r="W3257" t="s">
        <v>50</v>
      </c>
      <c r="X3257">
        <v>.9999999999999999999999999999999999999996</v>
      </c>
      <c r="Y3257">
        <v>0</v>
      </c>
      <c r="Z3257" t="s">
        <v>46</v>
      </c>
      <c r="AA3257">
        <v>56686</v>
      </c>
      <c r="AB3257" t="s">
        <v>2427</v>
      </c>
      <c r="AC3257" t="s">
        <v>103</v>
      </c>
      <c r="AD3257" t="s">
        <v>38</v>
      </c>
      <c r="AE3257" t="s">
        <v>49</v>
      </c>
      <c r="AF3257" t="s">
        <v>50</v>
      </c>
      <c r="AG3257">
        <v>0</v>
      </c>
      <c r="AH3257">
        <v>0</v>
      </c>
      <c r="AI3257" t="s">
        <v>51</v>
      </c>
      <c r="AJ3257" t="s">
        <v>51</v>
      </c>
      <c r="AK3257" t="s">
        <v>51</v>
      </c>
    </row>
    <row r="3258" spans="1:37" x14ac:dyDescent="0.2">
      <c r="A3258">
        <v>56676</v>
      </c>
      <c r="B3258" t="s">
        <v>37</v>
      </c>
      <c r="C3258" t="s">
        <v>38</v>
      </c>
      <c r="D3258" t="s">
        <v>623</v>
      </c>
      <c r="E3258" t="s">
        <v>624</v>
      </c>
      <c r="G3258" s="4">
        <v>43945.024652777778</v>
      </c>
      <c r="H3258" s="4">
        <v>43945.024664351852</v>
      </c>
      <c r="I3258" t="s">
        <v>50</v>
      </c>
      <c r="J3258" s="5">
        <v>.9999999999999999999999999999999999999996</v>
      </c>
      <c r="K3258" t="s">
        <v>38</v>
      </c>
      <c r="M3258">
        <v>56677</v>
      </c>
      <c r="N3258" t="s">
        <v>624</v>
      </c>
      <c r="O3258" t="s">
        <v>623</v>
      </c>
      <c r="P3258" t="s">
        <v>38</v>
      </c>
      <c r="Q3258" t="s">
        <v>50</v>
      </c>
      <c r="R3258">
        <v>.9999999999999999999999999999999999999996</v>
      </c>
      <c r="S3258" t="s">
        <v>45</v>
      </c>
      <c r="T3258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8">
        <v>56678</v>
      </c>
      <c r="V3258" t="s">
        <v>38</v>
      </c>
      <c r="W3258" t="s">
        <v>50</v>
      </c>
      <c r="X3258">
        <v>.9999999999999999999999999999999999999996</v>
      </c>
      <c r="Y3258">
        <v>0</v>
      </c>
      <c r="Z3258" t="s">
        <v>46</v>
      </c>
      <c r="AA3258">
        <v>56685</v>
      </c>
      <c r="AB3258" t="s">
        <v>2428</v>
      </c>
      <c r="AC3258" t="s">
        <v>103</v>
      </c>
      <c r="AD3258" t="s">
        <v>38</v>
      </c>
      <c r="AE3258" t="s">
        <v>49</v>
      </c>
      <c r="AF3258" t="s">
        <v>50</v>
      </c>
      <c r="AG3258">
        <v>0</v>
      </c>
      <c r="AH3258">
        <v>0</v>
      </c>
      <c r="AI3258" t="s">
        <v>51</v>
      </c>
      <c r="AJ3258" t="s">
        <v>51</v>
      </c>
      <c r="AK3258" t="s">
        <v>51</v>
      </c>
    </row>
    <row r="3259" spans="1:37" x14ac:dyDescent="0.2">
      <c r="A3259">
        <v>56676</v>
      </c>
      <c r="B3259" t="s">
        <v>37</v>
      </c>
      <c r="C3259" t="s">
        <v>38</v>
      </c>
      <c r="D3259" t="s">
        <v>623</v>
      </c>
      <c r="E3259" t="s">
        <v>624</v>
      </c>
      <c r="G3259" s="4">
        <v>43945.024652777778</v>
      </c>
      <c r="H3259" s="4">
        <v>43945.024664351852</v>
      </c>
      <c r="I3259" t="s">
        <v>50</v>
      </c>
      <c r="J3259" s="5">
        <v>.9999999999999999999999999999999999999996</v>
      </c>
      <c r="K3259" t="s">
        <v>38</v>
      </c>
      <c r="M3259">
        <v>56677</v>
      </c>
      <c r="N3259" t="s">
        <v>624</v>
      </c>
      <c r="O3259" t="s">
        <v>623</v>
      </c>
      <c r="P3259" t="s">
        <v>38</v>
      </c>
      <c r="Q3259" t="s">
        <v>50</v>
      </c>
      <c r="R3259">
        <v>.9999999999999999999999999999999999999996</v>
      </c>
      <c r="S3259" t="s">
        <v>45</v>
      </c>
      <c r="T3259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59">
        <v>56678</v>
      </c>
      <c r="V3259" t="s">
        <v>38</v>
      </c>
      <c r="W3259" t="s">
        <v>50</v>
      </c>
      <c r="X3259">
        <v>.9999999999999999999999999999999999999996</v>
      </c>
      <c r="Y3259">
        <v>0</v>
      </c>
      <c r="Z3259" t="s">
        <v>46</v>
      </c>
      <c r="AA3259">
        <v>56684</v>
      </c>
      <c r="AB3259" t="s">
        <v>2429</v>
      </c>
      <c r="AC3259" t="s">
        <v>103</v>
      </c>
      <c r="AD3259" t="s">
        <v>38</v>
      </c>
      <c r="AE3259" t="s">
        <v>49</v>
      </c>
      <c r="AF3259" t="s">
        <v>50</v>
      </c>
      <c r="AG3259">
        <v>0</v>
      </c>
      <c r="AH3259">
        <v>0</v>
      </c>
      <c r="AI3259" t="s">
        <v>51</v>
      </c>
      <c r="AJ3259" t="s">
        <v>51</v>
      </c>
      <c r="AK3259" t="s">
        <v>51</v>
      </c>
    </row>
    <row r="3260" spans="1:37" x14ac:dyDescent="0.2">
      <c r="A3260">
        <v>56676</v>
      </c>
      <c r="B3260" t="s">
        <v>37</v>
      </c>
      <c r="C3260" t="s">
        <v>38</v>
      </c>
      <c r="D3260" t="s">
        <v>623</v>
      </c>
      <c r="E3260" t="s">
        <v>624</v>
      </c>
      <c r="G3260" s="4">
        <v>43945.024652777778</v>
      </c>
      <c r="H3260" s="4">
        <v>43945.024664351852</v>
      </c>
      <c r="I3260" t="s">
        <v>50</v>
      </c>
      <c r="J3260" s="5">
        <v>.9999999999999999999999999999999999999996</v>
      </c>
      <c r="K3260" t="s">
        <v>38</v>
      </c>
      <c r="M3260">
        <v>56677</v>
      </c>
      <c r="N3260" t="s">
        <v>624</v>
      </c>
      <c r="O3260" t="s">
        <v>623</v>
      </c>
      <c r="P3260" t="s">
        <v>38</v>
      </c>
      <c r="Q3260" t="s">
        <v>50</v>
      </c>
      <c r="R3260">
        <v>.9999999999999999999999999999999999999996</v>
      </c>
      <c r="S3260" t="s">
        <v>45</v>
      </c>
      <c r="T3260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60">
        <v>56678</v>
      </c>
      <c r="V3260" t="s">
        <v>38</v>
      </c>
      <c r="W3260" t="s">
        <v>50</v>
      </c>
      <c r="X3260">
        <v>.9999999999999999999999999999999999999996</v>
      </c>
      <c r="Y3260">
        <v>0</v>
      </c>
      <c r="Z3260" t="s">
        <v>46</v>
      </c>
      <c r="AA3260">
        <v>56683</v>
      </c>
      <c r="AB3260" t="s">
        <v>2430</v>
      </c>
      <c r="AC3260" t="s">
        <v>103</v>
      </c>
      <c r="AD3260" t="s">
        <v>38</v>
      </c>
      <c r="AE3260" t="s">
        <v>49</v>
      </c>
      <c r="AF3260" t="s">
        <v>50</v>
      </c>
      <c r="AG3260">
        <v>0</v>
      </c>
      <c r="AH3260">
        <v>0</v>
      </c>
      <c r="AI3260" t="s">
        <v>51</v>
      </c>
      <c r="AJ3260" t="s">
        <v>51</v>
      </c>
      <c r="AK3260" t="s">
        <v>51</v>
      </c>
    </row>
    <row r="3261" spans="1:37" x14ac:dyDescent="0.2">
      <c r="A3261">
        <v>56676</v>
      </c>
      <c r="B3261" t="s">
        <v>37</v>
      </c>
      <c r="C3261" t="s">
        <v>38</v>
      </c>
      <c r="D3261" t="s">
        <v>623</v>
      </c>
      <c r="E3261" t="s">
        <v>624</v>
      </c>
      <c r="G3261" s="4">
        <v>43945.024652777778</v>
      </c>
      <c r="H3261" s="4">
        <v>43945.024664351852</v>
      </c>
      <c r="I3261" t="s">
        <v>50</v>
      </c>
      <c r="J3261" s="5">
        <v>.9999999999999999999999999999999999999996</v>
      </c>
      <c r="K3261" t="s">
        <v>38</v>
      </c>
      <c r="M3261">
        <v>56677</v>
      </c>
      <c r="N3261" t="s">
        <v>624</v>
      </c>
      <c r="O3261" t="s">
        <v>623</v>
      </c>
      <c r="P3261" t="s">
        <v>38</v>
      </c>
      <c r="Q3261" t="s">
        <v>50</v>
      </c>
      <c r="R3261">
        <v>.9999999999999999999999999999999999999996</v>
      </c>
      <c r="S3261" t="s">
        <v>45</v>
      </c>
      <c r="T3261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61">
        <v>56678</v>
      </c>
      <c r="V3261" t="s">
        <v>38</v>
      </c>
      <c r="W3261" t="s">
        <v>50</v>
      </c>
      <c r="X3261">
        <v>.9999999999999999999999999999999999999996</v>
      </c>
      <c r="Y3261">
        <v>0</v>
      </c>
      <c r="Z3261" t="s">
        <v>46</v>
      </c>
      <c r="AA3261">
        <v>56682</v>
      </c>
      <c r="AB3261" t="s">
        <v>2431</v>
      </c>
      <c r="AC3261" t="s">
        <v>103</v>
      </c>
      <c r="AD3261" t="s">
        <v>38</v>
      </c>
      <c r="AE3261" t="s">
        <v>49</v>
      </c>
      <c r="AF3261" t="s">
        <v>50</v>
      </c>
      <c r="AG3261">
        <v>0</v>
      </c>
      <c r="AH3261">
        <v>0</v>
      </c>
      <c r="AI3261" t="s">
        <v>51</v>
      </c>
      <c r="AJ3261" t="s">
        <v>51</v>
      </c>
      <c r="AK3261" t="s">
        <v>51</v>
      </c>
    </row>
    <row r="3262" spans="1:37" x14ac:dyDescent="0.2">
      <c r="A3262">
        <v>56676</v>
      </c>
      <c r="B3262" t="s">
        <v>37</v>
      </c>
      <c r="C3262" t="s">
        <v>38</v>
      </c>
      <c r="D3262" t="s">
        <v>623</v>
      </c>
      <c r="E3262" t="s">
        <v>624</v>
      </c>
      <c r="G3262" s="4">
        <v>43945.024652777778</v>
      </c>
      <c r="H3262" s="4">
        <v>43945.024664351852</v>
      </c>
      <c r="I3262" t="s">
        <v>50</v>
      </c>
      <c r="J3262" s="5">
        <v>.9999999999999999999999999999999999999996</v>
      </c>
      <c r="K3262" t="s">
        <v>38</v>
      </c>
      <c r="M3262">
        <v>56677</v>
      </c>
      <c r="N3262" t="s">
        <v>624</v>
      </c>
      <c r="O3262" t="s">
        <v>623</v>
      </c>
      <c r="P3262" t="s">
        <v>38</v>
      </c>
      <c r="Q3262" t="s">
        <v>50</v>
      </c>
      <c r="R3262">
        <v>.9999999999999999999999999999999999999996</v>
      </c>
      <c r="S3262" t="s">
        <v>45</v>
      </c>
      <c r="T3262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62">
        <v>56678</v>
      </c>
      <c r="V3262" t="s">
        <v>38</v>
      </c>
      <c r="W3262" t="s">
        <v>50</v>
      </c>
      <c r="X3262">
        <v>.9999999999999999999999999999999999999996</v>
      </c>
      <c r="Y3262">
        <v>0</v>
      </c>
      <c r="Z3262" t="s">
        <v>46</v>
      </c>
      <c r="AA3262">
        <v>56681</v>
      </c>
      <c r="AB3262" t="s">
        <v>2432</v>
      </c>
      <c r="AC3262" t="s">
        <v>103</v>
      </c>
      <c r="AD3262" t="s">
        <v>38</v>
      </c>
      <c r="AE3262" t="s">
        <v>49</v>
      </c>
      <c r="AF3262" t="s">
        <v>50</v>
      </c>
      <c r="AG3262">
        <v>0</v>
      </c>
      <c r="AH3262">
        <v>0</v>
      </c>
      <c r="AI3262" t="s">
        <v>51</v>
      </c>
      <c r="AJ3262" t="s">
        <v>51</v>
      </c>
      <c r="AK3262" t="s">
        <v>51</v>
      </c>
    </row>
    <row r="3263" spans="1:37" x14ac:dyDescent="0.2">
      <c r="A3263">
        <v>56676</v>
      </c>
      <c r="B3263" t="s">
        <v>37</v>
      </c>
      <c r="C3263" t="s">
        <v>38</v>
      </c>
      <c r="D3263" t="s">
        <v>623</v>
      </c>
      <c r="E3263" t="s">
        <v>624</v>
      </c>
      <c r="G3263" s="4">
        <v>43945.024652777778</v>
      </c>
      <c r="H3263" s="4">
        <v>43945.024664351852</v>
      </c>
      <c r="I3263" t="s">
        <v>50</v>
      </c>
      <c r="J3263" s="5">
        <v>.9999999999999999999999999999999999999996</v>
      </c>
      <c r="K3263" t="s">
        <v>38</v>
      </c>
      <c r="M3263">
        <v>56677</v>
      </c>
      <c r="N3263" t="s">
        <v>624</v>
      </c>
      <c r="O3263" t="s">
        <v>623</v>
      </c>
      <c r="P3263" t="s">
        <v>38</v>
      </c>
      <c r="Q3263" t="s">
        <v>50</v>
      </c>
      <c r="R3263">
        <v>.9999999999999999999999999999999999999996</v>
      </c>
      <c r="S3263" t="s">
        <v>45</v>
      </c>
      <c r="T3263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63">
        <v>56678</v>
      </c>
      <c r="V3263" t="s">
        <v>38</v>
      </c>
      <c r="W3263" t="s">
        <v>50</v>
      </c>
      <c r="X3263">
        <v>.9999999999999999999999999999999999999996</v>
      </c>
      <c r="Y3263">
        <v>0</v>
      </c>
      <c r="Z3263" t="s">
        <v>46</v>
      </c>
      <c r="AA3263">
        <v>56680</v>
      </c>
      <c r="AB3263" t="s">
        <v>2433</v>
      </c>
      <c r="AC3263" t="s">
        <v>103</v>
      </c>
      <c r="AD3263" t="s">
        <v>38</v>
      </c>
      <c r="AE3263" t="s">
        <v>49</v>
      </c>
      <c r="AF3263" t="s">
        <v>50</v>
      </c>
      <c r="AG3263">
        <v>0</v>
      </c>
      <c r="AH3263">
        <v>0</v>
      </c>
      <c r="AI3263" t="s">
        <v>51</v>
      </c>
      <c r="AJ3263" t="s">
        <v>51</v>
      </c>
      <c r="AK3263" t="s">
        <v>51</v>
      </c>
    </row>
    <row r="3264" spans="1:37" x14ac:dyDescent="0.2">
      <c r="A3264">
        <v>56676</v>
      </c>
      <c r="B3264" t="s">
        <v>37</v>
      </c>
      <c r="C3264" t="s">
        <v>38</v>
      </c>
      <c r="D3264" t="s">
        <v>623</v>
      </c>
      <c r="E3264" t="s">
        <v>624</v>
      </c>
      <c r="G3264" s="4">
        <v>43945.024652777778</v>
      </c>
      <c r="H3264" s="4">
        <v>43945.024664351852</v>
      </c>
      <c r="I3264" t="s">
        <v>50</v>
      </c>
      <c r="J3264" s="5">
        <v>.9999999999999999999999999999999999999996</v>
      </c>
      <c r="K3264" t="s">
        <v>38</v>
      </c>
      <c r="M3264">
        <v>56677</v>
      </c>
      <c r="N3264" t="s">
        <v>624</v>
      </c>
      <c r="O3264" t="s">
        <v>623</v>
      </c>
      <c r="P3264" t="s">
        <v>38</v>
      </c>
      <c r="Q3264" t="s">
        <v>50</v>
      </c>
      <c r="R3264">
        <v>.9999999999999999999999999999999999999996</v>
      </c>
      <c r="S3264" t="s">
        <v>45</v>
      </c>
      <c r="T3264" t="str" s="2">
        <f>=HYPERLINK("http://demo.enginatics.com:80/ecc/user/applications/log/56676.log","http://demo.enginatics.com:80/ecc/user/applications/log/56676.log")</f>
        <v>"http://demo.enginatics.com:80/ecc/user/applications/log/56676.log")</v>
      </c>
      <c r="U3264">
        <v>56678</v>
      </c>
      <c r="V3264" t="s">
        <v>38</v>
      </c>
      <c r="W3264" t="s">
        <v>50</v>
      </c>
      <c r="X3264">
        <v>.9999999999999999999999999999999999999996</v>
      </c>
      <c r="Y3264">
        <v>0</v>
      </c>
      <c r="Z3264" t="s">
        <v>46</v>
      </c>
      <c r="AA3264">
        <v>56679</v>
      </c>
      <c r="AB3264" t="s">
        <v>2434</v>
      </c>
      <c r="AC3264" t="s">
        <v>103</v>
      </c>
      <c r="AD3264" t="s">
        <v>38</v>
      </c>
      <c r="AE3264" t="s">
        <v>49</v>
      </c>
      <c r="AF3264" t="s">
        <v>50</v>
      </c>
      <c r="AG3264">
        <v>0</v>
      </c>
      <c r="AH3264">
        <v>0</v>
      </c>
      <c r="AI3264" t="s">
        <v>51</v>
      </c>
      <c r="AJ3264" t="s">
        <v>51</v>
      </c>
      <c r="AK3264" t="s">
        <v>51</v>
      </c>
    </row>
    <row r="3265" spans="1:37" x14ac:dyDescent="0.2">
      <c r="A3265">
        <v>56666</v>
      </c>
      <c r="B3265" t="s">
        <v>37</v>
      </c>
      <c r="C3265" t="s">
        <v>38</v>
      </c>
      <c r="D3265" t="s">
        <v>641</v>
      </c>
      <c r="E3265" t="s">
        <v>40</v>
      </c>
      <c r="G3265" s="4">
        <v>43945.021446759259</v>
      </c>
      <c r="H3265" s="4">
        <v>43945.021446759259</v>
      </c>
      <c r="I3265" t="s">
        <v>50</v>
      </c>
      <c r="J3265" s="5">
        <v>0</v>
      </c>
      <c r="K3265" t="s">
        <v>38</v>
      </c>
      <c r="M3265">
        <v>56673</v>
      </c>
      <c r="N3265" t="s">
        <v>642</v>
      </c>
      <c r="O3265" t="s">
        <v>643</v>
      </c>
      <c r="P3265" t="s">
        <v>38</v>
      </c>
      <c r="Q3265" t="s">
        <v>50</v>
      </c>
      <c r="R3265">
        <v>0</v>
      </c>
      <c r="S3265" t="s">
        <v>45</v>
      </c>
      <c r="T3265" t="str" s="2">
        <f>=HYPERLINK("http://demo.enginatics.com:80/ecc/user/applications/log/56666.log","http://demo.enginatics.com:80/ecc/user/applications/log/56666.log")</f>
        <v>"http://demo.enginatics.com:80/ecc/user/applications/log/56666.log")</v>
      </c>
      <c r="U3265">
        <v>56674</v>
      </c>
      <c r="V3265" t="s">
        <v>38</v>
      </c>
      <c r="W3265" t="s">
        <v>50</v>
      </c>
      <c r="X3265">
        <v>0</v>
      </c>
      <c r="Y3265">
        <v>0</v>
      </c>
      <c r="Z3265" t="s">
        <v>46</v>
      </c>
      <c r="AA3265">
        <v>56675</v>
      </c>
      <c r="AB3265" t="s">
        <v>2435</v>
      </c>
      <c r="AC3265" t="s">
        <v>68</v>
      </c>
      <c r="AD3265" t="s">
        <v>38</v>
      </c>
      <c r="AE3265" t="s">
        <v>49</v>
      </c>
      <c r="AF3265" t="s">
        <v>50</v>
      </c>
      <c r="AG3265">
        <v>0</v>
      </c>
      <c r="AH3265">
        <v>0</v>
      </c>
      <c r="AI3265" t="s">
        <v>51</v>
      </c>
      <c r="AJ3265" t="s">
        <v>51</v>
      </c>
      <c r="AK3265" t="s">
        <v>51</v>
      </c>
    </row>
    <row r="3266" spans="1:37" x14ac:dyDescent="0.2">
      <c r="A3266">
        <v>56666</v>
      </c>
      <c r="B3266" t="s">
        <v>37</v>
      </c>
      <c r="C3266" t="s">
        <v>38</v>
      </c>
      <c r="D3266" t="s">
        <v>641</v>
      </c>
      <c r="E3266" t="s">
        <v>40</v>
      </c>
      <c r="G3266" s="4">
        <v>43945.021446759259</v>
      </c>
      <c r="H3266" s="4">
        <v>43945.021446759259</v>
      </c>
      <c r="I3266" t="s">
        <v>50</v>
      </c>
      <c r="J3266" s="5">
        <v>0</v>
      </c>
      <c r="K3266" t="s">
        <v>38</v>
      </c>
      <c r="M3266">
        <v>56670</v>
      </c>
      <c r="N3266" t="s">
        <v>645</v>
      </c>
      <c r="O3266" t="s">
        <v>646</v>
      </c>
      <c r="P3266" t="s">
        <v>38</v>
      </c>
      <c r="Q3266" t="s">
        <v>50</v>
      </c>
      <c r="R3266">
        <v>0</v>
      </c>
      <c r="S3266" t="s">
        <v>45</v>
      </c>
      <c r="T3266" t="str" s="2">
        <f>=HYPERLINK("http://demo.enginatics.com:80/ecc/user/applications/log/56666.log","http://demo.enginatics.com:80/ecc/user/applications/log/56666.log")</f>
        <v>"http://demo.enginatics.com:80/ecc/user/applications/log/56666.log")</v>
      </c>
      <c r="U3266">
        <v>56671</v>
      </c>
      <c r="V3266" t="s">
        <v>38</v>
      </c>
      <c r="W3266" t="s">
        <v>50</v>
      </c>
      <c r="X3266">
        <v>0</v>
      </c>
      <c r="Y3266">
        <v>0</v>
      </c>
      <c r="Z3266" t="s">
        <v>46</v>
      </c>
      <c r="AA3266">
        <v>56672</v>
      </c>
      <c r="AB3266" t="s">
        <v>2436</v>
      </c>
      <c r="AC3266" t="s">
        <v>68</v>
      </c>
      <c r="AD3266" t="s">
        <v>38</v>
      </c>
      <c r="AE3266" t="s">
        <v>49</v>
      </c>
      <c r="AF3266" t="s">
        <v>50</v>
      </c>
      <c r="AG3266">
        <v>0</v>
      </c>
      <c r="AH3266">
        <v>0</v>
      </c>
      <c r="AI3266" t="s">
        <v>51</v>
      </c>
      <c r="AJ3266" t="s">
        <v>51</v>
      </c>
      <c r="AK3266" t="s">
        <v>51</v>
      </c>
    </row>
    <row r="3267" spans="1:37" x14ac:dyDescent="0.2">
      <c r="A3267">
        <v>56666</v>
      </c>
      <c r="B3267" t="s">
        <v>37</v>
      </c>
      <c r="C3267" t="s">
        <v>38</v>
      </c>
      <c r="D3267" t="s">
        <v>641</v>
      </c>
      <c r="E3267" t="s">
        <v>40</v>
      </c>
      <c r="G3267" s="4">
        <v>43945.021446759259</v>
      </c>
      <c r="H3267" s="4">
        <v>43945.021446759259</v>
      </c>
      <c r="I3267" t="s">
        <v>50</v>
      </c>
      <c r="J3267" s="5">
        <v>0</v>
      </c>
      <c r="K3267" t="s">
        <v>38</v>
      </c>
      <c r="M3267">
        <v>56667</v>
      </c>
      <c r="N3267" t="s">
        <v>648</v>
      </c>
      <c r="O3267" t="s">
        <v>649</v>
      </c>
      <c r="P3267" t="s">
        <v>38</v>
      </c>
      <c r="Q3267" t="s">
        <v>50</v>
      </c>
      <c r="R3267">
        <v>0</v>
      </c>
      <c r="S3267" t="s">
        <v>45</v>
      </c>
      <c r="T3267" t="str" s="2">
        <f>=HYPERLINK("http://demo.enginatics.com:80/ecc/user/applications/log/56666.log","http://demo.enginatics.com:80/ecc/user/applications/log/56666.log")</f>
        <v>"http://demo.enginatics.com:80/ecc/user/applications/log/56666.log")</v>
      </c>
      <c r="U3267">
        <v>56668</v>
      </c>
      <c r="V3267" t="s">
        <v>38</v>
      </c>
      <c r="W3267" t="s">
        <v>50</v>
      </c>
      <c r="X3267">
        <v>0</v>
      </c>
      <c r="Y3267">
        <v>0</v>
      </c>
      <c r="Z3267" t="s">
        <v>46</v>
      </c>
      <c r="AA3267">
        <v>56669</v>
      </c>
      <c r="AB3267" t="s">
        <v>2437</v>
      </c>
      <c r="AC3267" t="s">
        <v>68</v>
      </c>
      <c r="AD3267" t="s">
        <v>38</v>
      </c>
      <c r="AE3267" t="s">
        <v>49</v>
      </c>
      <c r="AF3267" t="s">
        <v>50</v>
      </c>
      <c r="AG3267">
        <v>0</v>
      </c>
      <c r="AH3267">
        <v>0</v>
      </c>
      <c r="AI3267" t="s">
        <v>51</v>
      </c>
      <c r="AJ3267" t="s">
        <v>51</v>
      </c>
      <c r="AK3267" t="s">
        <v>51</v>
      </c>
    </row>
    <row r="3268" spans="1:37" x14ac:dyDescent="0.2">
      <c r="A3268">
        <v>56644</v>
      </c>
      <c r="B3268" t="s">
        <v>37</v>
      </c>
      <c r="C3268" t="s">
        <v>38</v>
      </c>
      <c r="D3268" t="s">
        <v>651</v>
      </c>
      <c r="E3268" t="s">
        <v>40</v>
      </c>
      <c r="G3268" s="4">
        <v>43945.014236111111</v>
      </c>
      <c r="H3268" s="4">
        <v>43945.01431712963</v>
      </c>
      <c r="I3268" t="s">
        <v>247</v>
      </c>
      <c r="J3268" s="5">
        <v>7</v>
      </c>
      <c r="K3268" t="s">
        <v>38</v>
      </c>
      <c r="M3268">
        <v>56663</v>
      </c>
      <c r="N3268" t="s">
        <v>653</v>
      </c>
      <c r="O3268" t="s">
        <v>654</v>
      </c>
      <c r="P3268" t="s">
        <v>38</v>
      </c>
      <c r="Q3268" t="s">
        <v>78</v>
      </c>
      <c r="R3268">
        <v>5</v>
      </c>
      <c r="S3268" t="s">
        <v>45</v>
      </c>
      <c r="T3268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68">
        <v>56664</v>
      </c>
      <c r="V3268" t="s">
        <v>38</v>
      </c>
      <c r="W3268" t="s">
        <v>78</v>
      </c>
      <c r="X3268">
        <v>5</v>
      </c>
      <c r="Y3268">
        <v>0</v>
      </c>
      <c r="Z3268" t="s">
        <v>46</v>
      </c>
      <c r="AA3268">
        <v>56665</v>
      </c>
      <c r="AB3268" t="s">
        <v>655</v>
      </c>
      <c r="AC3268" t="s">
        <v>48</v>
      </c>
      <c r="AD3268" t="s">
        <v>38</v>
      </c>
      <c r="AE3268" t="s">
        <v>49</v>
      </c>
      <c r="AF3268" t="s">
        <v>78</v>
      </c>
      <c r="AG3268">
        <v>5</v>
      </c>
      <c r="AH3268">
        <v>3</v>
      </c>
      <c r="AI3268" t="s">
        <v>51</v>
      </c>
      <c r="AJ3268" t="s">
        <v>51</v>
      </c>
      <c r="AK3268" t="s">
        <v>51</v>
      </c>
    </row>
    <row r="3269" spans="1:37" x14ac:dyDescent="0.2">
      <c r="A3269">
        <v>56644</v>
      </c>
      <c r="B3269" t="s">
        <v>37</v>
      </c>
      <c r="C3269" t="s">
        <v>38</v>
      </c>
      <c r="D3269" t="s">
        <v>651</v>
      </c>
      <c r="E3269" t="s">
        <v>40</v>
      </c>
      <c r="G3269" s="4">
        <v>43945.014236111111</v>
      </c>
      <c r="H3269" s="4">
        <v>43945.01431712963</v>
      </c>
      <c r="I3269" t="s">
        <v>247</v>
      </c>
      <c r="J3269" s="5">
        <v>7</v>
      </c>
      <c r="K3269" t="s">
        <v>38</v>
      </c>
      <c r="M3269">
        <v>56660</v>
      </c>
      <c r="N3269" t="s">
        <v>656</v>
      </c>
      <c r="O3269" t="s">
        <v>657</v>
      </c>
      <c r="P3269" t="s">
        <v>38</v>
      </c>
      <c r="Q3269" t="s">
        <v>50</v>
      </c>
      <c r="R3269">
        <v>.9999999999999999999999999999999999999996</v>
      </c>
      <c r="S3269" t="s">
        <v>45</v>
      </c>
      <c r="T3269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69">
        <v>56661</v>
      </c>
      <c r="V3269" t="s">
        <v>38</v>
      </c>
      <c r="W3269" t="s">
        <v>50</v>
      </c>
      <c r="X3269">
        <v>.9999999999999999999999999999999999999996</v>
      </c>
      <c r="Y3269">
        <v>0</v>
      </c>
      <c r="Z3269" t="s">
        <v>46</v>
      </c>
      <c r="AA3269">
        <v>56662</v>
      </c>
      <c r="AB3269" t="s">
        <v>658</v>
      </c>
      <c r="AC3269" t="s">
        <v>48</v>
      </c>
      <c r="AD3269" t="s">
        <v>38</v>
      </c>
      <c r="AE3269" t="s">
        <v>49</v>
      </c>
      <c r="AF3269" t="s">
        <v>50</v>
      </c>
      <c r="AG3269">
        <v>.9999999999999999999999999999999999999996</v>
      </c>
      <c r="AH3269">
        <v>0</v>
      </c>
      <c r="AI3269" t="s">
        <v>51</v>
      </c>
      <c r="AJ3269" t="s">
        <v>51</v>
      </c>
      <c r="AK3269" t="s">
        <v>51</v>
      </c>
    </row>
    <row r="3270" spans="1:37" x14ac:dyDescent="0.2">
      <c r="A3270">
        <v>56644</v>
      </c>
      <c r="B3270" t="s">
        <v>37</v>
      </c>
      <c r="C3270" t="s">
        <v>38</v>
      </c>
      <c r="D3270" t="s">
        <v>651</v>
      </c>
      <c r="E3270" t="s">
        <v>40</v>
      </c>
      <c r="G3270" s="4">
        <v>43945.014236111111</v>
      </c>
      <c r="H3270" s="4">
        <v>43945.01431712963</v>
      </c>
      <c r="I3270" t="s">
        <v>247</v>
      </c>
      <c r="J3270" s="5">
        <v>7</v>
      </c>
      <c r="K3270" t="s">
        <v>38</v>
      </c>
      <c r="M3270">
        <v>56657</v>
      </c>
      <c r="N3270" t="s">
        <v>659</v>
      </c>
      <c r="O3270" t="s">
        <v>660</v>
      </c>
      <c r="P3270" t="s">
        <v>38</v>
      </c>
      <c r="Q3270" t="s">
        <v>50</v>
      </c>
      <c r="R3270">
        <v>0</v>
      </c>
      <c r="S3270" t="s">
        <v>45</v>
      </c>
      <c r="T3270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70">
        <v>56658</v>
      </c>
      <c r="V3270" t="s">
        <v>38</v>
      </c>
      <c r="W3270" t="s">
        <v>50</v>
      </c>
      <c r="X3270">
        <v>0</v>
      </c>
      <c r="Y3270">
        <v>0</v>
      </c>
      <c r="Z3270" t="s">
        <v>46</v>
      </c>
      <c r="AA3270">
        <v>56659</v>
      </c>
      <c r="AB3270" t="s">
        <v>661</v>
      </c>
      <c r="AC3270" t="s">
        <v>48</v>
      </c>
      <c r="AD3270" t="s">
        <v>38</v>
      </c>
      <c r="AE3270" t="s">
        <v>49</v>
      </c>
      <c r="AF3270" t="s">
        <v>50</v>
      </c>
      <c r="AG3270">
        <v>0</v>
      </c>
      <c r="AH3270">
        <v>0</v>
      </c>
      <c r="AI3270" t="s">
        <v>51</v>
      </c>
      <c r="AJ3270" t="s">
        <v>51</v>
      </c>
      <c r="AK3270" t="s">
        <v>51</v>
      </c>
    </row>
    <row r="3271" spans="1:37" x14ac:dyDescent="0.2">
      <c r="A3271">
        <v>56644</v>
      </c>
      <c r="B3271" t="s">
        <v>37</v>
      </c>
      <c r="C3271" t="s">
        <v>38</v>
      </c>
      <c r="D3271" t="s">
        <v>651</v>
      </c>
      <c r="E3271" t="s">
        <v>40</v>
      </c>
      <c r="G3271" s="4">
        <v>43945.014236111111</v>
      </c>
      <c r="H3271" s="4">
        <v>43945.01431712963</v>
      </c>
      <c r="I3271" t="s">
        <v>247</v>
      </c>
      <c r="J3271" s="5">
        <v>7</v>
      </c>
      <c r="K3271" t="s">
        <v>38</v>
      </c>
      <c r="M3271">
        <v>56654</v>
      </c>
      <c r="N3271" t="s">
        <v>662</v>
      </c>
      <c r="O3271" t="s">
        <v>663</v>
      </c>
      <c r="P3271" t="s">
        <v>38</v>
      </c>
      <c r="Q3271" t="s">
        <v>50</v>
      </c>
      <c r="R3271">
        <v>.9999999999999999999999999999999999999996</v>
      </c>
      <c r="S3271" t="s">
        <v>45</v>
      </c>
      <c r="T3271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71">
        <v>56655</v>
      </c>
      <c r="V3271" t="s">
        <v>38</v>
      </c>
      <c r="W3271" t="s">
        <v>50</v>
      </c>
      <c r="X3271">
        <v>.9999999999999999999999999999999999999996</v>
      </c>
      <c r="Y3271">
        <v>0</v>
      </c>
      <c r="Z3271" t="s">
        <v>46</v>
      </c>
      <c r="AA3271">
        <v>56656</v>
      </c>
      <c r="AB3271" t="s">
        <v>664</v>
      </c>
      <c r="AC3271" t="s">
        <v>48</v>
      </c>
      <c r="AD3271" t="s">
        <v>38</v>
      </c>
      <c r="AE3271" t="s">
        <v>49</v>
      </c>
      <c r="AF3271" t="s">
        <v>50</v>
      </c>
      <c r="AG3271">
        <v>.9999999999999999999999999999999999999996</v>
      </c>
      <c r="AH3271">
        <v>0</v>
      </c>
      <c r="AI3271" t="s">
        <v>51</v>
      </c>
      <c r="AJ3271" t="s">
        <v>51</v>
      </c>
      <c r="AK3271" t="s">
        <v>51</v>
      </c>
    </row>
    <row r="3272" spans="1:37" x14ac:dyDescent="0.2">
      <c r="A3272">
        <v>56644</v>
      </c>
      <c r="B3272" t="s">
        <v>37</v>
      </c>
      <c r="C3272" t="s">
        <v>38</v>
      </c>
      <c r="D3272" t="s">
        <v>651</v>
      </c>
      <c r="E3272" t="s">
        <v>40</v>
      </c>
      <c r="G3272" s="4">
        <v>43945.014236111111</v>
      </c>
      <c r="H3272" s="4">
        <v>43945.01431712963</v>
      </c>
      <c r="I3272" t="s">
        <v>247</v>
      </c>
      <c r="J3272" s="5">
        <v>7</v>
      </c>
      <c r="K3272" t="s">
        <v>38</v>
      </c>
      <c r="M3272">
        <v>56651</v>
      </c>
      <c r="N3272" t="s">
        <v>665</v>
      </c>
      <c r="O3272" t="s">
        <v>666</v>
      </c>
      <c r="P3272" t="s">
        <v>38</v>
      </c>
      <c r="Q3272" t="s">
        <v>50</v>
      </c>
      <c r="R3272">
        <v>0</v>
      </c>
      <c r="S3272" t="s">
        <v>45</v>
      </c>
      <c r="T3272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72">
        <v>56652</v>
      </c>
      <c r="V3272" t="s">
        <v>38</v>
      </c>
      <c r="W3272" t="s">
        <v>50</v>
      </c>
      <c r="X3272">
        <v>0</v>
      </c>
      <c r="Y3272">
        <v>0</v>
      </c>
      <c r="Z3272" t="s">
        <v>46</v>
      </c>
      <c r="AA3272">
        <v>56653</v>
      </c>
      <c r="AB3272" t="s">
        <v>667</v>
      </c>
      <c r="AC3272" t="s">
        <v>48</v>
      </c>
      <c r="AD3272" t="s">
        <v>38</v>
      </c>
      <c r="AE3272" t="s">
        <v>49</v>
      </c>
      <c r="AF3272" t="s">
        <v>50</v>
      </c>
      <c r="AG3272">
        <v>0</v>
      </c>
      <c r="AH3272">
        <v>0</v>
      </c>
      <c r="AI3272" t="s">
        <v>51</v>
      </c>
      <c r="AJ3272" t="s">
        <v>51</v>
      </c>
      <c r="AK3272" t="s">
        <v>51</v>
      </c>
    </row>
    <row r="3273" spans="1:37" x14ac:dyDescent="0.2">
      <c r="A3273">
        <v>56644</v>
      </c>
      <c r="B3273" t="s">
        <v>37</v>
      </c>
      <c r="C3273" t="s">
        <v>38</v>
      </c>
      <c r="D3273" t="s">
        <v>651</v>
      </c>
      <c r="E3273" t="s">
        <v>40</v>
      </c>
      <c r="G3273" s="4">
        <v>43945.014236111111</v>
      </c>
      <c r="H3273" s="4">
        <v>43945.01431712963</v>
      </c>
      <c r="I3273" t="s">
        <v>247</v>
      </c>
      <c r="J3273" s="5">
        <v>7</v>
      </c>
      <c r="K3273" t="s">
        <v>38</v>
      </c>
      <c r="M3273">
        <v>56648</v>
      </c>
      <c r="N3273" t="s">
        <v>668</v>
      </c>
      <c r="O3273" t="s">
        <v>669</v>
      </c>
      <c r="P3273" t="s">
        <v>38</v>
      </c>
      <c r="Q3273" t="s">
        <v>50</v>
      </c>
      <c r="R3273">
        <v>0</v>
      </c>
      <c r="S3273" t="s">
        <v>45</v>
      </c>
      <c r="T3273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73">
        <v>56649</v>
      </c>
      <c r="V3273" t="s">
        <v>38</v>
      </c>
      <c r="W3273" t="s">
        <v>50</v>
      </c>
      <c r="X3273">
        <v>0</v>
      </c>
      <c r="Y3273">
        <v>0</v>
      </c>
      <c r="Z3273" t="s">
        <v>46</v>
      </c>
      <c r="AA3273">
        <v>56650</v>
      </c>
      <c r="AB3273" t="s">
        <v>670</v>
      </c>
      <c r="AC3273" t="s">
        <v>48</v>
      </c>
      <c r="AD3273" t="s">
        <v>38</v>
      </c>
      <c r="AE3273" t="s">
        <v>49</v>
      </c>
      <c r="AF3273" t="s">
        <v>50</v>
      </c>
      <c r="AG3273">
        <v>0</v>
      </c>
      <c r="AH3273">
        <v>0</v>
      </c>
      <c r="AI3273" t="s">
        <v>51</v>
      </c>
      <c r="AJ3273" t="s">
        <v>51</v>
      </c>
      <c r="AK3273" t="s">
        <v>51</v>
      </c>
    </row>
    <row r="3274" spans="1:37" x14ac:dyDescent="0.2">
      <c r="A3274">
        <v>56644</v>
      </c>
      <c r="B3274" t="s">
        <v>37</v>
      </c>
      <c r="C3274" t="s">
        <v>38</v>
      </c>
      <c r="D3274" t="s">
        <v>651</v>
      </c>
      <c r="E3274" t="s">
        <v>40</v>
      </c>
      <c r="G3274" s="4">
        <v>43945.014236111111</v>
      </c>
      <c r="H3274" s="4">
        <v>43945.01431712963</v>
      </c>
      <c r="I3274" t="s">
        <v>247</v>
      </c>
      <c r="J3274" s="5">
        <v>7</v>
      </c>
      <c r="K3274" t="s">
        <v>38</v>
      </c>
      <c r="M3274">
        <v>56645</v>
      </c>
      <c r="N3274" t="s">
        <v>671</v>
      </c>
      <c r="O3274" t="s">
        <v>672</v>
      </c>
      <c r="P3274" t="s">
        <v>38</v>
      </c>
      <c r="Q3274" t="s">
        <v>50</v>
      </c>
      <c r="R3274">
        <v>0</v>
      </c>
      <c r="S3274" t="s">
        <v>45</v>
      </c>
      <c r="T3274" t="str" s="2">
        <f>=HYPERLINK("http://demo.enginatics.com:80/ecc/user/applications/log/56644.log","http://demo.enginatics.com:80/ecc/user/applications/log/56644.log")</f>
        <v>"http://demo.enginatics.com:80/ecc/user/applications/log/56644.log")</v>
      </c>
      <c r="U3274">
        <v>56646</v>
      </c>
      <c r="V3274" t="s">
        <v>38</v>
      </c>
      <c r="W3274" t="s">
        <v>50</v>
      </c>
      <c r="X3274">
        <v>0</v>
      </c>
      <c r="Y3274">
        <v>0</v>
      </c>
      <c r="Z3274" t="s">
        <v>46</v>
      </c>
      <c r="AA3274">
        <v>56647</v>
      </c>
      <c r="AB3274" t="s">
        <v>673</v>
      </c>
      <c r="AC3274" t="s">
        <v>48</v>
      </c>
      <c r="AD3274" t="s">
        <v>38</v>
      </c>
      <c r="AE3274" t="s">
        <v>49</v>
      </c>
      <c r="AF3274" t="s">
        <v>50</v>
      </c>
      <c r="AG3274">
        <v>0</v>
      </c>
      <c r="AH3274">
        <v>0</v>
      </c>
      <c r="AI3274" t="s">
        <v>51</v>
      </c>
      <c r="AJ3274" t="s">
        <v>51</v>
      </c>
      <c r="AK3274" t="s">
        <v>51</v>
      </c>
    </row>
    <row r="3275" spans="1:37" x14ac:dyDescent="0.2">
      <c r="A3275">
        <v>56471</v>
      </c>
      <c r="B3275" t="s">
        <v>37</v>
      </c>
      <c r="C3275" t="s">
        <v>38</v>
      </c>
      <c r="D3275" t="s">
        <v>674</v>
      </c>
      <c r="E3275" t="s">
        <v>40</v>
      </c>
      <c r="G3275" s="4">
        <v>43945.005196759259</v>
      </c>
      <c r="H3275" s="4">
        <v>43945.00587962963</v>
      </c>
      <c r="I3275" t="s">
        <v>2438</v>
      </c>
      <c r="J3275" s="5">
        <v>58.99999999999999999999999999999999999997</v>
      </c>
      <c r="K3275" t="s">
        <v>38</v>
      </c>
      <c r="M3275">
        <v>56641</v>
      </c>
      <c r="N3275" t="s">
        <v>676</v>
      </c>
      <c r="O3275" t="s">
        <v>677</v>
      </c>
      <c r="P3275" t="s">
        <v>38</v>
      </c>
      <c r="Q3275" t="s">
        <v>78</v>
      </c>
      <c r="R3275">
        <v>5</v>
      </c>
      <c r="S3275" t="s">
        <v>45</v>
      </c>
      <c r="T327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75">
        <v>56642</v>
      </c>
      <c r="V3275" t="s">
        <v>38</v>
      </c>
      <c r="W3275" t="s">
        <v>78</v>
      </c>
      <c r="X3275">
        <v>5</v>
      </c>
      <c r="Y3275">
        <v>0</v>
      </c>
      <c r="Z3275" t="s">
        <v>46</v>
      </c>
      <c r="AA3275">
        <v>56643</v>
      </c>
      <c r="AB3275" t="s">
        <v>678</v>
      </c>
      <c r="AC3275" t="s">
        <v>48</v>
      </c>
      <c r="AD3275" t="s">
        <v>38</v>
      </c>
      <c r="AE3275" t="s">
        <v>1206</v>
      </c>
      <c r="AF3275" t="s">
        <v>78</v>
      </c>
      <c r="AG3275">
        <v>5</v>
      </c>
      <c r="AH3275">
        <v>0</v>
      </c>
      <c r="AI3275" t="s">
        <v>1207</v>
      </c>
      <c r="AJ3275" t="s">
        <v>51</v>
      </c>
      <c r="AK3275" t="s">
        <v>1207</v>
      </c>
    </row>
    <row r="3276" spans="1:37" x14ac:dyDescent="0.2">
      <c r="A3276">
        <v>56471</v>
      </c>
      <c r="B3276" t="s">
        <v>37</v>
      </c>
      <c r="C3276" t="s">
        <v>38</v>
      </c>
      <c r="D3276" t="s">
        <v>674</v>
      </c>
      <c r="E3276" t="s">
        <v>40</v>
      </c>
      <c r="G3276" s="4">
        <v>43945.005196759259</v>
      </c>
      <c r="H3276" s="4">
        <v>43945.00587962963</v>
      </c>
      <c r="I3276" t="s">
        <v>2438</v>
      </c>
      <c r="J3276" s="5">
        <v>58.99999999999999999999999999999999999997</v>
      </c>
      <c r="K3276" t="s">
        <v>38</v>
      </c>
      <c r="M3276">
        <v>56638</v>
      </c>
      <c r="N3276" t="s">
        <v>681</v>
      </c>
      <c r="O3276" t="s">
        <v>682</v>
      </c>
      <c r="P3276" t="s">
        <v>38</v>
      </c>
      <c r="Q3276" t="s">
        <v>247</v>
      </c>
      <c r="R3276">
        <v>7</v>
      </c>
      <c r="S3276" t="s">
        <v>45</v>
      </c>
      <c r="T327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76">
        <v>56639</v>
      </c>
      <c r="V3276" t="s">
        <v>38</v>
      </c>
      <c r="W3276" t="s">
        <v>247</v>
      </c>
      <c r="X3276">
        <v>7</v>
      </c>
      <c r="Y3276">
        <v>0</v>
      </c>
      <c r="Z3276" t="s">
        <v>46</v>
      </c>
      <c r="AA3276">
        <v>56640</v>
      </c>
      <c r="AB3276" t="s">
        <v>683</v>
      </c>
      <c r="AC3276" t="s">
        <v>48</v>
      </c>
      <c r="AD3276" t="s">
        <v>38</v>
      </c>
      <c r="AE3276" t="s">
        <v>1208</v>
      </c>
      <c r="AF3276" t="s">
        <v>247</v>
      </c>
      <c r="AG3276">
        <v>7</v>
      </c>
      <c r="AH3276">
        <v>0</v>
      </c>
      <c r="AI3276" t="s">
        <v>1209</v>
      </c>
      <c r="AJ3276" t="s">
        <v>51</v>
      </c>
      <c r="AK3276" t="s">
        <v>1209</v>
      </c>
    </row>
    <row r="3277" spans="1:37" x14ac:dyDescent="0.2">
      <c r="A3277">
        <v>56471</v>
      </c>
      <c r="B3277" t="s">
        <v>37</v>
      </c>
      <c r="C3277" t="s">
        <v>38</v>
      </c>
      <c r="D3277" t="s">
        <v>674</v>
      </c>
      <c r="E3277" t="s">
        <v>40</v>
      </c>
      <c r="G3277" s="4">
        <v>43945.005196759259</v>
      </c>
      <c r="H3277" s="4">
        <v>43945.00587962963</v>
      </c>
      <c r="I3277" t="s">
        <v>2438</v>
      </c>
      <c r="J3277" s="5">
        <v>58.99999999999999999999999999999999999997</v>
      </c>
      <c r="K3277" t="s">
        <v>38</v>
      </c>
      <c r="M3277">
        <v>56635</v>
      </c>
      <c r="N3277" t="s">
        <v>686</v>
      </c>
      <c r="O3277" t="s">
        <v>687</v>
      </c>
      <c r="P3277" t="s">
        <v>38</v>
      </c>
      <c r="Q3277" t="s">
        <v>78</v>
      </c>
      <c r="R3277">
        <v>5</v>
      </c>
      <c r="S3277" t="s">
        <v>45</v>
      </c>
      <c r="T327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77">
        <v>56636</v>
      </c>
      <c r="V3277" t="s">
        <v>38</v>
      </c>
      <c r="W3277" t="s">
        <v>78</v>
      </c>
      <c r="X3277">
        <v>5</v>
      </c>
      <c r="Y3277">
        <v>0</v>
      </c>
      <c r="Z3277" t="s">
        <v>46</v>
      </c>
      <c r="AA3277">
        <v>56637</v>
      </c>
      <c r="AB3277" t="s">
        <v>688</v>
      </c>
      <c r="AC3277" t="s">
        <v>48</v>
      </c>
      <c r="AD3277" t="s">
        <v>38</v>
      </c>
      <c r="AE3277" t="s">
        <v>689</v>
      </c>
      <c r="AF3277" t="s">
        <v>78</v>
      </c>
      <c r="AG3277">
        <v>5</v>
      </c>
      <c r="AH3277">
        <v>0</v>
      </c>
      <c r="AI3277" t="s">
        <v>690</v>
      </c>
      <c r="AJ3277" t="s">
        <v>51</v>
      </c>
      <c r="AK3277" t="s">
        <v>690</v>
      </c>
    </row>
    <row r="3278" spans="1:37" x14ac:dyDescent="0.2">
      <c r="A3278">
        <v>56471</v>
      </c>
      <c r="B3278" t="s">
        <v>37</v>
      </c>
      <c r="C3278" t="s">
        <v>38</v>
      </c>
      <c r="D3278" t="s">
        <v>674</v>
      </c>
      <c r="E3278" t="s">
        <v>40</v>
      </c>
      <c r="G3278" s="4">
        <v>43945.005196759259</v>
      </c>
      <c r="H3278" s="4">
        <v>43945.00587962963</v>
      </c>
      <c r="I3278" t="s">
        <v>2438</v>
      </c>
      <c r="J3278" s="5">
        <v>58.99999999999999999999999999999999999997</v>
      </c>
      <c r="K3278" t="s">
        <v>38</v>
      </c>
      <c r="M3278">
        <v>56631</v>
      </c>
      <c r="N3278" t="s">
        <v>691</v>
      </c>
      <c r="O3278" t="s">
        <v>692</v>
      </c>
      <c r="P3278" t="s">
        <v>38</v>
      </c>
      <c r="Q3278" t="s">
        <v>693</v>
      </c>
      <c r="R3278">
        <v>19.99999999999999999999999999999999999996</v>
      </c>
      <c r="S3278" t="s">
        <v>45</v>
      </c>
      <c r="T327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78">
        <v>56632</v>
      </c>
      <c r="V3278" t="s">
        <v>38</v>
      </c>
      <c r="W3278" t="s">
        <v>693</v>
      </c>
      <c r="X3278">
        <v>19.99999999999999999999999999999999999996</v>
      </c>
      <c r="Y3278">
        <v>0</v>
      </c>
      <c r="Z3278" t="s">
        <v>46</v>
      </c>
      <c r="AA3278">
        <v>56634</v>
      </c>
      <c r="AB3278" t="s">
        <v>694</v>
      </c>
      <c r="AC3278" t="s">
        <v>103</v>
      </c>
      <c r="AD3278" t="s">
        <v>38</v>
      </c>
      <c r="AE3278" t="s">
        <v>992</v>
      </c>
      <c r="AF3278" t="s">
        <v>300</v>
      </c>
      <c r="AG3278">
        <v>10.00000000000000000000000000000000000002</v>
      </c>
      <c r="AH3278">
        <v>5</v>
      </c>
      <c r="AI3278" t="s">
        <v>993</v>
      </c>
      <c r="AJ3278" t="s">
        <v>51</v>
      </c>
      <c r="AK3278" t="s">
        <v>993</v>
      </c>
    </row>
    <row r="3279" spans="1:37" x14ac:dyDescent="0.2">
      <c r="A3279">
        <v>56471</v>
      </c>
      <c r="B3279" t="s">
        <v>37</v>
      </c>
      <c r="C3279" t="s">
        <v>38</v>
      </c>
      <c r="D3279" t="s">
        <v>674</v>
      </c>
      <c r="E3279" t="s">
        <v>40</v>
      </c>
      <c r="G3279" s="4">
        <v>43945.005196759259</v>
      </c>
      <c r="H3279" s="4">
        <v>43945.00587962963</v>
      </c>
      <c r="I3279" t="s">
        <v>2438</v>
      </c>
      <c r="J3279" s="5">
        <v>58.99999999999999999999999999999999999997</v>
      </c>
      <c r="K3279" t="s">
        <v>38</v>
      </c>
      <c r="M3279">
        <v>56631</v>
      </c>
      <c r="N3279" t="s">
        <v>691</v>
      </c>
      <c r="O3279" t="s">
        <v>692</v>
      </c>
      <c r="P3279" t="s">
        <v>38</v>
      </c>
      <c r="Q3279" t="s">
        <v>693</v>
      </c>
      <c r="R3279">
        <v>19.99999999999999999999999999999999999996</v>
      </c>
      <c r="S3279" t="s">
        <v>45</v>
      </c>
      <c r="T327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79">
        <v>56632</v>
      </c>
      <c r="V3279" t="s">
        <v>38</v>
      </c>
      <c r="W3279" t="s">
        <v>693</v>
      </c>
      <c r="X3279">
        <v>19.99999999999999999999999999999999999996</v>
      </c>
      <c r="Y3279">
        <v>0</v>
      </c>
      <c r="Z3279" t="s">
        <v>46</v>
      </c>
      <c r="AA3279">
        <v>56633</v>
      </c>
      <c r="AB3279" t="s">
        <v>697</v>
      </c>
      <c r="AC3279" t="s">
        <v>48</v>
      </c>
      <c r="AD3279" t="s">
        <v>38</v>
      </c>
      <c r="AE3279" t="s">
        <v>992</v>
      </c>
      <c r="AF3279" t="s">
        <v>300</v>
      </c>
      <c r="AG3279">
        <v>10.00000000000000000000000000000000000002</v>
      </c>
      <c r="AH3279">
        <v>7</v>
      </c>
      <c r="AI3279" t="s">
        <v>993</v>
      </c>
      <c r="AJ3279" t="s">
        <v>51</v>
      </c>
      <c r="AK3279" t="s">
        <v>993</v>
      </c>
    </row>
    <row r="3280" spans="1:37" x14ac:dyDescent="0.2">
      <c r="A3280">
        <v>56471</v>
      </c>
      <c r="B3280" t="s">
        <v>37</v>
      </c>
      <c r="C3280" t="s">
        <v>38</v>
      </c>
      <c r="D3280" t="s">
        <v>674</v>
      </c>
      <c r="E3280" t="s">
        <v>40</v>
      </c>
      <c r="G3280" s="4">
        <v>43945.005196759259</v>
      </c>
      <c r="H3280" s="4">
        <v>43945.00587962963</v>
      </c>
      <c r="I3280" t="s">
        <v>2438</v>
      </c>
      <c r="J3280" s="5">
        <v>58.99999999999999999999999999999999999997</v>
      </c>
      <c r="K3280" t="s">
        <v>38</v>
      </c>
      <c r="M3280">
        <v>56627</v>
      </c>
      <c r="N3280" t="s">
        <v>698</v>
      </c>
      <c r="O3280" t="s">
        <v>699</v>
      </c>
      <c r="P3280" t="s">
        <v>38</v>
      </c>
      <c r="Q3280" t="s">
        <v>78</v>
      </c>
      <c r="R3280">
        <v>5</v>
      </c>
      <c r="S3280" t="s">
        <v>45</v>
      </c>
      <c r="T328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0">
        <v>56628</v>
      </c>
      <c r="V3280" t="s">
        <v>38</v>
      </c>
      <c r="W3280" t="s">
        <v>78</v>
      </c>
      <c r="X3280">
        <v>5</v>
      </c>
      <c r="Y3280">
        <v>0</v>
      </c>
      <c r="Z3280" t="s">
        <v>46</v>
      </c>
      <c r="AA3280">
        <v>56630</v>
      </c>
      <c r="AB3280" t="s">
        <v>700</v>
      </c>
      <c r="AC3280" t="s">
        <v>103</v>
      </c>
      <c r="AD3280" t="s">
        <v>38</v>
      </c>
      <c r="AE3280" t="s">
        <v>909</v>
      </c>
      <c r="AF3280" t="s">
        <v>78</v>
      </c>
      <c r="AG3280">
        <v>5</v>
      </c>
      <c r="AH3280">
        <v>0</v>
      </c>
      <c r="AI3280" t="s">
        <v>1210</v>
      </c>
      <c r="AJ3280" t="s">
        <v>51</v>
      </c>
      <c r="AK3280" t="s">
        <v>910</v>
      </c>
    </row>
    <row r="3281" spans="1:37" x14ac:dyDescent="0.2">
      <c r="A3281">
        <v>56471</v>
      </c>
      <c r="B3281" t="s">
        <v>37</v>
      </c>
      <c r="C3281" t="s">
        <v>38</v>
      </c>
      <c r="D3281" t="s">
        <v>674</v>
      </c>
      <c r="E3281" t="s">
        <v>40</v>
      </c>
      <c r="G3281" s="4">
        <v>43945.005196759259</v>
      </c>
      <c r="H3281" s="4">
        <v>43945.00587962963</v>
      </c>
      <c r="I3281" t="s">
        <v>2438</v>
      </c>
      <c r="J3281" s="5">
        <v>58.99999999999999999999999999999999999997</v>
      </c>
      <c r="K3281" t="s">
        <v>38</v>
      </c>
      <c r="M3281">
        <v>56627</v>
      </c>
      <c r="N3281" t="s">
        <v>698</v>
      </c>
      <c r="O3281" t="s">
        <v>699</v>
      </c>
      <c r="P3281" t="s">
        <v>38</v>
      </c>
      <c r="Q3281" t="s">
        <v>78</v>
      </c>
      <c r="R3281">
        <v>5</v>
      </c>
      <c r="S3281" t="s">
        <v>45</v>
      </c>
      <c r="T328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1">
        <v>56628</v>
      </c>
      <c r="V3281" t="s">
        <v>38</v>
      </c>
      <c r="W3281" t="s">
        <v>78</v>
      </c>
      <c r="X3281">
        <v>5</v>
      </c>
      <c r="Y3281">
        <v>0</v>
      </c>
      <c r="Z3281" t="s">
        <v>46</v>
      </c>
      <c r="AA3281">
        <v>56629</v>
      </c>
      <c r="AB3281" t="s">
        <v>704</v>
      </c>
      <c r="AC3281" t="s">
        <v>48</v>
      </c>
      <c r="AD3281" t="s">
        <v>38</v>
      </c>
      <c r="AE3281" t="s">
        <v>909</v>
      </c>
      <c r="AF3281" t="s">
        <v>50</v>
      </c>
      <c r="AG3281">
        <v>0</v>
      </c>
      <c r="AH3281">
        <v>0</v>
      </c>
      <c r="AI3281" t="s">
        <v>910</v>
      </c>
      <c r="AJ3281" t="s">
        <v>51</v>
      </c>
      <c r="AK3281" t="s">
        <v>910</v>
      </c>
    </row>
    <row r="3282" spans="1:37" x14ac:dyDescent="0.2">
      <c r="A3282">
        <v>56471</v>
      </c>
      <c r="B3282" t="s">
        <v>37</v>
      </c>
      <c r="C3282" t="s">
        <v>38</v>
      </c>
      <c r="D3282" t="s">
        <v>674</v>
      </c>
      <c r="E3282" t="s">
        <v>40</v>
      </c>
      <c r="G3282" s="4">
        <v>43945.005196759259</v>
      </c>
      <c r="H3282" s="4">
        <v>43945.00587962963</v>
      </c>
      <c r="I3282" t="s">
        <v>2438</v>
      </c>
      <c r="J3282" s="5">
        <v>58.99999999999999999999999999999999999997</v>
      </c>
      <c r="K3282" t="s">
        <v>38</v>
      </c>
      <c r="M3282">
        <v>56472</v>
      </c>
      <c r="N3282" t="s">
        <v>705</v>
      </c>
      <c r="O3282" t="s">
        <v>706</v>
      </c>
      <c r="P3282" t="s">
        <v>38</v>
      </c>
      <c r="Q3282" t="s">
        <v>966</v>
      </c>
      <c r="R3282">
        <v>15.99999999999999999999999999999999999998</v>
      </c>
      <c r="S3282" t="s">
        <v>45</v>
      </c>
      <c r="T328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2">
        <v>56473</v>
      </c>
      <c r="V3282" t="s">
        <v>38</v>
      </c>
      <c r="W3282" t="s">
        <v>966</v>
      </c>
      <c r="X3282">
        <v>15.99999999999999999999999999999999999998</v>
      </c>
      <c r="Y3282">
        <v>0</v>
      </c>
      <c r="Z3282" t="s">
        <v>46</v>
      </c>
      <c r="AA3282">
        <v>56626</v>
      </c>
      <c r="AB3282" t="s">
        <v>2439</v>
      </c>
      <c r="AC3282" t="s">
        <v>103</v>
      </c>
      <c r="AD3282" t="s">
        <v>38</v>
      </c>
      <c r="AE3282" t="s">
        <v>49</v>
      </c>
      <c r="AF3282" t="s">
        <v>50</v>
      </c>
      <c r="AG3282">
        <v>0</v>
      </c>
      <c r="AH3282">
        <v>0</v>
      </c>
      <c r="AI3282" t="s">
        <v>51</v>
      </c>
      <c r="AJ3282" t="s">
        <v>51</v>
      </c>
      <c r="AK3282" t="s">
        <v>51</v>
      </c>
    </row>
    <row r="3283" spans="1:37" x14ac:dyDescent="0.2">
      <c r="A3283">
        <v>56471</v>
      </c>
      <c r="B3283" t="s">
        <v>37</v>
      </c>
      <c r="C3283" t="s">
        <v>38</v>
      </c>
      <c r="D3283" t="s">
        <v>674</v>
      </c>
      <c r="E3283" t="s">
        <v>40</v>
      </c>
      <c r="G3283" s="4">
        <v>43945.005196759259</v>
      </c>
      <c r="H3283" s="4">
        <v>43945.00587962963</v>
      </c>
      <c r="I3283" t="s">
        <v>2438</v>
      </c>
      <c r="J3283" s="5">
        <v>58.99999999999999999999999999999999999997</v>
      </c>
      <c r="K3283" t="s">
        <v>38</v>
      </c>
      <c r="M3283">
        <v>56472</v>
      </c>
      <c r="N3283" t="s">
        <v>705</v>
      </c>
      <c r="O3283" t="s">
        <v>706</v>
      </c>
      <c r="P3283" t="s">
        <v>38</v>
      </c>
      <c r="Q3283" t="s">
        <v>966</v>
      </c>
      <c r="R3283">
        <v>15.99999999999999999999999999999999999998</v>
      </c>
      <c r="S3283" t="s">
        <v>45</v>
      </c>
      <c r="T328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3">
        <v>56473</v>
      </c>
      <c r="V3283" t="s">
        <v>38</v>
      </c>
      <c r="W3283" t="s">
        <v>966</v>
      </c>
      <c r="X3283">
        <v>15.99999999999999999999999999999999999998</v>
      </c>
      <c r="Y3283">
        <v>0</v>
      </c>
      <c r="Z3283" t="s">
        <v>46</v>
      </c>
      <c r="AA3283">
        <v>56625</v>
      </c>
      <c r="AB3283" t="s">
        <v>2440</v>
      </c>
      <c r="AC3283" t="s">
        <v>103</v>
      </c>
      <c r="AD3283" t="s">
        <v>38</v>
      </c>
      <c r="AE3283" t="s">
        <v>49</v>
      </c>
      <c r="AF3283" t="s">
        <v>50</v>
      </c>
      <c r="AG3283">
        <v>0</v>
      </c>
      <c r="AH3283">
        <v>0</v>
      </c>
      <c r="AI3283" t="s">
        <v>51</v>
      </c>
      <c r="AJ3283" t="s">
        <v>51</v>
      </c>
      <c r="AK3283" t="s">
        <v>51</v>
      </c>
    </row>
    <row r="3284" spans="1:37" x14ac:dyDescent="0.2">
      <c r="A3284">
        <v>56471</v>
      </c>
      <c r="B3284" t="s">
        <v>37</v>
      </c>
      <c r="C3284" t="s">
        <v>38</v>
      </c>
      <c r="D3284" t="s">
        <v>674</v>
      </c>
      <c r="E3284" t="s">
        <v>40</v>
      </c>
      <c r="G3284" s="4">
        <v>43945.005196759259</v>
      </c>
      <c r="H3284" s="4">
        <v>43945.00587962963</v>
      </c>
      <c r="I3284" t="s">
        <v>2438</v>
      </c>
      <c r="J3284" s="5">
        <v>58.99999999999999999999999999999999999997</v>
      </c>
      <c r="K3284" t="s">
        <v>38</v>
      </c>
      <c r="M3284">
        <v>56472</v>
      </c>
      <c r="N3284" t="s">
        <v>705</v>
      </c>
      <c r="O3284" t="s">
        <v>706</v>
      </c>
      <c r="P3284" t="s">
        <v>38</v>
      </c>
      <c r="Q3284" t="s">
        <v>966</v>
      </c>
      <c r="R3284">
        <v>15.99999999999999999999999999999999999998</v>
      </c>
      <c r="S3284" t="s">
        <v>45</v>
      </c>
      <c r="T328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4">
        <v>56473</v>
      </c>
      <c r="V3284" t="s">
        <v>38</v>
      </c>
      <c r="W3284" t="s">
        <v>966</v>
      </c>
      <c r="X3284">
        <v>15.99999999999999999999999999999999999998</v>
      </c>
      <c r="Y3284">
        <v>0</v>
      </c>
      <c r="Z3284" t="s">
        <v>46</v>
      </c>
      <c r="AA3284">
        <v>56624</v>
      </c>
      <c r="AB3284" t="s">
        <v>2441</v>
      </c>
      <c r="AC3284" t="s">
        <v>103</v>
      </c>
      <c r="AD3284" t="s">
        <v>38</v>
      </c>
      <c r="AE3284" t="s">
        <v>49</v>
      </c>
      <c r="AF3284" t="s">
        <v>50</v>
      </c>
      <c r="AG3284">
        <v>0</v>
      </c>
      <c r="AH3284">
        <v>0</v>
      </c>
      <c r="AI3284" t="s">
        <v>51</v>
      </c>
      <c r="AJ3284" t="s">
        <v>51</v>
      </c>
      <c r="AK3284" t="s">
        <v>51</v>
      </c>
    </row>
    <row r="3285" spans="1:37" x14ac:dyDescent="0.2">
      <c r="A3285">
        <v>56471</v>
      </c>
      <c r="B3285" t="s">
        <v>37</v>
      </c>
      <c r="C3285" t="s">
        <v>38</v>
      </c>
      <c r="D3285" t="s">
        <v>674</v>
      </c>
      <c r="E3285" t="s">
        <v>40</v>
      </c>
      <c r="G3285" s="4">
        <v>43945.005196759259</v>
      </c>
      <c r="H3285" s="4">
        <v>43945.00587962963</v>
      </c>
      <c r="I3285" t="s">
        <v>2438</v>
      </c>
      <c r="J3285" s="5">
        <v>58.99999999999999999999999999999999999997</v>
      </c>
      <c r="K3285" t="s">
        <v>38</v>
      </c>
      <c r="M3285">
        <v>56472</v>
      </c>
      <c r="N3285" t="s">
        <v>705</v>
      </c>
      <c r="O3285" t="s">
        <v>706</v>
      </c>
      <c r="P3285" t="s">
        <v>38</v>
      </c>
      <c r="Q3285" t="s">
        <v>966</v>
      </c>
      <c r="R3285">
        <v>15.99999999999999999999999999999999999998</v>
      </c>
      <c r="S3285" t="s">
        <v>45</v>
      </c>
      <c r="T328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5">
        <v>56473</v>
      </c>
      <c r="V3285" t="s">
        <v>38</v>
      </c>
      <c r="W3285" t="s">
        <v>966</v>
      </c>
      <c r="X3285">
        <v>15.99999999999999999999999999999999999998</v>
      </c>
      <c r="Y3285">
        <v>0</v>
      </c>
      <c r="Z3285" t="s">
        <v>46</v>
      </c>
      <c r="AA3285">
        <v>56623</v>
      </c>
      <c r="AB3285" t="s">
        <v>2442</v>
      </c>
      <c r="AC3285" t="s">
        <v>103</v>
      </c>
      <c r="AD3285" t="s">
        <v>38</v>
      </c>
      <c r="AE3285" t="s">
        <v>49</v>
      </c>
      <c r="AF3285" t="s">
        <v>50</v>
      </c>
      <c r="AG3285">
        <v>0</v>
      </c>
      <c r="AH3285">
        <v>0</v>
      </c>
      <c r="AI3285" t="s">
        <v>51</v>
      </c>
      <c r="AJ3285" t="s">
        <v>51</v>
      </c>
      <c r="AK3285" t="s">
        <v>51</v>
      </c>
    </row>
    <row r="3286" spans="1:37" x14ac:dyDescent="0.2">
      <c r="A3286">
        <v>56471</v>
      </c>
      <c r="B3286" t="s">
        <v>37</v>
      </c>
      <c r="C3286" t="s">
        <v>38</v>
      </c>
      <c r="D3286" t="s">
        <v>674</v>
      </c>
      <c r="E3286" t="s">
        <v>40</v>
      </c>
      <c r="G3286" s="4">
        <v>43945.005196759259</v>
      </c>
      <c r="H3286" s="4">
        <v>43945.00587962963</v>
      </c>
      <c r="I3286" t="s">
        <v>2438</v>
      </c>
      <c r="J3286" s="5">
        <v>58.99999999999999999999999999999999999997</v>
      </c>
      <c r="K3286" t="s">
        <v>38</v>
      </c>
      <c r="M3286">
        <v>56472</v>
      </c>
      <c r="N3286" t="s">
        <v>705</v>
      </c>
      <c r="O3286" t="s">
        <v>706</v>
      </c>
      <c r="P3286" t="s">
        <v>38</v>
      </c>
      <c r="Q3286" t="s">
        <v>966</v>
      </c>
      <c r="R3286">
        <v>15.99999999999999999999999999999999999998</v>
      </c>
      <c r="S3286" t="s">
        <v>45</v>
      </c>
      <c r="T328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6">
        <v>56473</v>
      </c>
      <c r="V3286" t="s">
        <v>38</v>
      </c>
      <c r="W3286" t="s">
        <v>966</v>
      </c>
      <c r="X3286">
        <v>15.99999999999999999999999999999999999998</v>
      </c>
      <c r="Y3286">
        <v>0</v>
      </c>
      <c r="Z3286" t="s">
        <v>46</v>
      </c>
      <c r="AA3286">
        <v>56622</v>
      </c>
      <c r="AB3286" t="s">
        <v>2443</v>
      </c>
      <c r="AC3286" t="s">
        <v>103</v>
      </c>
      <c r="AD3286" t="s">
        <v>38</v>
      </c>
      <c r="AE3286" t="s">
        <v>49</v>
      </c>
      <c r="AF3286" t="s">
        <v>50</v>
      </c>
      <c r="AG3286">
        <v>0</v>
      </c>
      <c r="AH3286">
        <v>0</v>
      </c>
      <c r="AI3286" t="s">
        <v>51</v>
      </c>
      <c r="AJ3286" t="s">
        <v>51</v>
      </c>
      <c r="AK3286" t="s">
        <v>51</v>
      </c>
    </row>
    <row r="3287" spans="1:37" x14ac:dyDescent="0.2">
      <c r="A3287">
        <v>56471</v>
      </c>
      <c r="B3287" t="s">
        <v>37</v>
      </c>
      <c r="C3287" t="s">
        <v>38</v>
      </c>
      <c r="D3287" t="s">
        <v>674</v>
      </c>
      <c r="E3287" t="s">
        <v>40</v>
      </c>
      <c r="G3287" s="4">
        <v>43945.005196759259</v>
      </c>
      <c r="H3287" s="4">
        <v>43945.00587962963</v>
      </c>
      <c r="I3287" t="s">
        <v>2438</v>
      </c>
      <c r="J3287" s="5">
        <v>58.99999999999999999999999999999999999997</v>
      </c>
      <c r="K3287" t="s">
        <v>38</v>
      </c>
      <c r="M3287">
        <v>56472</v>
      </c>
      <c r="N3287" t="s">
        <v>705</v>
      </c>
      <c r="O3287" t="s">
        <v>706</v>
      </c>
      <c r="P3287" t="s">
        <v>38</v>
      </c>
      <c r="Q3287" t="s">
        <v>966</v>
      </c>
      <c r="R3287">
        <v>15.99999999999999999999999999999999999998</v>
      </c>
      <c r="S3287" t="s">
        <v>45</v>
      </c>
      <c r="T328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7">
        <v>56473</v>
      </c>
      <c r="V3287" t="s">
        <v>38</v>
      </c>
      <c r="W3287" t="s">
        <v>966</v>
      </c>
      <c r="X3287">
        <v>15.99999999999999999999999999999999999998</v>
      </c>
      <c r="Y3287">
        <v>0</v>
      </c>
      <c r="Z3287" t="s">
        <v>46</v>
      </c>
      <c r="AA3287">
        <v>56621</v>
      </c>
      <c r="AB3287" t="s">
        <v>2444</v>
      </c>
      <c r="AC3287" t="s">
        <v>103</v>
      </c>
      <c r="AD3287" t="s">
        <v>38</v>
      </c>
      <c r="AE3287" t="s">
        <v>49</v>
      </c>
      <c r="AF3287" t="s">
        <v>50</v>
      </c>
      <c r="AG3287">
        <v>0</v>
      </c>
      <c r="AH3287">
        <v>0</v>
      </c>
      <c r="AI3287" t="s">
        <v>51</v>
      </c>
      <c r="AJ3287" t="s">
        <v>51</v>
      </c>
      <c r="AK3287" t="s">
        <v>51</v>
      </c>
    </row>
    <row r="3288" spans="1:37" x14ac:dyDescent="0.2">
      <c r="A3288">
        <v>56471</v>
      </c>
      <c r="B3288" t="s">
        <v>37</v>
      </c>
      <c r="C3288" t="s">
        <v>38</v>
      </c>
      <c r="D3288" t="s">
        <v>674</v>
      </c>
      <c r="E3288" t="s">
        <v>40</v>
      </c>
      <c r="G3288" s="4">
        <v>43945.005196759259</v>
      </c>
      <c r="H3288" s="4">
        <v>43945.00587962963</v>
      </c>
      <c r="I3288" t="s">
        <v>2438</v>
      </c>
      <c r="J3288" s="5">
        <v>58.99999999999999999999999999999999999997</v>
      </c>
      <c r="K3288" t="s">
        <v>38</v>
      </c>
      <c r="M3288">
        <v>56472</v>
      </c>
      <c r="N3288" t="s">
        <v>705</v>
      </c>
      <c r="O3288" t="s">
        <v>706</v>
      </c>
      <c r="P3288" t="s">
        <v>38</v>
      </c>
      <c r="Q3288" t="s">
        <v>966</v>
      </c>
      <c r="R3288">
        <v>15.99999999999999999999999999999999999998</v>
      </c>
      <c r="S3288" t="s">
        <v>45</v>
      </c>
      <c r="T328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8">
        <v>56473</v>
      </c>
      <c r="V3288" t="s">
        <v>38</v>
      </c>
      <c r="W3288" t="s">
        <v>966</v>
      </c>
      <c r="X3288">
        <v>15.99999999999999999999999999999999999998</v>
      </c>
      <c r="Y3288">
        <v>0</v>
      </c>
      <c r="Z3288" t="s">
        <v>46</v>
      </c>
      <c r="AA3288">
        <v>56620</v>
      </c>
      <c r="AB3288" t="s">
        <v>2445</v>
      </c>
      <c r="AC3288" t="s">
        <v>103</v>
      </c>
      <c r="AD3288" t="s">
        <v>38</v>
      </c>
      <c r="AE3288" t="s">
        <v>49</v>
      </c>
      <c r="AF3288" t="s">
        <v>85</v>
      </c>
      <c r="AG3288">
        <v>3</v>
      </c>
      <c r="AH3288">
        <v>0</v>
      </c>
      <c r="AI3288" t="s">
        <v>51</v>
      </c>
      <c r="AJ3288" t="s">
        <v>51</v>
      </c>
      <c r="AK3288" t="s">
        <v>51</v>
      </c>
    </row>
    <row r="3289" spans="1:37" x14ac:dyDescent="0.2">
      <c r="A3289">
        <v>56471</v>
      </c>
      <c r="B3289" t="s">
        <v>37</v>
      </c>
      <c r="C3289" t="s">
        <v>38</v>
      </c>
      <c r="D3289" t="s">
        <v>674</v>
      </c>
      <c r="E3289" t="s">
        <v>40</v>
      </c>
      <c r="G3289" s="4">
        <v>43945.005196759259</v>
      </c>
      <c r="H3289" s="4">
        <v>43945.00587962963</v>
      </c>
      <c r="I3289" t="s">
        <v>2438</v>
      </c>
      <c r="J3289" s="5">
        <v>58.99999999999999999999999999999999999997</v>
      </c>
      <c r="K3289" t="s">
        <v>38</v>
      </c>
      <c r="M3289">
        <v>56472</v>
      </c>
      <c r="N3289" t="s">
        <v>705</v>
      </c>
      <c r="O3289" t="s">
        <v>706</v>
      </c>
      <c r="P3289" t="s">
        <v>38</v>
      </c>
      <c r="Q3289" t="s">
        <v>966</v>
      </c>
      <c r="R3289">
        <v>15.99999999999999999999999999999999999998</v>
      </c>
      <c r="S3289" t="s">
        <v>45</v>
      </c>
      <c r="T328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89">
        <v>56473</v>
      </c>
      <c r="V3289" t="s">
        <v>38</v>
      </c>
      <c r="W3289" t="s">
        <v>966</v>
      </c>
      <c r="X3289">
        <v>15.99999999999999999999999999999999999998</v>
      </c>
      <c r="Y3289">
        <v>0</v>
      </c>
      <c r="Z3289" t="s">
        <v>46</v>
      </c>
      <c r="AA3289">
        <v>56619</v>
      </c>
      <c r="AB3289" t="s">
        <v>2446</v>
      </c>
      <c r="AC3289" t="s">
        <v>103</v>
      </c>
      <c r="AD3289" t="s">
        <v>38</v>
      </c>
      <c r="AE3289" t="s">
        <v>49</v>
      </c>
      <c r="AF3289" t="s">
        <v>50</v>
      </c>
      <c r="AG3289">
        <v>0</v>
      </c>
      <c r="AH3289">
        <v>0</v>
      </c>
      <c r="AI3289" t="s">
        <v>51</v>
      </c>
      <c r="AJ3289" t="s">
        <v>51</v>
      </c>
      <c r="AK3289" t="s">
        <v>51</v>
      </c>
    </row>
    <row r="3290" spans="1:37" x14ac:dyDescent="0.2">
      <c r="A3290">
        <v>56471</v>
      </c>
      <c r="B3290" t="s">
        <v>37</v>
      </c>
      <c r="C3290" t="s">
        <v>38</v>
      </c>
      <c r="D3290" t="s">
        <v>674</v>
      </c>
      <c r="E3290" t="s">
        <v>40</v>
      </c>
      <c r="G3290" s="4">
        <v>43945.005196759259</v>
      </c>
      <c r="H3290" s="4">
        <v>43945.00587962963</v>
      </c>
      <c r="I3290" t="s">
        <v>2438</v>
      </c>
      <c r="J3290" s="5">
        <v>58.99999999999999999999999999999999999997</v>
      </c>
      <c r="K3290" t="s">
        <v>38</v>
      </c>
      <c r="M3290">
        <v>56472</v>
      </c>
      <c r="N3290" t="s">
        <v>705</v>
      </c>
      <c r="O3290" t="s">
        <v>706</v>
      </c>
      <c r="P3290" t="s">
        <v>38</v>
      </c>
      <c r="Q3290" t="s">
        <v>966</v>
      </c>
      <c r="R3290">
        <v>15.99999999999999999999999999999999999998</v>
      </c>
      <c r="S3290" t="s">
        <v>45</v>
      </c>
      <c r="T329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0">
        <v>56473</v>
      </c>
      <c r="V3290" t="s">
        <v>38</v>
      </c>
      <c r="W3290" t="s">
        <v>966</v>
      </c>
      <c r="X3290">
        <v>15.99999999999999999999999999999999999998</v>
      </c>
      <c r="Y3290">
        <v>0</v>
      </c>
      <c r="Z3290" t="s">
        <v>46</v>
      </c>
      <c r="AA3290">
        <v>56618</v>
      </c>
      <c r="AB3290" t="s">
        <v>2447</v>
      </c>
      <c r="AC3290" t="s">
        <v>103</v>
      </c>
      <c r="AD3290" t="s">
        <v>38</v>
      </c>
      <c r="AE3290" t="s">
        <v>49</v>
      </c>
      <c r="AF3290" t="s">
        <v>50</v>
      </c>
      <c r="AG3290">
        <v>0</v>
      </c>
      <c r="AH3290">
        <v>0</v>
      </c>
      <c r="AI3290" t="s">
        <v>51</v>
      </c>
      <c r="AJ3290" t="s">
        <v>51</v>
      </c>
      <c r="AK3290" t="s">
        <v>51</v>
      </c>
    </row>
    <row r="3291" spans="1:37" x14ac:dyDescent="0.2">
      <c r="A3291">
        <v>56471</v>
      </c>
      <c r="B3291" t="s">
        <v>37</v>
      </c>
      <c r="C3291" t="s">
        <v>38</v>
      </c>
      <c r="D3291" t="s">
        <v>674</v>
      </c>
      <c r="E3291" t="s">
        <v>40</v>
      </c>
      <c r="G3291" s="4">
        <v>43945.005196759259</v>
      </c>
      <c r="H3291" s="4">
        <v>43945.00587962963</v>
      </c>
      <c r="I3291" t="s">
        <v>2438</v>
      </c>
      <c r="J3291" s="5">
        <v>58.99999999999999999999999999999999999997</v>
      </c>
      <c r="K3291" t="s">
        <v>38</v>
      </c>
      <c r="M3291">
        <v>56472</v>
      </c>
      <c r="N3291" t="s">
        <v>705</v>
      </c>
      <c r="O3291" t="s">
        <v>706</v>
      </c>
      <c r="P3291" t="s">
        <v>38</v>
      </c>
      <c r="Q3291" t="s">
        <v>966</v>
      </c>
      <c r="R3291">
        <v>15.99999999999999999999999999999999999998</v>
      </c>
      <c r="S3291" t="s">
        <v>45</v>
      </c>
      <c r="T329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1">
        <v>56473</v>
      </c>
      <c r="V3291" t="s">
        <v>38</v>
      </c>
      <c r="W3291" t="s">
        <v>966</v>
      </c>
      <c r="X3291">
        <v>15.99999999999999999999999999999999999998</v>
      </c>
      <c r="Y3291">
        <v>0</v>
      </c>
      <c r="Z3291" t="s">
        <v>46</v>
      </c>
      <c r="AA3291">
        <v>56617</v>
      </c>
      <c r="AB3291" t="s">
        <v>2448</v>
      </c>
      <c r="AC3291" t="s">
        <v>103</v>
      </c>
      <c r="AD3291" t="s">
        <v>38</v>
      </c>
      <c r="AE3291" t="s">
        <v>49</v>
      </c>
      <c r="AF3291" t="s">
        <v>50</v>
      </c>
      <c r="AG3291">
        <v>0</v>
      </c>
      <c r="AH3291">
        <v>0</v>
      </c>
      <c r="AI3291" t="s">
        <v>51</v>
      </c>
      <c r="AJ3291" t="s">
        <v>51</v>
      </c>
      <c r="AK3291" t="s">
        <v>51</v>
      </c>
    </row>
    <row r="3292" spans="1:37" x14ac:dyDescent="0.2">
      <c r="A3292">
        <v>56471</v>
      </c>
      <c r="B3292" t="s">
        <v>37</v>
      </c>
      <c r="C3292" t="s">
        <v>38</v>
      </c>
      <c r="D3292" t="s">
        <v>674</v>
      </c>
      <c r="E3292" t="s">
        <v>40</v>
      </c>
      <c r="G3292" s="4">
        <v>43945.005196759259</v>
      </c>
      <c r="H3292" s="4">
        <v>43945.00587962963</v>
      </c>
      <c r="I3292" t="s">
        <v>2438</v>
      </c>
      <c r="J3292" s="5">
        <v>58.99999999999999999999999999999999999997</v>
      </c>
      <c r="K3292" t="s">
        <v>38</v>
      </c>
      <c r="M3292">
        <v>56472</v>
      </c>
      <c r="N3292" t="s">
        <v>705</v>
      </c>
      <c r="O3292" t="s">
        <v>706</v>
      </c>
      <c r="P3292" t="s">
        <v>38</v>
      </c>
      <c r="Q3292" t="s">
        <v>966</v>
      </c>
      <c r="R3292">
        <v>15.99999999999999999999999999999999999998</v>
      </c>
      <c r="S3292" t="s">
        <v>45</v>
      </c>
      <c r="T329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2">
        <v>56473</v>
      </c>
      <c r="V3292" t="s">
        <v>38</v>
      </c>
      <c r="W3292" t="s">
        <v>966</v>
      </c>
      <c r="X3292">
        <v>15.99999999999999999999999999999999999998</v>
      </c>
      <c r="Y3292">
        <v>0</v>
      </c>
      <c r="Z3292" t="s">
        <v>46</v>
      </c>
      <c r="AA3292">
        <v>56616</v>
      </c>
      <c r="AB3292" t="s">
        <v>2449</v>
      </c>
      <c r="AC3292" t="s">
        <v>103</v>
      </c>
      <c r="AD3292" t="s">
        <v>38</v>
      </c>
      <c r="AE3292" t="s">
        <v>49</v>
      </c>
      <c r="AF3292" t="s">
        <v>50</v>
      </c>
      <c r="AG3292">
        <v>0</v>
      </c>
      <c r="AH3292">
        <v>0</v>
      </c>
      <c r="AI3292" t="s">
        <v>51</v>
      </c>
      <c r="AJ3292" t="s">
        <v>51</v>
      </c>
      <c r="AK3292" t="s">
        <v>51</v>
      </c>
    </row>
    <row r="3293" spans="1:37" x14ac:dyDescent="0.2">
      <c r="A3293">
        <v>56471</v>
      </c>
      <c r="B3293" t="s">
        <v>37</v>
      </c>
      <c r="C3293" t="s">
        <v>38</v>
      </c>
      <c r="D3293" t="s">
        <v>674</v>
      </c>
      <c r="E3293" t="s">
        <v>40</v>
      </c>
      <c r="G3293" s="4">
        <v>43945.005196759259</v>
      </c>
      <c r="H3293" s="4">
        <v>43945.00587962963</v>
      </c>
      <c r="I3293" t="s">
        <v>2438</v>
      </c>
      <c r="J3293" s="5">
        <v>58.99999999999999999999999999999999999997</v>
      </c>
      <c r="K3293" t="s">
        <v>38</v>
      </c>
      <c r="M3293">
        <v>56472</v>
      </c>
      <c r="N3293" t="s">
        <v>705</v>
      </c>
      <c r="O3293" t="s">
        <v>706</v>
      </c>
      <c r="P3293" t="s">
        <v>38</v>
      </c>
      <c r="Q3293" t="s">
        <v>966</v>
      </c>
      <c r="R3293">
        <v>15.99999999999999999999999999999999999998</v>
      </c>
      <c r="S3293" t="s">
        <v>45</v>
      </c>
      <c r="T329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3">
        <v>56473</v>
      </c>
      <c r="V3293" t="s">
        <v>38</v>
      </c>
      <c r="W3293" t="s">
        <v>966</v>
      </c>
      <c r="X3293">
        <v>15.99999999999999999999999999999999999998</v>
      </c>
      <c r="Y3293">
        <v>0</v>
      </c>
      <c r="Z3293" t="s">
        <v>46</v>
      </c>
      <c r="AA3293">
        <v>56615</v>
      </c>
      <c r="AB3293" t="s">
        <v>2450</v>
      </c>
      <c r="AC3293" t="s">
        <v>103</v>
      </c>
      <c r="AD3293" t="s">
        <v>38</v>
      </c>
      <c r="AE3293" t="s">
        <v>49</v>
      </c>
      <c r="AF3293" t="s">
        <v>50</v>
      </c>
      <c r="AG3293">
        <v>0</v>
      </c>
      <c r="AH3293">
        <v>0</v>
      </c>
      <c r="AI3293" t="s">
        <v>51</v>
      </c>
      <c r="AJ3293" t="s">
        <v>51</v>
      </c>
      <c r="AK3293" t="s">
        <v>51</v>
      </c>
    </row>
    <row r="3294" spans="1:37" x14ac:dyDescent="0.2">
      <c r="A3294">
        <v>56471</v>
      </c>
      <c r="B3294" t="s">
        <v>37</v>
      </c>
      <c r="C3294" t="s">
        <v>38</v>
      </c>
      <c r="D3294" t="s">
        <v>674</v>
      </c>
      <c r="E3294" t="s">
        <v>40</v>
      </c>
      <c r="G3294" s="4">
        <v>43945.005196759259</v>
      </c>
      <c r="H3294" s="4">
        <v>43945.00587962963</v>
      </c>
      <c r="I3294" t="s">
        <v>2438</v>
      </c>
      <c r="J3294" s="5">
        <v>58.99999999999999999999999999999999999997</v>
      </c>
      <c r="K3294" t="s">
        <v>38</v>
      </c>
      <c r="M3294">
        <v>56472</v>
      </c>
      <c r="N3294" t="s">
        <v>705</v>
      </c>
      <c r="O3294" t="s">
        <v>706</v>
      </c>
      <c r="P3294" t="s">
        <v>38</v>
      </c>
      <c r="Q3294" t="s">
        <v>966</v>
      </c>
      <c r="R3294">
        <v>15.99999999999999999999999999999999999998</v>
      </c>
      <c r="S3294" t="s">
        <v>45</v>
      </c>
      <c r="T329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4">
        <v>56473</v>
      </c>
      <c r="V3294" t="s">
        <v>38</v>
      </c>
      <c r="W3294" t="s">
        <v>966</v>
      </c>
      <c r="X3294">
        <v>15.99999999999999999999999999999999999998</v>
      </c>
      <c r="Y3294">
        <v>0</v>
      </c>
      <c r="Z3294" t="s">
        <v>46</v>
      </c>
      <c r="AA3294">
        <v>56614</v>
      </c>
      <c r="AB3294" t="s">
        <v>2451</v>
      </c>
      <c r="AC3294" t="s">
        <v>103</v>
      </c>
      <c r="AD3294" t="s">
        <v>38</v>
      </c>
      <c r="AE3294" t="s">
        <v>49</v>
      </c>
      <c r="AF3294" t="s">
        <v>50</v>
      </c>
      <c r="AG3294">
        <v>0</v>
      </c>
      <c r="AH3294">
        <v>0</v>
      </c>
      <c r="AI3294" t="s">
        <v>51</v>
      </c>
      <c r="AJ3294" t="s">
        <v>51</v>
      </c>
      <c r="AK3294" t="s">
        <v>51</v>
      </c>
    </row>
    <row r="3295" spans="1:37" x14ac:dyDescent="0.2">
      <c r="A3295">
        <v>56471</v>
      </c>
      <c r="B3295" t="s">
        <v>37</v>
      </c>
      <c r="C3295" t="s">
        <v>38</v>
      </c>
      <c r="D3295" t="s">
        <v>674</v>
      </c>
      <c r="E3295" t="s">
        <v>40</v>
      </c>
      <c r="G3295" s="4">
        <v>43945.005196759259</v>
      </c>
      <c r="H3295" s="4">
        <v>43945.00587962963</v>
      </c>
      <c r="I3295" t="s">
        <v>2438</v>
      </c>
      <c r="J3295" s="5">
        <v>58.99999999999999999999999999999999999997</v>
      </c>
      <c r="K3295" t="s">
        <v>38</v>
      </c>
      <c r="M3295">
        <v>56472</v>
      </c>
      <c r="N3295" t="s">
        <v>705</v>
      </c>
      <c r="O3295" t="s">
        <v>706</v>
      </c>
      <c r="P3295" t="s">
        <v>38</v>
      </c>
      <c r="Q3295" t="s">
        <v>966</v>
      </c>
      <c r="R3295">
        <v>15.99999999999999999999999999999999999998</v>
      </c>
      <c r="S3295" t="s">
        <v>45</v>
      </c>
      <c r="T329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5">
        <v>56473</v>
      </c>
      <c r="V3295" t="s">
        <v>38</v>
      </c>
      <c r="W3295" t="s">
        <v>966</v>
      </c>
      <c r="X3295">
        <v>15.99999999999999999999999999999999999998</v>
      </c>
      <c r="Y3295">
        <v>0</v>
      </c>
      <c r="Z3295" t="s">
        <v>46</v>
      </c>
      <c r="AA3295">
        <v>56613</v>
      </c>
      <c r="AB3295" t="s">
        <v>2452</v>
      </c>
      <c r="AC3295" t="s">
        <v>103</v>
      </c>
      <c r="AD3295" t="s">
        <v>38</v>
      </c>
      <c r="AE3295" t="s">
        <v>49</v>
      </c>
      <c r="AF3295" t="s">
        <v>50</v>
      </c>
      <c r="AG3295">
        <v>0</v>
      </c>
      <c r="AH3295">
        <v>0</v>
      </c>
      <c r="AI3295" t="s">
        <v>51</v>
      </c>
      <c r="AJ3295" t="s">
        <v>51</v>
      </c>
      <c r="AK3295" t="s">
        <v>51</v>
      </c>
    </row>
    <row r="3296" spans="1:37" x14ac:dyDescent="0.2">
      <c r="A3296">
        <v>56471</v>
      </c>
      <c r="B3296" t="s">
        <v>37</v>
      </c>
      <c r="C3296" t="s">
        <v>38</v>
      </c>
      <c r="D3296" t="s">
        <v>674</v>
      </c>
      <c r="E3296" t="s">
        <v>40</v>
      </c>
      <c r="G3296" s="4">
        <v>43945.005196759259</v>
      </c>
      <c r="H3296" s="4">
        <v>43945.00587962963</v>
      </c>
      <c r="I3296" t="s">
        <v>2438</v>
      </c>
      <c r="J3296" s="5">
        <v>58.99999999999999999999999999999999999997</v>
      </c>
      <c r="K3296" t="s">
        <v>38</v>
      </c>
      <c r="M3296">
        <v>56472</v>
      </c>
      <c r="N3296" t="s">
        <v>705</v>
      </c>
      <c r="O3296" t="s">
        <v>706</v>
      </c>
      <c r="P3296" t="s">
        <v>38</v>
      </c>
      <c r="Q3296" t="s">
        <v>966</v>
      </c>
      <c r="R3296">
        <v>15.99999999999999999999999999999999999998</v>
      </c>
      <c r="S3296" t="s">
        <v>45</v>
      </c>
      <c r="T329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6">
        <v>56473</v>
      </c>
      <c r="V3296" t="s">
        <v>38</v>
      </c>
      <c r="W3296" t="s">
        <v>966</v>
      </c>
      <c r="X3296">
        <v>15.99999999999999999999999999999999999998</v>
      </c>
      <c r="Y3296">
        <v>0</v>
      </c>
      <c r="Z3296" t="s">
        <v>46</v>
      </c>
      <c r="AA3296">
        <v>56612</v>
      </c>
      <c r="AB3296" t="s">
        <v>2453</v>
      </c>
      <c r="AC3296" t="s">
        <v>103</v>
      </c>
      <c r="AD3296" t="s">
        <v>38</v>
      </c>
      <c r="AE3296" t="s">
        <v>49</v>
      </c>
      <c r="AF3296" t="s">
        <v>50</v>
      </c>
      <c r="AG3296">
        <v>0</v>
      </c>
      <c r="AH3296">
        <v>0</v>
      </c>
      <c r="AI3296" t="s">
        <v>51</v>
      </c>
      <c r="AJ3296" t="s">
        <v>51</v>
      </c>
      <c r="AK3296" t="s">
        <v>51</v>
      </c>
    </row>
    <row r="3297" spans="1:37" x14ac:dyDescent="0.2">
      <c r="A3297">
        <v>56471</v>
      </c>
      <c r="B3297" t="s">
        <v>37</v>
      </c>
      <c r="C3297" t="s">
        <v>38</v>
      </c>
      <c r="D3297" t="s">
        <v>674</v>
      </c>
      <c r="E3297" t="s">
        <v>40</v>
      </c>
      <c r="G3297" s="4">
        <v>43945.005196759259</v>
      </c>
      <c r="H3297" s="4">
        <v>43945.00587962963</v>
      </c>
      <c r="I3297" t="s">
        <v>2438</v>
      </c>
      <c r="J3297" s="5">
        <v>58.99999999999999999999999999999999999997</v>
      </c>
      <c r="K3297" t="s">
        <v>38</v>
      </c>
      <c r="M3297">
        <v>56472</v>
      </c>
      <c r="N3297" t="s">
        <v>705</v>
      </c>
      <c r="O3297" t="s">
        <v>706</v>
      </c>
      <c r="P3297" t="s">
        <v>38</v>
      </c>
      <c r="Q3297" t="s">
        <v>966</v>
      </c>
      <c r="R3297">
        <v>15.99999999999999999999999999999999999998</v>
      </c>
      <c r="S3297" t="s">
        <v>45</v>
      </c>
      <c r="T329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7">
        <v>56473</v>
      </c>
      <c r="V3297" t="s">
        <v>38</v>
      </c>
      <c r="W3297" t="s">
        <v>966</v>
      </c>
      <c r="X3297">
        <v>15.99999999999999999999999999999999999998</v>
      </c>
      <c r="Y3297">
        <v>0</v>
      </c>
      <c r="Z3297" t="s">
        <v>46</v>
      </c>
      <c r="AA3297">
        <v>56611</v>
      </c>
      <c r="AB3297" t="s">
        <v>2454</v>
      </c>
      <c r="AC3297" t="s">
        <v>103</v>
      </c>
      <c r="AD3297" t="s">
        <v>38</v>
      </c>
      <c r="AE3297" t="s">
        <v>49</v>
      </c>
      <c r="AF3297" t="s">
        <v>50</v>
      </c>
      <c r="AG3297">
        <v>0</v>
      </c>
      <c r="AH3297">
        <v>0</v>
      </c>
      <c r="AI3297" t="s">
        <v>51</v>
      </c>
      <c r="AJ3297" t="s">
        <v>51</v>
      </c>
      <c r="AK3297" t="s">
        <v>51</v>
      </c>
    </row>
    <row r="3298" spans="1:37" x14ac:dyDescent="0.2">
      <c r="A3298">
        <v>56471</v>
      </c>
      <c r="B3298" t="s">
        <v>37</v>
      </c>
      <c r="C3298" t="s">
        <v>38</v>
      </c>
      <c r="D3298" t="s">
        <v>674</v>
      </c>
      <c r="E3298" t="s">
        <v>40</v>
      </c>
      <c r="G3298" s="4">
        <v>43945.005196759259</v>
      </c>
      <c r="H3298" s="4">
        <v>43945.00587962963</v>
      </c>
      <c r="I3298" t="s">
        <v>2438</v>
      </c>
      <c r="J3298" s="5">
        <v>58.99999999999999999999999999999999999997</v>
      </c>
      <c r="K3298" t="s">
        <v>38</v>
      </c>
      <c r="M3298">
        <v>56472</v>
      </c>
      <c r="N3298" t="s">
        <v>705</v>
      </c>
      <c r="O3298" t="s">
        <v>706</v>
      </c>
      <c r="P3298" t="s">
        <v>38</v>
      </c>
      <c r="Q3298" t="s">
        <v>966</v>
      </c>
      <c r="R3298">
        <v>15.99999999999999999999999999999999999998</v>
      </c>
      <c r="S3298" t="s">
        <v>45</v>
      </c>
      <c r="T329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8">
        <v>56473</v>
      </c>
      <c r="V3298" t="s">
        <v>38</v>
      </c>
      <c r="W3298" t="s">
        <v>966</v>
      </c>
      <c r="X3298">
        <v>15.99999999999999999999999999999999999998</v>
      </c>
      <c r="Y3298">
        <v>0</v>
      </c>
      <c r="Z3298" t="s">
        <v>46</v>
      </c>
      <c r="AA3298">
        <v>56610</v>
      </c>
      <c r="AB3298" t="s">
        <v>2455</v>
      </c>
      <c r="AC3298" t="s">
        <v>103</v>
      </c>
      <c r="AD3298" t="s">
        <v>38</v>
      </c>
      <c r="AE3298" t="s">
        <v>49</v>
      </c>
      <c r="AF3298" t="s">
        <v>50</v>
      </c>
      <c r="AG3298">
        <v>0</v>
      </c>
      <c r="AH3298">
        <v>0</v>
      </c>
      <c r="AI3298" t="s">
        <v>51</v>
      </c>
      <c r="AJ3298" t="s">
        <v>51</v>
      </c>
      <c r="AK3298" t="s">
        <v>51</v>
      </c>
    </row>
    <row r="3299" spans="1:37" x14ac:dyDescent="0.2">
      <c r="A3299">
        <v>56471</v>
      </c>
      <c r="B3299" t="s">
        <v>37</v>
      </c>
      <c r="C3299" t="s">
        <v>38</v>
      </c>
      <c r="D3299" t="s">
        <v>674</v>
      </c>
      <c r="E3299" t="s">
        <v>40</v>
      </c>
      <c r="G3299" s="4">
        <v>43945.005196759259</v>
      </c>
      <c r="H3299" s="4">
        <v>43945.00587962963</v>
      </c>
      <c r="I3299" t="s">
        <v>2438</v>
      </c>
      <c r="J3299" s="5">
        <v>58.99999999999999999999999999999999999997</v>
      </c>
      <c r="K3299" t="s">
        <v>38</v>
      </c>
      <c r="M3299">
        <v>56472</v>
      </c>
      <c r="N3299" t="s">
        <v>705</v>
      </c>
      <c r="O3299" t="s">
        <v>706</v>
      </c>
      <c r="P3299" t="s">
        <v>38</v>
      </c>
      <c r="Q3299" t="s">
        <v>966</v>
      </c>
      <c r="R3299">
        <v>15.99999999999999999999999999999999999998</v>
      </c>
      <c r="S3299" t="s">
        <v>45</v>
      </c>
      <c r="T329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299">
        <v>56473</v>
      </c>
      <c r="V3299" t="s">
        <v>38</v>
      </c>
      <c r="W3299" t="s">
        <v>966</v>
      </c>
      <c r="X3299">
        <v>15.99999999999999999999999999999999999998</v>
      </c>
      <c r="Y3299">
        <v>0</v>
      </c>
      <c r="Z3299" t="s">
        <v>46</v>
      </c>
      <c r="AA3299">
        <v>56609</v>
      </c>
      <c r="AB3299" t="s">
        <v>2456</v>
      </c>
      <c r="AC3299" t="s">
        <v>103</v>
      </c>
      <c r="AD3299" t="s">
        <v>38</v>
      </c>
      <c r="AE3299" t="s">
        <v>49</v>
      </c>
      <c r="AF3299" t="s">
        <v>50</v>
      </c>
      <c r="AG3299">
        <v>0</v>
      </c>
      <c r="AH3299">
        <v>0</v>
      </c>
      <c r="AI3299" t="s">
        <v>51</v>
      </c>
      <c r="AJ3299" t="s">
        <v>51</v>
      </c>
      <c r="AK3299" t="s">
        <v>51</v>
      </c>
    </row>
    <row r="3300" spans="1:37" x14ac:dyDescent="0.2">
      <c r="A3300">
        <v>56471</v>
      </c>
      <c r="B3300" t="s">
        <v>37</v>
      </c>
      <c r="C3300" t="s">
        <v>38</v>
      </c>
      <c r="D3300" t="s">
        <v>674</v>
      </c>
      <c r="E3300" t="s">
        <v>40</v>
      </c>
      <c r="G3300" s="4">
        <v>43945.005196759259</v>
      </c>
      <c r="H3300" s="4">
        <v>43945.00587962963</v>
      </c>
      <c r="I3300" t="s">
        <v>2438</v>
      </c>
      <c r="J3300" s="5">
        <v>58.99999999999999999999999999999999999997</v>
      </c>
      <c r="K3300" t="s">
        <v>38</v>
      </c>
      <c r="M3300">
        <v>56472</v>
      </c>
      <c r="N3300" t="s">
        <v>705</v>
      </c>
      <c r="O3300" t="s">
        <v>706</v>
      </c>
      <c r="P3300" t="s">
        <v>38</v>
      </c>
      <c r="Q3300" t="s">
        <v>966</v>
      </c>
      <c r="R3300">
        <v>15.99999999999999999999999999999999999998</v>
      </c>
      <c r="S3300" t="s">
        <v>45</v>
      </c>
      <c r="T330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0">
        <v>56473</v>
      </c>
      <c r="V3300" t="s">
        <v>38</v>
      </c>
      <c r="W3300" t="s">
        <v>966</v>
      </c>
      <c r="X3300">
        <v>15.99999999999999999999999999999999999998</v>
      </c>
      <c r="Y3300">
        <v>0</v>
      </c>
      <c r="Z3300" t="s">
        <v>46</v>
      </c>
      <c r="AA3300">
        <v>56608</v>
      </c>
      <c r="AB3300" t="s">
        <v>2457</v>
      </c>
      <c r="AC3300" t="s">
        <v>103</v>
      </c>
      <c r="AD3300" t="s">
        <v>38</v>
      </c>
      <c r="AE3300" t="s">
        <v>49</v>
      </c>
      <c r="AF3300" t="s">
        <v>50</v>
      </c>
      <c r="AG3300">
        <v>0</v>
      </c>
      <c r="AH3300">
        <v>0</v>
      </c>
      <c r="AI3300" t="s">
        <v>51</v>
      </c>
      <c r="AJ3300" t="s">
        <v>51</v>
      </c>
      <c r="AK3300" t="s">
        <v>51</v>
      </c>
    </row>
    <row r="3301" spans="1:37" x14ac:dyDescent="0.2">
      <c r="A3301">
        <v>56471</v>
      </c>
      <c r="B3301" t="s">
        <v>37</v>
      </c>
      <c r="C3301" t="s">
        <v>38</v>
      </c>
      <c r="D3301" t="s">
        <v>674</v>
      </c>
      <c r="E3301" t="s">
        <v>40</v>
      </c>
      <c r="G3301" s="4">
        <v>43945.005196759259</v>
      </c>
      <c r="H3301" s="4">
        <v>43945.00587962963</v>
      </c>
      <c r="I3301" t="s">
        <v>2438</v>
      </c>
      <c r="J3301" s="5">
        <v>58.99999999999999999999999999999999999997</v>
      </c>
      <c r="K3301" t="s">
        <v>38</v>
      </c>
      <c r="M3301">
        <v>56472</v>
      </c>
      <c r="N3301" t="s">
        <v>705</v>
      </c>
      <c r="O3301" t="s">
        <v>706</v>
      </c>
      <c r="P3301" t="s">
        <v>38</v>
      </c>
      <c r="Q3301" t="s">
        <v>966</v>
      </c>
      <c r="R3301">
        <v>15.99999999999999999999999999999999999998</v>
      </c>
      <c r="S3301" t="s">
        <v>45</v>
      </c>
      <c r="T330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1">
        <v>56473</v>
      </c>
      <c r="V3301" t="s">
        <v>38</v>
      </c>
      <c r="W3301" t="s">
        <v>966</v>
      </c>
      <c r="X3301">
        <v>15.99999999999999999999999999999999999998</v>
      </c>
      <c r="Y3301">
        <v>0</v>
      </c>
      <c r="Z3301" t="s">
        <v>46</v>
      </c>
      <c r="AA3301">
        <v>56607</v>
      </c>
      <c r="AB3301" t="s">
        <v>2458</v>
      </c>
      <c r="AC3301" t="s">
        <v>103</v>
      </c>
      <c r="AD3301" t="s">
        <v>38</v>
      </c>
      <c r="AE3301" t="s">
        <v>49</v>
      </c>
      <c r="AF3301" t="s">
        <v>50</v>
      </c>
      <c r="AG3301">
        <v>0</v>
      </c>
      <c r="AH3301">
        <v>0</v>
      </c>
      <c r="AI3301" t="s">
        <v>51</v>
      </c>
      <c r="AJ3301" t="s">
        <v>51</v>
      </c>
      <c r="AK3301" t="s">
        <v>51</v>
      </c>
    </row>
    <row r="3302" spans="1:37" x14ac:dyDescent="0.2">
      <c r="A3302">
        <v>56471</v>
      </c>
      <c r="B3302" t="s">
        <v>37</v>
      </c>
      <c r="C3302" t="s">
        <v>38</v>
      </c>
      <c r="D3302" t="s">
        <v>674</v>
      </c>
      <c r="E3302" t="s">
        <v>40</v>
      </c>
      <c r="G3302" s="4">
        <v>43945.005196759259</v>
      </c>
      <c r="H3302" s="4">
        <v>43945.00587962963</v>
      </c>
      <c r="I3302" t="s">
        <v>2438</v>
      </c>
      <c r="J3302" s="5">
        <v>58.99999999999999999999999999999999999997</v>
      </c>
      <c r="K3302" t="s">
        <v>38</v>
      </c>
      <c r="M3302">
        <v>56472</v>
      </c>
      <c r="N3302" t="s">
        <v>705</v>
      </c>
      <c r="O3302" t="s">
        <v>706</v>
      </c>
      <c r="P3302" t="s">
        <v>38</v>
      </c>
      <c r="Q3302" t="s">
        <v>966</v>
      </c>
      <c r="R3302">
        <v>15.99999999999999999999999999999999999998</v>
      </c>
      <c r="S3302" t="s">
        <v>45</v>
      </c>
      <c r="T330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2">
        <v>56473</v>
      </c>
      <c r="V3302" t="s">
        <v>38</v>
      </c>
      <c r="W3302" t="s">
        <v>966</v>
      </c>
      <c r="X3302">
        <v>15.99999999999999999999999999999999999998</v>
      </c>
      <c r="Y3302">
        <v>0</v>
      </c>
      <c r="Z3302" t="s">
        <v>46</v>
      </c>
      <c r="AA3302">
        <v>56606</v>
      </c>
      <c r="AB3302" t="s">
        <v>2459</v>
      </c>
      <c r="AC3302" t="s">
        <v>103</v>
      </c>
      <c r="AD3302" t="s">
        <v>38</v>
      </c>
      <c r="AE3302" t="s">
        <v>49</v>
      </c>
      <c r="AF3302" t="s">
        <v>50</v>
      </c>
      <c r="AG3302">
        <v>0</v>
      </c>
      <c r="AH3302">
        <v>0</v>
      </c>
      <c r="AI3302" t="s">
        <v>51</v>
      </c>
      <c r="AJ3302" t="s">
        <v>51</v>
      </c>
      <c r="AK3302" t="s">
        <v>51</v>
      </c>
    </row>
    <row r="3303" spans="1:37" x14ac:dyDescent="0.2">
      <c r="A3303">
        <v>56471</v>
      </c>
      <c r="B3303" t="s">
        <v>37</v>
      </c>
      <c r="C3303" t="s">
        <v>38</v>
      </c>
      <c r="D3303" t="s">
        <v>674</v>
      </c>
      <c r="E3303" t="s">
        <v>40</v>
      </c>
      <c r="G3303" s="4">
        <v>43945.005196759259</v>
      </c>
      <c r="H3303" s="4">
        <v>43945.00587962963</v>
      </c>
      <c r="I3303" t="s">
        <v>2438</v>
      </c>
      <c r="J3303" s="5">
        <v>58.99999999999999999999999999999999999997</v>
      </c>
      <c r="K3303" t="s">
        <v>38</v>
      </c>
      <c r="M3303">
        <v>56472</v>
      </c>
      <c r="N3303" t="s">
        <v>705</v>
      </c>
      <c r="O3303" t="s">
        <v>706</v>
      </c>
      <c r="P3303" t="s">
        <v>38</v>
      </c>
      <c r="Q3303" t="s">
        <v>966</v>
      </c>
      <c r="R3303">
        <v>15.99999999999999999999999999999999999998</v>
      </c>
      <c r="S3303" t="s">
        <v>45</v>
      </c>
      <c r="T330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3">
        <v>56473</v>
      </c>
      <c r="V3303" t="s">
        <v>38</v>
      </c>
      <c r="W3303" t="s">
        <v>966</v>
      </c>
      <c r="X3303">
        <v>15.99999999999999999999999999999999999998</v>
      </c>
      <c r="Y3303">
        <v>0</v>
      </c>
      <c r="Z3303" t="s">
        <v>46</v>
      </c>
      <c r="AA3303">
        <v>56605</v>
      </c>
      <c r="AB3303" t="s">
        <v>2460</v>
      </c>
      <c r="AC3303" t="s">
        <v>103</v>
      </c>
      <c r="AD3303" t="s">
        <v>38</v>
      </c>
      <c r="AE3303" t="s">
        <v>49</v>
      </c>
      <c r="AF3303" t="s">
        <v>50</v>
      </c>
      <c r="AG3303">
        <v>0</v>
      </c>
      <c r="AH3303">
        <v>0</v>
      </c>
      <c r="AI3303" t="s">
        <v>51</v>
      </c>
      <c r="AJ3303" t="s">
        <v>51</v>
      </c>
      <c r="AK3303" t="s">
        <v>51</v>
      </c>
    </row>
    <row r="3304" spans="1:37" x14ac:dyDescent="0.2">
      <c r="A3304">
        <v>56471</v>
      </c>
      <c r="B3304" t="s">
        <v>37</v>
      </c>
      <c r="C3304" t="s">
        <v>38</v>
      </c>
      <c r="D3304" t="s">
        <v>674</v>
      </c>
      <c r="E3304" t="s">
        <v>40</v>
      </c>
      <c r="G3304" s="4">
        <v>43945.005196759259</v>
      </c>
      <c r="H3304" s="4">
        <v>43945.00587962963</v>
      </c>
      <c r="I3304" t="s">
        <v>2438</v>
      </c>
      <c r="J3304" s="5">
        <v>58.99999999999999999999999999999999999997</v>
      </c>
      <c r="K3304" t="s">
        <v>38</v>
      </c>
      <c r="M3304">
        <v>56472</v>
      </c>
      <c r="N3304" t="s">
        <v>705</v>
      </c>
      <c r="O3304" t="s">
        <v>706</v>
      </c>
      <c r="P3304" t="s">
        <v>38</v>
      </c>
      <c r="Q3304" t="s">
        <v>966</v>
      </c>
      <c r="R3304">
        <v>15.99999999999999999999999999999999999998</v>
      </c>
      <c r="S3304" t="s">
        <v>45</v>
      </c>
      <c r="T330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4">
        <v>56473</v>
      </c>
      <c r="V3304" t="s">
        <v>38</v>
      </c>
      <c r="W3304" t="s">
        <v>966</v>
      </c>
      <c r="X3304">
        <v>15.99999999999999999999999999999999999998</v>
      </c>
      <c r="Y3304">
        <v>0</v>
      </c>
      <c r="Z3304" t="s">
        <v>46</v>
      </c>
      <c r="AA3304">
        <v>56604</v>
      </c>
      <c r="AB3304" t="s">
        <v>2461</v>
      </c>
      <c r="AC3304" t="s">
        <v>103</v>
      </c>
      <c r="AD3304" t="s">
        <v>38</v>
      </c>
      <c r="AE3304" t="s">
        <v>49</v>
      </c>
      <c r="AF3304" t="s">
        <v>50</v>
      </c>
      <c r="AG3304">
        <v>0</v>
      </c>
      <c r="AH3304">
        <v>0</v>
      </c>
      <c r="AI3304" t="s">
        <v>51</v>
      </c>
      <c r="AJ3304" t="s">
        <v>51</v>
      </c>
      <c r="AK3304" t="s">
        <v>51</v>
      </c>
    </row>
    <row r="3305" spans="1:37" x14ac:dyDescent="0.2">
      <c r="A3305">
        <v>56471</v>
      </c>
      <c r="B3305" t="s">
        <v>37</v>
      </c>
      <c r="C3305" t="s">
        <v>38</v>
      </c>
      <c r="D3305" t="s">
        <v>674</v>
      </c>
      <c r="E3305" t="s">
        <v>40</v>
      </c>
      <c r="G3305" s="4">
        <v>43945.005196759259</v>
      </c>
      <c r="H3305" s="4">
        <v>43945.00587962963</v>
      </c>
      <c r="I3305" t="s">
        <v>2438</v>
      </c>
      <c r="J3305" s="5">
        <v>58.99999999999999999999999999999999999997</v>
      </c>
      <c r="K3305" t="s">
        <v>38</v>
      </c>
      <c r="M3305">
        <v>56472</v>
      </c>
      <c r="N3305" t="s">
        <v>705</v>
      </c>
      <c r="O3305" t="s">
        <v>706</v>
      </c>
      <c r="P3305" t="s">
        <v>38</v>
      </c>
      <c r="Q3305" t="s">
        <v>966</v>
      </c>
      <c r="R3305">
        <v>15.99999999999999999999999999999999999998</v>
      </c>
      <c r="S3305" t="s">
        <v>45</v>
      </c>
      <c r="T330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5">
        <v>56473</v>
      </c>
      <c r="V3305" t="s">
        <v>38</v>
      </c>
      <c r="W3305" t="s">
        <v>966</v>
      </c>
      <c r="X3305">
        <v>15.99999999999999999999999999999999999998</v>
      </c>
      <c r="Y3305">
        <v>0</v>
      </c>
      <c r="Z3305" t="s">
        <v>46</v>
      </c>
      <c r="AA3305">
        <v>56603</v>
      </c>
      <c r="AB3305" t="s">
        <v>2462</v>
      </c>
      <c r="AC3305" t="s">
        <v>103</v>
      </c>
      <c r="AD3305" t="s">
        <v>38</v>
      </c>
      <c r="AE3305" t="s">
        <v>49</v>
      </c>
      <c r="AF3305" t="s">
        <v>50</v>
      </c>
      <c r="AG3305">
        <v>0</v>
      </c>
      <c r="AH3305">
        <v>0</v>
      </c>
      <c r="AI3305" t="s">
        <v>51</v>
      </c>
      <c r="AJ3305" t="s">
        <v>51</v>
      </c>
      <c r="AK3305" t="s">
        <v>51</v>
      </c>
    </row>
    <row r="3306" spans="1:37" x14ac:dyDescent="0.2">
      <c r="A3306">
        <v>56471</v>
      </c>
      <c r="B3306" t="s">
        <v>37</v>
      </c>
      <c r="C3306" t="s">
        <v>38</v>
      </c>
      <c r="D3306" t="s">
        <v>674</v>
      </c>
      <c r="E3306" t="s">
        <v>40</v>
      </c>
      <c r="G3306" s="4">
        <v>43945.005196759259</v>
      </c>
      <c r="H3306" s="4">
        <v>43945.00587962963</v>
      </c>
      <c r="I3306" t="s">
        <v>2438</v>
      </c>
      <c r="J3306" s="5">
        <v>58.99999999999999999999999999999999999997</v>
      </c>
      <c r="K3306" t="s">
        <v>38</v>
      </c>
      <c r="M3306">
        <v>56472</v>
      </c>
      <c r="N3306" t="s">
        <v>705</v>
      </c>
      <c r="O3306" t="s">
        <v>706</v>
      </c>
      <c r="P3306" t="s">
        <v>38</v>
      </c>
      <c r="Q3306" t="s">
        <v>966</v>
      </c>
      <c r="R3306">
        <v>15.99999999999999999999999999999999999998</v>
      </c>
      <c r="S3306" t="s">
        <v>45</v>
      </c>
      <c r="T330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6">
        <v>56473</v>
      </c>
      <c r="V3306" t="s">
        <v>38</v>
      </c>
      <c r="W3306" t="s">
        <v>966</v>
      </c>
      <c r="X3306">
        <v>15.99999999999999999999999999999999999998</v>
      </c>
      <c r="Y3306">
        <v>0</v>
      </c>
      <c r="Z3306" t="s">
        <v>46</v>
      </c>
      <c r="AA3306">
        <v>56602</v>
      </c>
      <c r="AB3306" t="s">
        <v>2463</v>
      </c>
      <c r="AC3306" t="s">
        <v>103</v>
      </c>
      <c r="AD3306" t="s">
        <v>38</v>
      </c>
      <c r="AE3306" t="s">
        <v>49</v>
      </c>
      <c r="AF3306" t="s">
        <v>50</v>
      </c>
      <c r="AG3306">
        <v>0</v>
      </c>
      <c r="AH3306">
        <v>0</v>
      </c>
      <c r="AI3306" t="s">
        <v>51</v>
      </c>
      <c r="AJ3306" t="s">
        <v>51</v>
      </c>
      <c r="AK3306" t="s">
        <v>51</v>
      </c>
    </row>
    <row r="3307" spans="1:37" x14ac:dyDescent="0.2">
      <c r="A3307">
        <v>56471</v>
      </c>
      <c r="B3307" t="s">
        <v>37</v>
      </c>
      <c r="C3307" t="s">
        <v>38</v>
      </c>
      <c r="D3307" t="s">
        <v>674</v>
      </c>
      <c r="E3307" t="s">
        <v>40</v>
      </c>
      <c r="G3307" s="4">
        <v>43945.005196759259</v>
      </c>
      <c r="H3307" s="4">
        <v>43945.00587962963</v>
      </c>
      <c r="I3307" t="s">
        <v>2438</v>
      </c>
      <c r="J3307" s="5">
        <v>58.99999999999999999999999999999999999997</v>
      </c>
      <c r="K3307" t="s">
        <v>38</v>
      </c>
      <c r="M3307">
        <v>56472</v>
      </c>
      <c r="N3307" t="s">
        <v>705</v>
      </c>
      <c r="O3307" t="s">
        <v>706</v>
      </c>
      <c r="P3307" t="s">
        <v>38</v>
      </c>
      <c r="Q3307" t="s">
        <v>966</v>
      </c>
      <c r="R3307">
        <v>15.99999999999999999999999999999999999998</v>
      </c>
      <c r="S3307" t="s">
        <v>45</v>
      </c>
      <c r="T330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7">
        <v>56473</v>
      </c>
      <c r="V3307" t="s">
        <v>38</v>
      </c>
      <c r="W3307" t="s">
        <v>966</v>
      </c>
      <c r="X3307">
        <v>15.99999999999999999999999999999999999998</v>
      </c>
      <c r="Y3307">
        <v>0</v>
      </c>
      <c r="Z3307" t="s">
        <v>46</v>
      </c>
      <c r="AA3307">
        <v>56601</v>
      </c>
      <c r="AB3307" t="s">
        <v>2464</v>
      </c>
      <c r="AC3307" t="s">
        <v>103</v>
      </c>
      <c r="AD3307" t="s">
        <v>38</v>
      </c>
      <c r="AE3307" t="s">
        <v>49</v>
      </c>
      <c r="AF3307" t="s">
        <v>50</v>
      </c>
      <c r="AG3307">
        <v>0</v>
      </c>
      <c r="AH3307">
        <v>0</v>
      </c>
      <c r="AI3307" t="s">
        <v>51</v>
      </c>
      <c r="AJ3307" t="s">
        <v>51</v>
      </c>
      <c r="AK3307" t="s">
        <v>51</v>
      </c>
    </row>
    <row r="3308" spans="1:37" x14ac:dyDescent="0.2">
      <c r="A3308">
        <v>56471</v>
      </c>
      <c r="B3308" t="s">
        <v>37</v>
      </c>
      <c r="C3308" t="s">
        <v>38</v>
      </c>
      <c r="D3308" t="s">
        <v>674</v>
      </c>
      <c r="E3308" t="s">
        <v>40</v>
      </c>
      <c r="G3308" s="4">
        <v>43945.005196759259</v>
      </c>
      <c r="H3308" s="4">
        <v>43945.00587962963</v>
      </c>
      <c r="I3308" t="s">
        <v>2438</v>
      </c>
      <c r="J3308" s="5">
        <v>58.99999999999999999999999999999999999997</v>
      </c>
      <c r="K3308" t="s">
        <v>38</v>
      </c>
      <c r="M3308">
        <v>56472</v>
      </c>
      <c r="N3308" t="s">
        <v>705</v>
      </c>
      <c r="O3308" t="s">
        <v>706</v>
      </c>
      <c r="P3308" t="s">
        <v>38</v>
      </c>
      <c r="Q3308" t="s">
        <v>966</v>
      </c>
      <c r="R3308">
        <v>15.99999999999999999999999999999999999998</v>
      </c>
      <c r="S3308" t="s">
        <v>45</v>
      </c>
      <c r="T330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8">
        <v>56473</v>
      </c>
      <c r="V3308" t="s">
        <v>38</v>
      </c>
      <c r="W3308" t="s">
        <v>966</v>
      </c>
      <c r="X3308">
        <v>15.99999999999999999999999999999999999998</v>
      </c>
      <c r="Y3308">
        <v>0</v>
      </c>
      <c r="Z3308" t="s">
        <v>46</v>
      </c>
      <c r="AA3308">
        <v>56600</v>
      </c>
      <c r="AB3308" t="s">
        <v>2465</v>
      </c>
      <c r="AC3308" t="s">
        <v>103</v>
      </c>
      <c r="AD3308" t="s">
        <v>38</v>
      </c>
      <c r="AE3308" t="s">
        <v>49</v>
      </c>
      <c r="AF3308" t="s">
        <v>50</v>
      </c>
      <c r="AG3308">
        <v>0</v>
      </c>
      <c r="AH3308">
        <v>0</v>
      </c>
      <c r="AI3308" t="s">
        <v>51</v>
      </c>
      <c r="AJ3308" t="s">
        <v>51</v>
      </c>
      <c r="AK3308" t="s">
        <v>51</v>
      </c>
    </row>
    <row r="3309" spans="1:37" x14ac:dyDescent="0.2">
      <c r="A3309">
        <v>56471</v>
      </c>
      <c r="B3309" t="s">
        <v>37</v>
      </c>
      <c r="C3309" t="s">
        <v>38</v>
      </c>
      <c r="D3309" t="s">
        <v>674</v>
      </c>
      <c r="E3309" t="s">
        <v>40</v>
      </c>
      <c r="G3309" s="4">
        <v>43945.005196759259</v>
      </c>
      <c r="H3309" s="4">
        <v>43945.00587962963</v>
      </c>
      <c r="I3309" t="s">
        <v>2438</v>
      </c>
      <c r="J3309" s="5">
        <v>58.99999999999999999999999999999999999997</v>
      </c>
      <c r="K3309" t="s">
        <v>38</v>
      </c>
      <c r="M3309">
        <v>56472</v>
      </c>
      <c r="N3309" t="s">
        <v>705</v>
      </c>
      <c r="O3309" t="s">
        <v>706</v>
      </c>
      <c r="P3309" t="s">
        <v>38</v>
      </c>
      <c r="Q3309" t="s">
        <v>966</v>
      </c>
      <c r="R3309">
        <v>15.99999999999999999999999999999999999998</v>
      </c>
      <c r="S3309" t="s">
        <v>45</v>
      </c>
      <c r="T330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09">
        <v>56473</v>
      </c>
      <c r="V3309" t="s">
        <v>38</v>
      </c>
      <c r="W3309" t="s">
        <v>966</v>
      </c>
      <c r="X3309">
        <v>15.99999999999999999999999999999999999998</v>
      </c>
      <c r="Y3309">
        <v>0</v>
      </c>
      <c r="Z3309" t="s">
        <v>46</v>
      </c>
      <c r="AA3309">
        <v>56599</v>
      </c>
      <c r="AB3309" t="s">
        <v>2466</v>
      </c>
      <c r="AC3309" t="s">
        <v>103</v>
      </c>
      <c r="AD3309" t="s">
        <v>38</v>
      </c>
      <c r="AE3309" t="s">
        <v>49</v>
      </c>
      <c r="AF3309" t="s">
        <v>50</v>
      </c>
      <c r="AG3309">
        <v>0</v>
      </c>
      <c r="AH3309">
        <v>0</v>
      </c>
      <c r="AI3309" t="s">
        <v>51</v>
      </c>
      <c r="AJ3309" t="s">
        <v>51</v>
      </c>
      <c r="AK3309" t="s">
        <v>51</v>
      </c>
    </row>
    <row r="3310" spans="1:37" x14ac:dyDescent="0.2">
      <c r="A3310">
        <v>56471</v>
      </c>
      <c r="B3310" t="s">
        <v>37</v>
      </c>
      <c r="C3310" t="s">
        <v>38</v>
      </c>
      <c r="D3310" t="s">
        <v>674</v>
      </c>
      <c r="E3310" t="s">
        <v>40</v>
      </c>
      <c r="G3310" s="4">
        <v>43945.005196759259</v>
      </c>
      <c r="H3310" s="4">
        <v>43945.00587962963</v>
      </c>
      <c r="I3310" t="s">
        <v>2438</v>
      </c>
      <c r="J3310" s="5">
        <v>58.99999999999999999999999999999999999997</v>
      </c>
      <c r="K3310" t="s">
        <v>38</v>
      </c>
      <c r="M3310">
        <v>56472</v>
      </c>
      <c r="N3310" t="s">
        <v>705</v>
      </c>
      <c r="O3310" t="s">
        <v>706</v>
      </c>
      <c r="P3310" t="s">
        <v>38</v>
      </c>
      <c r="Q3310" t="s">
        <v>966</v>
      </c>
      <c r="R3310">
        <v>15.99999999999999999999999999999999999998</v>
      </c>
      <c r="S3310" t="s">
        <v>45</v>
      </c>
      <c r="T331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0">
        <v>56473</v>
      </c>
      <c r="V3310" t="s">
        <v>38</v>
      </c>
      <c r="W3310" t="s">
        <v>966</v>
      </c>
      <c r="X3310">
        <v>15.99999999999999999999999999999999999998</v>
      </c>
      <c r="Y3310">
        <v>0</v>
      </c>
      <c r="Z3310" t="s">
        <v>46</v>
      </c>
      <c r="AA3310">
        <v>56598</v>
      </c>
      <c r="AB3310" t="s">
        <v>2467</v>
      </c>
      <c r="AC3310" t="s">
        <v>103</v>
      </c>
      <c r="AD3310" t="s">
        <v>38</v>
      </c>
      <c r="AE3310" t="s">
        <v>49</v>
      </c>
      <c r="AF3310" t="s">
        <v>50</v>
      </c>
      <c r="AG3310">
        <v>0</v>
      </c>
      <c r="AH3310">
        <v>0</v>
      </c>
      <c r="AI3310" t="s">
        <v>51</v>
      </c>
      <c r="AJ3310" t="s">
        <v>51</v>
      </c>
      <c r="AK3310" t="s">
        <v>51</v>
      </c>
    </row>
    <row r="3311" spans="1:37" x14ac:dyDescent="0.2">
      <c r="A3311">
        <v>56471</v>
      </c>
      <c r="B3311" t="s">
        <v>37</v>
      </c>
      <c r="C3311" t="s">
        <v>38</v>
      </c>
      <c r="D3311" t="s">
        <v>674</v>
      </c>
      <c r="E3311" t="s">
        <v>40</v>
      </c>
      <c r="G3311" s="4">
        <v>43945.005196759259</v>
      </c>
      <c r="H3311" s="4">
        <v>43945.00587962963</v>
      </c>
      <c r="I3311" t="s">
        <v>2438</v>
      </c>
      <c r="J3311" s="5">
        <v>58.99999999999999999999999999999999999997</v>
      </c>
      <c r="K3311" t="s">
        <v>38</v>
      </c>
      <c r="M3311">
        <v>56472</v>
      </c>
      <c r="N3311" t="s">
        <v>705</v>
      </c>
      <c r="O3311" t="s">
        <v>706</v>
      </c>
      <c r="P3311" t="s">
        <v>38</v>
      </c>
      <c r="Q3311" t="s">
        <v>966</v>
      </c>
      <c r="R3311">
        <v>15.99999999999999999999999999999999999998</v>
      </c>
      <c r="S3311" t="s">
        <v>45</v>
      </c>
      <c r="T331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1">
        <v>56473</v>
      </c>
      <c r="V3311" t="s">
        <v>38</v>
      </c>
      <c r="W3311" t="s">
        <v>966</v>
      </c>
      <c r="X3311">
        <v>15.99999999999999999999999999999999999998</v>
      </c>
      <c r="Y3311">
        <v>0</v>
      </c>
      <c r="Z3311" t="s">
        <v>46</v>
      </c>
      <c r="AA3311">
        <v>56597</v>
      </c>
      <c r="AB3311" t="s">
        <v>2468</v>
      </c>
      <c r="AC3311" t="s">
        <v>103</v>
      </c>
      <c r="AD3311" t="s">
        <v>38</v>
      </c>
      <c r="AE3311" t="s">
        <v>49</v>
      </c>
      <c r="AF3311" t="s">
        <v>50</v>
      </c>
      <c r="AG3311">
        <v>0</v>
      </c>
      <c r="AH3311">
        <v>0</v>
      </c>
      <c r="AI3311" t="s">
        <v>51</v>
      </c>
      <c r="AJ3311" t="s">
        <v>51</v>
      </c>
      <c r="AK3311" t="s">
        <v>51</v>
      </c>
    </row>
    <row r="3312" spans="1:37" x14ac:dyDescent="0.2">
      <c r="A3312">
        <v>56471</v>
      </c>
      <c r="B3312" t="s">
        <v>37</v>
      </c>
      <c r="C3312" t="s">
        <v>38</v>
      </c>
      <c r="D3312" t="s">
        <v>674</v>
      </c>
      <c r="E3312" t="s">
        <v>40</v>
      </c>
      <c r="G3312" s="4">
        <v>43945.005196759259</v>
      </c>
      <c r="H3312" s="4">
        <v>43945.00587962963</v>
      </c>
      <c r="I3312" t="s">
        <v>2438</v>
      </c>
      <c r="J3312" s="5">
        <v>58.99999999999999999999999999999999999997</v>
      </c>
      <c r="K3312" t="s">
        <v>38</v>
      </c>
      <c r="M3312">
        <v>56472</v>
      </c>
      <c r="N3312" t="s">
        <v>705</v>
      </c>
      <c r="O3312" t="s">
        <v>706</v>
      </c>
      <c r="P3312" t="s">
        <v>38</v>
      </c>
      <c r="Q3312" t="s">
        <v>966</v>
      </c>
      <c r="R3312">
        <v>15.99999999999999999999999999999999999998</v>
      </c>
      <c r="S3312" t="s">
        <v>45</v>
      </c>
      <c r="T331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2">
        <v>56473</v>
      </c>
      <c r="V3312" t="s">
        <v>38</v>
      </c>
      <c r="W3312" t="s">
        <v>966</v>
      </c>
      <c r="X3312">
        <v>15.99999999999999999999999999999999999998</v>
      </c>
      <c r="Y3312">
        <v>0</v>
      </c>
      <c r="Z3312" t="s">
        <v>46</v>
      </c>
      <c r="AA3312">
        <v>56596</v>
      </c>
      <c r="AB3312" t="s">
        <v>2469</v>
      </c>
      <c r="AC3312" t="s">
        <v>103</v>
      </c>
      <c r="AD3312" t="s">
        <v>38</v>
      </c>
      <c r="AE3312" t="s">
        <v>49</v>
      </c>
      <c r="AF3312" t="s">
        <v>50</v>
      </c>
      <c r="AG3312">
        <v>0</v>
      </c>
      <c r="AH3312">
        <v>0</v>
      </c>
      <c r="AI3312" t="s">
        <v>51</v>
      </c>
      <c r="AJ3312" t="s">
        <v>51</v>
      </c>
      <c r="AK3312" t="s">
        <v>51</v>
      </c>
    </row>
    <row r="3313" spans="1:37" x14ac:dyDescent="0.2">
      <c r="A3313">
        <v>56471</v>
      </c>
      <c r="B3313" t="s">
        <v>37</v>
      </c>
      <c r="C3313" t="s">
        <v>38</v>
      </c>
      <c r="D3313" t="s">
        <v>674</v>
      </c>
      <c r="E3313" t="s">
        <v>40</v>
      </c>
      <c r="G3313" s="4">
        <v>43945.005196759259</v>
      </c>
      <c r="H3313" s="4">
        <v>43945.00587962963</v>
      </c>
      <c r="I3313" t="s">
        <v>2438</v>
      </c>
      <c r="J3313" s="5">
        <v>58.99999999999999999999999999999999999997</v>
      </c>
      <c r="K3313" t="s">
        <v>38</v>
      </c>
      <c r="M3313">
        <v>56472</v>
      </c>
      <c r="N3313" t="s">
        <v>705</v>
      </c>
      <c r="O3313" t="s">
        <v>706</v>
      </c>
      <c r="P3313" t="s">
        <v>38</v>
      </c>
      <c r="Q3313" t="s">
        <v>966</v>
      </c>
      <c r="R3313">
        <v>15.99999999999999999999999999999999999998</v>
      </c>
      <c r="S3313" t="s">
        <v>45</v>
      </c>
      <c r="T331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3">
        <v>56473</v>
      </c>
      <c r="V3313" t="s">
        <v>38</v>
      </c>
      <c r="W3313" t="s">
        <v>966</v>
      </c>
      <c r="X3313">
        <v>15.99999999999999999999999999999999999998</v>
      </c>
      <c r="Y3313">
        <v>0</v>
      </c>
      <c r="Z3313" t="s">
        <v>46</v>
      </c>
      <c r="AA3313">
        <v>56595</v>
      </c>
      <c r="AB3313" t="s">
        <v>2470</v>
      </c>
      <c r="AC3313" t="s">
        <v>103</v>
      </c>
      <c r="AD3313" t="s">
        <v>38</v>
      </c>
      <c r="AE3313" t="s">
        <v>49</v>
      </c>
      <c r="AF3313" t="s">
        <v>50</v>
      </c>
      <c r="AG3313">
        <v>0</v>
      </c>
      <c r="AH3313">
        <v>0</v>
      </c>
      <c r="AI3313" t="s">
        <v>51</v>
      </c>
      <c r="AJ3313" t="s">
        <v>51</v>
      </c>
      <c r="AK3313" t="s">
        <v>51</v>
      </c>
    </row>
    <row r="3314" spans="1:37" x14ac:dyDescent="0.2">
      <c r="A3314">
        <v>56471</v>
      </c>
      <c r="B3314" t="s">
        <v>37</v>
      </c>
      <c r="C3314" t="s">
        <v>38</v>
      </c>
      <c r="D3314" t="s">
        <v>674</v>
      </c>
      <c r="E3314" t="s">
        <v>40</v>
      </c>
      <c r="G3314" s="4">
        <v>43945.005196759259</v>
      </c>
      <c r="H3314" s="4">
        <v>43945.00587962963</v>
      </c>
      <c r="I3314" t="s">
        <v>2438</v>
      </c>
      <c r="J3314" s="5">
        <v>58.99999999999999999999999999999999999997</v>
      </c>
      <c r="K3314" t="s">
        <v>38</v>
      </c>
      <c r="M3314">
        <v>56472</v>
      </c>
      <c r="N3314" t="s">
        <v>705</v>
      </c>
      <c r="O3314" t="s">
        <v>706</v>
      </c>
      <c r="P3314" t="s">
        <v>38</v>
      </c>
      <c r="Q3314" t="s">
        <v>966</v>
      </c>
      <c r="R3314">
        <v>15.99999999999999999999999999999999999998</v>
      </c>
      <c r="S3314" t="s">
        <v>45</v>
      </c>
      <c r="T331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4">
        <v>56473</v>
      </c>
      <c r="V3314" t="s">
        <v>38</v>
      </c>
      <c r="W3314" t="s">
        <v>966</v>
      </c>
      <c r="X3314">
        <v>15.99999999999999999999999999999999999998</v>
      </c>
      <c r="Y3314">
        <v>0</v>
      </c>
      <c r="Z3314" t="s">
        <v>46</v>
      </c>
      <c r="AA3314">
        <v>56594</v>
      </c>
      <c r="AB3314" t="s">
        <v>2471</v>
      </c>
      <c r="AC3314" t="s">
        <v>103</v>
      </c>
      <c r="AD3314" t="s">
        <v>38</v>
      </c>
      <c r="AE3314" t="s">
        <v>49</v>
      </c>
      <c r="AF3314" t="s">
        <v>50</v>
      </c>
      <c r="AG3314">
        <v>0</v>
      </c>
      <c r="AH3314">
        <v>0</v>
      </c>
      <c r="AI3314" t="s">
        <v>51</v>
      </c>
      <c r="AJ3314" t="s">
        <v>51</v>
      </c>
      <c r="AK3314" t="s">
        <v>51</v>
      </c>
    </row>
    <row r="3315" spans="1:37" x14ac:dyDescent="0.2">
      <c r="A3315">
        <v>56471</v>
      </c>
      <c r="B3315" t="s">
        <v>37</v>
      </c>
      <c r="C3315" t="s">
        <v>38</v>
      </c>
      <c r="D3315" t="s">
        <v>674</v>
      </c>
      <c r="E3315" t="s">
        <v>40</v>
      </c>
      <c r="G3315" s="4">
        <v>43945.005196759259</v>
      </c>
      <c r="H3315" s="4">
        <v>43945.00587962963</v>
      </c>
      <c r="I3315" t="s">
        <v>2438</v>
      </c>
      <c r="J3315" s="5">
        <v>58.99999999999999999999999999999999999997</v>
      </c>
      <c r="K3315" t="s">
        <v>38</v>
      </c>
      <c r="M3315">
        <v>56472</v>
      </c>
      <c r="N3315" t="s">
        <v>705</v>
      </c>
      <c r="O3315" t="s">
        <v>706</v>
      </c>
      <c r="P3315" t="s">
        <v>38</v>
      </c>
      <c r="Q3315" t="s">
        <v>966</v>
      </c>
      <c r="R3315">
        <v>15.99999999999999999999999999999999999998</v>
      </c>
      <c r="S3315" t="s">
        <v>45</v>
      </c>
      <c r="T331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5">
        <v>56473</v>
      </c>
      <c r="V3315" t="s">
        <v>38</v>
      </c>
      <c r="W3315" t="s">
        <v>966</v>
      </c>
      <c r="X3315">
        <v>15.99999999999999999999999999999999999998</v>
      </c>
      <c r="Y3315">
        <v>0</v>
      </c>
      <c r="Z3315" t="s">
        <v>46</v>
      </c>
      <c r="AA3315">
        <v>56593</v>
      </c>
      <c r="AB3315" t="s">
        <v>2472</v>
      </c>
      <c r="AC3315" t="s">
        <v>103</v>
      </c>
      <c r="AD3315" t="s">
        <v>38</v>
      </c>
      <c r="AE3315" t="s">
        <v>49</v>
      </c>
      <c r="AF3315" t="s">
        <v>50</v>
      </c>
      <c r="AG3315">
        <v>0</v>
      </c>
      <c r="AH3315">
        <v>0</v>
      </c>
      <c r="AI3315" t="s">
        <v>51</v>
      </c>
      <c r="AJ3315" t="s">
        <v>51</v>
      </c>
      <c r="AK3315" t="s">
        <v>51</v>
      </c>
    </row>
    <row r="3316" spans="1:37" x14ac:dyDescent="0.2">
      <c r="A3316">
        <v>56471</v>
      </c>
      <c r="B3316" t="s">
        <v>37</v>
      </c>
      <c r="C3316" t="s">
        <v>38</v>
      </c>
      <c r="D3316" t="s">
        <v>674</v>
      </c>
      <c r="E3316" t="s">
        <v>40</v>
      </c>
      <c r="G3316" s="4">
        <v>43945.005196759259</v>
      </c>
      <c r="H3316" s="4">
        <v>43945.00587962963</v>
      </c>
      <c r="I3316" t="s">
        <v>2438</v>
      </c>
      <c r="J3316" s="5">
        <v>58.99999999999999999999999999999999999997</v>
      </c>
      <c r="K3316" t="s">
        <v>38</v>
      </c>
      <c r="M3316">
        <v>56472</v>
      </c>
      <c r="N3316" t="s">
        <v>705</v>
      </c>
      <c r="O3316" t="s">
        <v>706</v>
      </c>
      <c r="P3316" t="s">
        <v>38</v>
      </c>
      <c r="Q3316" t="s">
        <v>966</v>
      </c>
      <c r="R3316">
        <v>15.99999999999999999999999999999999999998</v>
      </c>
      <c r="S3316" t="s">
        <v>45</v>
      </c>
      <c r="T331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6">
        <v>56473</v>
      </c>
      <c r="V3316" t="s">
        <v>38</v>
      </c>
      <c r="W3316" t="s">
        <v>966</v>
      </c>
      <c r="X3316">
        <v>15.99999999999999999999999999999999999998</v>
      </c>
      <c r="Y3316">
        <v>0</v>
      </c>
      <c r="Z3316" t="s">
        <v>46</v>
      </c>
      <c r="AA3316">
        <v>56592</v>
      </c>
      <c r="AB3316" t="s">
        <v>2473</v>
      </c>
      <c r="AC3316" t="s">
        <v>103</v>
      </c>
      <c r="AD3316" t="s">
        <v>38</v>
      </c>
      <c r="AE3316" t="s">
        <v>49</v>
      </c>
      <c r="AF3316" t="s">
        <v>50</v>
      </c>
      <c r="AG3316">
        <v>0</v>
      </c>
      <c r="AH3316">
        <v>0</v>
      </c>
      <c r="AI3316" t="s">
        <v>51</v>
      </c>
      <c r="AJ3316" t="s">
        <v>51</v>
      </c>
      <c r="AK3316" t="s">
        <v>51</v>
      </c>
    </row>
    <row r="3317" spans="1:37" x14ac:dyDescent="0.2">
      <c r="A3317">
        <v>56471</v>
      </c>
      <c r="B3317" t="s">
        <v>37</v>
      </c>
      <c r="C3317" t="s">
        <v>38</v>
      </c>
      <c r="D3317" t="s">
        <v>674</v>
      </c>
      <c r="E3317" t="s">
        <v>40</v>
      </c>
      <c r="G3317" s="4">
        <v>43945.005196759259</v>
      </c>
      <c r="H3317" s="4">
        <v>43945.00587962963</v>
      </c>
      <c r="I3317" t="s">
        <v>2438</v>
      </c>
      <c r="J3317" s="5">
        <v>58.99999999999999999999999999999999999997</v>
      </c>
      <c r="K3317" t="s">
        <v>38</v>
      </c>
      <c r="M3317">
        <v>56472</v>
      </c>
      <c r="N3317" t="s">
        <v>705</v>
      </c>
      <c r="O3317" t="s">
        <v>706</v>
      </c>
      <c r="P3317" t="s">
        <v>38</v>
      </c>
      <c r="Q3317" t="s">
        <v>966</v>
      </c>
      <c r="R3317">
        <v>15.99999999999999999999999999999999999998</v>
      </c>
      <c r="S3317" t="s">
        <v>45</v>
      </c>
      <c r="T331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7">
        <v>56473</v>
      </c>
      <c r="V3317" t="s">
        <v>38</v>
      </c>
      <c r="W3317" t="s">
        <v>966</v>
      </c>
      <c r="X3317">
        <v>15.99999999999999999999999999999999999998</v>
      </c>
      <c r="Y3317">
        <v>0</v>
      </c>
      <c r="Z3317" t="s">
        <v>46</v>
      </c>
      <c r="AA3317">
        <v>56591</v>
      </c>
      <c r="AB3317" t="s">
        <v>2474</v>
      </c>
      <c r="AC3317" t="s">
        <v>103</v>
      </c>
      <c r="AD3317" t="s">
        <v>38</v>
      </c>
      <c r="AE3317" t="s">
        <v>49</v>
      </c>
      <c r="AF3317" t="s">
        <v>50</v>
      </c>
      <c r="AG3317">
        <v>0</v>
      </c>
      <c r="AH3317">
        <v>0</v>
      </c>
      <c r="AI3317" t="s">
        <v>51</v>
      </c>
      <c r="AJ3317" t="s">
        <v>51</v>
      </c>
      <c r="AK3317" t="s">
        <v>51</v>
      </c>
    </row>
    <row r="3318" spans="1:37" x14ac:dyDescent="0.2">
      <c r="A3318">
        <v>56471</v>
      </c>
      <c r="B3318" t="s">
        <v>37</v>
      </c>
      <c r="C3318" t="s">
        <v>38</v>
      </c>
      <c r="D3318" t="s">
        <v>674</v>
      </c>
      <c r="E3318" t="s">
        <v>40</v>
      </c>
      <c r="G3318" s="4">
        <v>43945.005196759259</v>
      </c>
      <c r="H3318" s="4">
        <v>43945.00587962963</v>
      </c>
      <c r="I3318" t="s">
        <v>2438</v>
      </c>
      <c r="J3318" s="5">
        <v>58.99999999999999999999999999999999999997</v>
      </c>
      <c r="K3318" t="s">
        <v>38</v>
      </c>
      <c r="M3318">
        <v>56472</v>
      </c>
      <c r="N3318" t="s">
        <v>705</v>
      </c>
      <c r="O3318" t="s">
        <v>706</v>
      </c>
      <c r="P3318" t="s">
        <v>38</v>
      </c>
      <c r="Q3318" t="s">
        <v>966</v>
      </c>
      <c r="R3318">
        <v>15.99999999999999999999999999999999999998</v>
      </c>
      <c r="S3318" t="s">
        <v>45</v>
      </c>
      <c r="T331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8">
        <v>56473</v>
      </c>
      <c r="V3318" t="s">
        <v>38</v>
      </c>
      <c r="W3318" t="s">
        <v>966</v>
      </c>
      <c r="X3318">
        <v>15.99999999999999999999999999999999999998</v>
      </c>
      <c r="Y3318">
        <v>0</v>
      </c>
      <c r="Z3318" t="s">
        <v>46</v>
      </c>
      <c r="AA3318">
        <v>56590</v>
      </c>
      <c r="AB3318" t="s">
        <v>2475</v>
      </c>
      <c r="AC3318" t="s">
        <v>103</v>
      </c>
      <c r="AD3318" t="s">
        <v>38</v>
      </c>
      <c r="AE3318" t="s">
        <v>49</v>
      </c>
      <c r="AF3318" t="s">
        <v>50</v>
      </c>
      <c r="AG3318">
        <v>0</v>
      </c>
      <c r="AH3318">
        <v>0</v>
      </c>
      <c r="AI3318" t="s">
        <v>51</v>
      </c>
      <c r="AJ3318" t="s">
        <v>51</v>
      </c>
      <c r="AK3318" t="s">
        <v>51</v>
      </c>
    </row>
    <row r="3319" spans="1:37" x14ac:dyDescent="0.2">
      <c r="A3319">
        <v>56471</v>
      </c>
      <c r="B3319" t="s">
        <v>37</v>
      </c>
      <c r="C3319" t="s">
        <v>38</v>
      </c>
      <c r="D3319" t="s">
        <v>674</v>
      </c>
      <c r="E3319" t="s">
        <v>40</v>
      </c>
      <c r="G3319" s="4">
        <v>43945.005196759259</v>
      </c>
      <c r="H3319" s="4">
        <v>43945.00587962963</v>
      </c>
      <c r="I3319" t="s">
        <v>2438</v>
      </c>
      <c r="J3319" s="5">
        <v>58.99999999999999999999999999999999999997</v>
      </c>
      <c r="K3319" t="s">
        <v>38</v>
      </c>
      <c r="M3319">
        <v>56472</v>
      </c>
      <c r="N3319" t="s">
        <v>705</v>
      </c>
      <c r="O3319" t="s">
        <v>706</v>
      </c>
      <c r="P3319" t="s">
        <v>38</v>
      </c>
      <c r="Q3319" t="s">
        <v>966</v>
      </c>
      <c r="R3319">
        <v>15.99999999999999999999999999999999999998</v>
      </c>
      <c r="S3319" t="s">
        <v>45</v>
      </c>
      <c r="T331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19">
        <v>56473</v>
      </c>
      <c r="V3319" t="s">
        <v>38</v>
      </c>
      <c r="W3319" t="s">
        <v>966</v>
      </c>
      <c r="X3319">
        <v>15.99999999999999999999999999999999999998</v>
      </c>
      <c r="Y3319">
        <v>0</v>
      </c>
      <c r="Z3319" t="s">
        <v>46</v>
      </c>
      <c r="AA3319">
        <v>56589</v>
      </c>
      <c r="AB3319" t="s">
        <v>2476</v>
      </c>
      <c r="AC3319" t="s">
        <v>103</v>
      </c>
      <c r="AD3319" t="s">
        <v>38</v>
      </c>
      <c r="AE3319" t="s">
        <v>49</v>
      </c>
      <c r="AF3319" t="s">
        <v>50</v>
      </c>
      <c r="AG3319">
        <v>0</v>
      </c>
      <c r="AH3319">
        <v>0</v>
      </c>
      <c r="AI3319" t="s">
        <v>51</v>
      </c>
      <c r="AJ3319" t="s">
        <v>51</v>
      </c>
      <c r="AK3319" t="s">
        <v>51</v>
      </c>
    </row>
    <row r="3320" spans="1:37" x14ac:dyDescent="0.2">
      <c r="A3320">
        <v>56471</v>
      </c>
      <c r="B3320" t="s">
        <v>37</v>
      </c>
      <c r="C3320" t="s">
        <v>38</v>
      </c>
      <c r="D3320" t="s">
        <v>674</v>
      </c>
      <c r="E3320" t="s">
        <v>40</v>
      </c>
      <c r="G3320" s="4">
        <v>43945.005196759259</v>
      </c>
      <c r="H3320" s="4">
        <v>43945.00587962963</v>
      </c>
      <c r="I3320" t="s">
        <v>2438</v>
      </c>
      <c r="J3320" s="5">
        <v>58.99999999999999999999999999999999999997</v>
      </c>
      <c r="K3320" t="s">
        <v>38</v>
      </c>
      <c r="M3320">
        <v>56472</v>
      </c>
      <c r="N3320" t="s">
        <v>705</v>
      </c>
      <c r="O3320" t="s">
        <v>706</v>
      </c>
      <c r="P3320" t="s">
        <v>38</v>
      </c>
      <c r="Q3320" t="s">
        <v>966</v>
      </c>
      <c r="R3320">
        <v>15.99999999999999999999999999999999999998</v>
      </c>
      <c r="S3320" t="s">
        <v>45</v>
      </c>
      <c r="T332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0">
        <v>56473</v>
      </c>
      <c r="V3320" t="s">
        <v>38</v>
      </c>
      <c r="W3320" t="s">
        <v>966</v>
      </c>
      <c r="X3320">
        <v>15.99999999999999999999999999999999999998</v>
      </c>
      <c r="Y3320">
        <v>0</v>
      </c>
      <c r="Z3320" t="s">
        <v>46</v>
      </c>
      <c r="AA3320">
        <v>56588</v>
      </c>
      <c r="AB3320" t="s">
        <v>2477</v>
      </c>
      <c r="AC3320" t="s">
        <v>103</v>
      </c>
      <c r="AD3320" t="s">
        <v>38</v>
      </c>
      <c r="AE3320" t="s">
        <v>49</v>
      </c>
      <c r="AF3320" t="s">
        <v>50</v>
      </c>
      <c r="AG3320">
        <v>0</v>
      </c>
      <c r="AH3320">
        <v>0</v>
      </c>
      <c r="AI3320" t="s">
        <v>51</v>
      </c>
      <c r="AJ3320" t="s">
        <v>51</v>
      </c>
      <c r="AK3320" t="s">
        <v>51</v>
      </c>
    </row>
    <row r="3321" spans="1:37" x14ac:dyDescent="0.2">
      <c r="A3321">
        <v>56471</v>
      </c>
      <c r="B3321" t="s">
        <v>37</v>
      </c>
      <c r="C3321" t="s">
        <v>38</v>
      </c>
      <c r="D3321" t="s">
        <v>674</v>
      </c>
      <c r="E3321" t="s">
        <v>40</v>
      </c>
      <c r="G3321" s="4">
        <v>43945.005196759259</v>
      </c>
      <c r="H3321" s="4">
        <v>43945.00587962963</v>
      </c>
      <c r="I3321" t="s">
        <v>2438</v>
      </c>
      <c r="J3321" s="5">
        <v>58.99999999999999999999999999999999999997</v>
      </c>
      <c r="K3321" t="s">
        <v>38</v>
      </c>
      <c r="M3321">
        <v>56472</v>
      </c>
      <c r="N3321" t="s">
        <v>705</v>
      </c>
      <c r="O3321" t="s">
        <v>706</v>
      </c>
      <c r="P3321" t="s">
        <v>38</v>
      </c>
      <c r="Q3321" t="s">
        <v>966</v>
      </c>
      <c r="R3321">
        <v>15.99999999999999999999999999999999999998</v>
      </c>
      <c r="S3321" t="s">
        <v>45</v>
      </c>
      <c r="T332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1">
        <v>56473</v>
      </c>
      <c r="V3321" t="s">
        <v>38</v>
      </c>
      <c r="W3321" t="s">
        <v>966</v>
      </c>
      <c r="X3321">
        <v>15.99999999999999999999999999999999999998</v>
      </c>
      <c r="Y3321">
        <v>0</v>
      </c>
      <c r="Z3321" t="s">
        <v>46</v>
      </c>
      <c r="AA3321">
        <v>56587</v>
      </c>
      <c r="AB3321" t="s">
        <v>2478</v>
      </c>
      <c r="AC3321" t="s">
        <v>103</v>
      </c>
      <c r="AD3321" t="s">
        <v>38</v>
      </c>
      <c r="AE3321" t="s">
        <v>49</v>
      </c>
      <c r="AF3321" t="s">
        <v>50</v>
      </c>
      <c r="AG3321">
        <v>0</v>
      </c>
      <c r="AH3321">
        <v>0</v>
      </c>
      <c r="AI3321" t="s">
        <v>51</v>
      </c>
      <c r="AJ3321" t="s">
        <v>51</v>
      </c>
      <c r="AK3321" t="s">
        <v>51</v>
      </c>
    </row>
    <row r="3322" spans="1:37" x14ac:dyDescent="0.2">
      <c r="A3322">
        <v>56471</v>
      </c>
      <c r="B3322" t="s">
        <v>37</v>
      </c>
      <c r="C3322" t="s">
        <v>38</v>
      </c>
      <c r="D3322" t="s">
        <v>674</v>
      </c>
      <c r="E3322" t="s">
        <v>40</v>
      </c>
      <c r="G3322" s="4">
        <v>43945.005196759259</v>
      </c>
      <c r="H3322" s="4">
        <v>43945.00587962963</v>
      </c>
      <c r="I3322" t="s">
        <v>2438</v>
      </c>
      <c r="J3322" s="5">
        <v>58.99999999999999999999999999999999999997</v>
      </c>
      <c r="K3322" t="s">
        <v>38</v>
      </c>
      <c r="M3322">
        <v>56472</v>
      </c>
      <c r="N3322" t="s">
        <v>705</v>
      </c>
      <c r="O3322" t="s">
        <v>706</v>
      </c>
      <c r="P3322" t="s">
        <v>38</v>
      </c>
      <c r="Q3322" t="s">
        <v>966</v>
      </c>
      <c r="R3322">
        <v>15.99999999999999999999999999999999999998</v>
      </c>
      <c r="S3322" t="s">
        <v>45</v>
      </c>
      <c r="T332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2">
        <v>56473</v>
      </c>
      <c r="V3322" t="s">
        <v>38</v>
      </c>
      <c r="W3322" t="s">
        <v>966</v>
      </c>
      <c r="X3322">
        <v>15.99999999999999999999999999999999999998</v>
      </c>
      <c r="Y3322">
        <v>0</v>
      </c>
      <c r="Z3322" t="s">
        <v>46</v>
      </c>
      <c r="AA3322">
        <v>56586</v>
      </c>
      <c r="AB3322" t="s">
        <v>2479</v>
      </c>
      <c r="AC3322" t="s">
        <v>103</v>
      </c>
      <c r="AD3322" t="s">
        <v>38</v>
      </c>
      <c r="AE3322" t="s">
        <v>49</v>
      </c>
      <c r="AF3322" t="s">
        <v>50</v>
      </c>
      <c r="AG3322">
        <v>0</v>
      </c>
      <c r="AH3322">
        <v>0</v>
      </c>
      <c r="AI3322" t="s">
        <v>51</v>
      </c>
      <c r="AJ3322" t="s">
        <v>51</v>
      </c>
      <c r="AK3322" t="s">
        <v>51</v>
      </c>
    </row>
    <row r="3323" spans="1:37" x14ac:dyDescent="0.2">
      <c r="A3323">
        <v>56471</v>
      </c>
      <c r="B3323" t="s">
        <v>37</v>
      </c>
      <c r="C3323" t="s">
        <v>38</v>
      </c>
      <c r="D3323" t="s">
        <v>674</v>
      </c>
      <c r="E3323" t="s">
        <v>40</v>
      </c>
      <c r="G3323" s="4">
        <v>43945.005196759259</v>
      </c>
      <c r="H3323" s="4">
        <v>43945.00587962963</v>
      </c>
      <c r="I3323" t="s">
        <v>2438</v>
      </c>
      <c r="J3323" s="5">
        <v>58.99999999999999999999999999999999999997</v>
      </c>
      <c r="K3323" t="s">
        <v>38</v>
      </c>
      <c r="M3323">
        <v>56472</v>
      </c>
      <c r="N3323" t="s">
        <v>705</v>
      </c>
      <c r="O3323" t="s">
        <v>706</v>
      </c>
      <c r="P3323" t="s">
        <v>38</v>
      </c>
      <c r="Q3323" t="s">
        <v>966</v>
      </c>
      <c r="R3323">
        <v>15.99999999999999999999999999999999999998</v>
      </c>
      <c r="S3323" t="s">
        <v>45</v>
      </c>
      <c r="T332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3">
        <v>56473</v>
      </c>
      <c r="V3323" t="s">
        <v>38</v>
      </c>
      <c r="W3323" t="s">
        <v>966</v>
      </c>
      <c r="X3323">
        <v>15.99999999999999999999999999999999999998</v>
      </c>
      <c r="Y3323">
        <v>0</v>
      </c>
      <c r="Z3323" t="s">
        <v>46</v>
      </c>
      <c r="AA3323">
        <v>56585</v>
      </c>
      <c r="AB3323" t="s">
        <v>2480</v>
      </c>
      <c r="AC3323" t="s">
        <v>103</v>
      </c>
      <c r="AD3323" t="s">
        <v>38</v>
      </c>
      <c r="AE3323" t="s">
        <v>49</v>
      </c>
      <c r="AF3323" t="s">
        <v>50</v>
      </c>
      <c r="AG3323">
        <v>0</v>
      </c>
      <c r="AH3323">
        <v>0</v>
      </c>
      <c r="AI3323" t="s">
        <v>51</v>
      </c>
      <c r="AJ3323" t="s">
        <v>51</v>
      </c>
      <c r="AK3323" t="s">
        <v>51</v>
      </c>
    </row>
    <row r="3324" spans="1:37" x14ac:dyDescent="0.2">
      <c r="A3324">
        <v>56471</v>
      </c>
      <c r="B3324" t="s">
        <v>37</v>
      </c>
      <c r="C3324" t="s">
        <v>38</v>
      </c>
      <c r="D3324" t="s">
        <v>674</v>
      </c>
      <c r="E3324" t="s">
        <v>40</v>
      </c>
      <c r="G3324" s="4">
        <v>43945.005196759259</v>
      </c>
      <c r="H3324" s="4">
        <v>43945.00587962963</v>
      </c>
      <c r="I3324" t="s">
        <v>2438</v>
      </c>
      <c r="J3324" s="5">
        <v>58.99999999999999999999999999999999999997</v>
      </c>
      <c r="K3324" t="s">
        <v>38</v>
      </c>
      <c r="M3324">
        <v>56472</v>
      </c>
      <c r="N3324" t="s">
        <v>705</v>
      </c>
      <c r="O3324" t="s">
        <v>706</v>
      </c>
      <c r="P3324" t="s">
        <v>38</v>
      </c>
      <c r="Q3324" t="s">
        <v>966</v>
      </c>
      <c r="R3324">
        <v>15.99999999999999999999999999999999999998</v>
      </c>
      <c r="S3324" t="s">
        <v>45</v>
      </c>
      <c r="T332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4">
        <v>56473</v>
      </c>
      <c r="V3324" t="s">
        <v>38</v>
      </c>
      <c r="W3324" t="s">
        <v>966</v>
      </c>
      <c r="X3324">
        <v>15.99999999999999999999999999999999999998</v>
      </c>
      <c r="Y3324">
        <v>0</v>
      </c>
      <c r="Z3324" t="s">
        <v>46</v>
      </c>
      <c r="AA3324">
        <v>56584</v>
      </c>
      <c r="AB3324" t="s">
        <v>2481</v>
      </c>
      <c r="AC3324" t="s">
        <v>103</v>
      </c>
      <c r="AD3324" t="s">
        <v>38</v>
      </c>
      <c r="AE3324" t="s">
        <v>49</v>
      </c>
      <c r="AF3324" t="s">
        <v>50</v>
      </c>
      <c r="AG3324">
        <v>0</v>
      </c>
      <c r="AH3324">
        <v>0</v>
      </c>
      <c r="AI3324" t="s">
        <v>51</v>
      </c>
      <c r="AJ3324" t="s">
        <v>51</v>
      </c>
      <c r="AK3324" t="s">
        <v>51</v>
      </c>
    </row>
    <row r="3325" spans="1:37" x14ac:dyDescent="0.2">
      <c r="A3325">
        <v>56471</v>
      </c>
      <c r="B3325" t="s">
        <v>37</v>
      </c>
      <c r="C3325" t="s">
        <v>38</v>
      </c>
      <c r="D3325" t="s">
        <v>674</v>
      </c>
      <c r="E3325" t="s">
        <v>40</v>
      </c>
      <c r="G3325" s="4">
        <v>43945.005196759259</v>
      </c>
      <c r="H3325" s="4">
        <v>43945.00587962963</v>
      </c>
      <c r="I3325" t="s">
        <v>2438</v>
      </c>
      <c r="J3325" s="5">
        <v>58.99999999999999999999999999999999999997</v>
      </c>
      <c r="K3325" t="s">
        <v>38</v>
      </c>
      <c r="M3325">
        <v>56472</v>
      </c>
      <c r="N3325" t="s">
        <v>705</v>
      </c>
      <c r="O3325" t="s">
        <v>706</v>
      </c>
      <c r="P3325" t="s">
        <v>38</v>
      </c>
      <c r="Q3325" t="s">
        <v>966</v>
      </c>
      <c r="R3325">
        <v>15.99999999999999999999999999999999999998</v>
      </c>
      <c r="S3325" t="s">
        <v>45</v>
      </c>
      <c r="T332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5">
        <v>56473</v>
      </c>
      <c r="V3325" t="s">
        <v>38</v>
      </c>
      <c r="W3325" t="s">
        <v>966</v>
      </c>
      <c r="X3325">
        <v>15.99999999999999999999999999999999999998</v>
      </c>
      <c r="Y3325">
        <v>0</v>
      </c>
      <c r="Z3325" t="s">
        <v>46</v>
      </c>
      <c r="AA3325">
        <v>56583</v>
      </c>
      <c r="AB3325" t="s">
        <v>2482</v>
      </c>
      <c r="AC3325" t="s">
        <v>103</v>
      </c>
      <c r="AD3325" t="s">
        <v>38</v>
      </c>
      <c r="AE3325" t="s">
        <v>49</v>
      </c>
      <c r="AF3325" t="s">
        <v>50</v>
      </c>
      <c r="AG3325">
        <v>0</v>
      </c>
      <c r="AH3325">
        <v>0</v>
      </c>
      <c r="AI3325" t="s">
        <v>51</v>
      </c>
      <c r="AJ3325" t="s">
        <v>51</v>
      </c>
      <c r="AK3325" t="s">
        <v>51</v>
      </c>
    </row>
    <row r="3326" spans="1:37" x14ac:dyDescent="0.2">
      <c r="A3326">
        <v>56471</v>
      </c>
      <c r="B3326" t="s">
        <v>37</v>
      </c>
      <c r="C3326" t="s">
        <v>38</v>
      </c>
      <c r="D3326" t="s">
        <v>674</v>
      </c>
      <c r="E3326" t="s">
        <v>40</v>
      </c>
      <c r="G3326" s="4">
        <v>43945.005196759259</v>
      </c>
      <c r="H3326" s="4">
        <v>43945.00587962963</v>
      </c>
      <c r="I3326" t="s">
        <v>2438</v>
      </c>
      <c r="J3326" s="5">
        <v>58.99999999999999999999999999999999999997</v>
      </c>
      <c r="K3326" t="s">
        <v>38</v>
      </c>
      <c r="M3326">
        <v>56472</v>
      </c>
      <c r="N3326" t="s">
        <v>705</v>
      </c>
      <c r="O3326" t="s">
        <v>706</v>
      </c>
      <c r="P3326" t="s">
        <v>38</v>
      </c>
      <c r="Q3326" t="s">
        <v>966</v>
      </c>
      <c r="R3326">
        <v>15.99999999999999999999999999999999999998</v>
      </c>
      <c r="S3326" t="s">
        <v>45</v>
      </c>
      <c r="T332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6">
        <v>56473</v>
      </c>
      <c r="V3326" t="s">
        <v>38</v>
      </c>
      <c r="W3326" t="s">
        <v>966</v>
      </c>
      <c r="X3326">
        <v>15.99999999999999999999999999999999999998</v>
      </c>
      <c r="Y3326">
        <v>0</v>
      </c>
      <c r="Z3326" t="s">
        <v>46</v>
      </c>
      <c r="AA3326">
        <v>56582</v>
      </c>
      <c r="AB3326" t="s">
        <v>2483</v>
      </c>
      <c r="AC3326" t="s">
        <v>103</v>
      </c>
      <c r="AD3326" t="s">
        <v>38</v>
      </c>
      <c r="AE3326" t="s">
        <v>49</v>
      </c>
      <c r="AF3326" t="s">
        <v>50</v>
      </c>
      <c r="AG3326">
        <v>0</v>
      </c>
      <c r="AH3326">
        <v>0</v>
      </c>
      <c r="AI3326" t="s">
        <v>51</v>
      </c>
      <c r="AJ3326" t="s">
        <v>51</v>
      </c>
      <c r="AK3326" t="s">
        <v>51</v>
      </c>
    </row>
    <row r="3327" spans="1:37" x14ac:dyDescent="0.2">
      <c r="A3327">
        <v>56471</v>
      </c>
      <c r="B3327" t="s">
        <v>37</v>
      </c>
      <c r="C3327" t="s">
        <v>38</v>
      </c>
      <c r="D3327" t="s">
        <v>674</v>
      </c>
      <c r="E3327" t="s">
        <v>40</v>
      </c>
      <c r="G3327" s="4">
        <v>43945.005196759259</v>
      </c>
      <c r="H3327" s="4">
        <v>43945.00587962963</v>
      </c>
      <c r="I3327" t="s">
        <v>2438</v>
      </c>
      <c r="J3327" s="5">
        <v>58.99999999999999999999999999999999999997</v>
      </c>
      <c r="K3327" t="s">
        <v>38</v>
      </c>
      <c r="M3327">
        <v>56472</v>
      </c>
      <c r="N3327" t="s">
        <v>705</v>
      </c>
      <c r="O3327" t="s">
        <v>706</v>
      </c>
      <c r="P3327" t="s">
        <v>38</v>
      </c>
      <c r="Q3327" t="s">
        <v>966</v>
      </c>
      <c r="R3327">
        <v>15.99999999999999999999999999999999999998</v>
      </c>
      <c r="S3327" t="s">
        <v>45</v>
      </c>
      <c r="T332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7">
        <v>56473</v>
      </c>
      <c r="V3327" t="s">
        <v>38</v>
      </c>
      <c r="W3327" t="s">
        <v>966</v>
      </c>
      <c r="X3327">
        <v>15.99999999999999999999999999999999999998</v>
      </c>
      <c r="Y3327">
        <v>0</v>
      </c>
      <c r="Z3327" t="s">
        <v>46</v>
      </c>
      <c r="AA3327">
        <v>56581</v>
      </c>
      <c r="AB3327" t="s">
        <v>2484</v>
      </c>
      <c r="AC3327" t="s">
        <v>103</v>
      </c>
      <c r="AD3327" t="s">
        <v>38</v>
      </c>
      <c r="AE3327" t="s">
        <v>49</v>
      </c>
      <c r="AF3327" t="s">
        <v>50</v>
      </c>
      <c r="AG3327">
        <v>0</v>
      </c>
      <c r="AH3327">
        <v>0</v>
      </c>
      <c r="AI3327" t="s">
        <v>51</v>
      </c>
      <c r="AJ3327" t="s">
        <v>51</v>
      </c>
      <c r="AK3327" t="s">
        <v>51</v>
      </c>
    </row>
    <row r="3328" spans="1:37" x14ac:dyDescent="0.2">
      <c r="A3328">
        <v>56471</v>
      </c>
      <c r="B3328" t="s">
        <v>37</v>
      </c>
      <c r="C3328" t="s">
        <v>38</v>
      </c>
      <c r="D3328" t="s">
        <v>674</v>
      </c>
      <c r="E3328" t="s">
        <v>40</v>
      </c>
      <c r="G3328" s="4">
        <v>43945.005196759259</v>
      </c>
      <c r="H3328" s="4">
        <v>43945.00587962963</v>
      </c>
      <c r="I3328" t="s">
        <v>2438</v>
      </c>
      <c r="J3328" s="5">
        <v>58.99999999999999999999999999999999999997</v>
      </c>
      <c r="K3328" t="s">
        <v>38</v>
      </c>
      <c r="M3328">
        <v>56472</v>
      </c>
      <c r="N3328" t="s">
        <v>705</v>
      </c>
      <c r="O3328" t="s">
        <v>706</v>
      </c>
      <c r="P3328" t="s">
        <v>38</v>
      </c>
      <c r="Q3328" t="s">
        <v>966</v>
      </c>
      <c r="R3328">
        <v>15.99999999999999999999999999999999999998</v>
      </c>
      <c r="S3328" t="s">
        <v>45</v>
      </c>
      <c r="T332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8">
        <v>56473</v>
      </c>
      <c r="V3328" t="s">
        <v>38</v>
      </c>
      <c r="W3328" t="s">
        <v>966</v>
      </c>
      <c r="X3328">
        <v>15.99999999999999999999999999999999999998</v>
      </c>
      <c r="Y3328">
        <v>0</v>
      </c>
      <c r="Z3328" t="s">
        <v>46</v>
      </c>
      <c r="AA3328">
        <v>56580</v>
      </c>
      <c r="AB3328" t="s">
        <v>2485</v>
      </c>
      <c r="AC3328" t="s">
        <v>103</v>
      </c>
      <c r="AD3328" t="s">
        <v>38</v>
      </c>
      <c r="AE3328" t="s">
        <v>49</v>
      </c>
      <c r="AF3328" t="s">
        <v>50</v>
      </c>
      <c r="AG3328">
        <v>0</v>
      </c>
      <c r="AH3328">
        <v>0</v>
      </c>
      <c r="AI3328" t="s">
        <v>51</v>
      </c>
      <c r="AJ3328" t="s">
        <v>51</v>
      </c>
      <c r="AK3328" t="s">
        <v>51</v>
      </c>
    </row>
    <row r="3329" spans="1:37" x14ac:dyDescent="0.2">
      <c r="A3329">
        <v>56471</v>
      </c>
      <c r="B3329" t="s">
        <v>37</v>
      </c>
      <c r="C3329" t="s">
        <v>38</v>
      </c>
      <c r="D3329" t="s">
        <v>674</v>
      </c>
      <c r="E3329" t="s">
        <v>40</v>
      </c>
      <c r="G3329" s="4">
        <v>43945.005196759259</v>
      </c>
      <c r="H3329" s="4">
        <v>43945.00587962963</v>
      </c>
      <c r="I3329" t="s">
        <v>2438</v>
      </c>
      <c r="J3329" s="5">
        <v>58.99999999999999999999999999999999999997</v>
      </c>
      <c r="K3329" t="s">
        <v>38</v>
      </c>
      <c r="M3329">
        <v>56472</v>
      </c>
      <c r="N3329" t="s">
        <v>705</v>
      </c>
      <c r="O3329" t="s">
        <v>706</v>
      </c>
      <c r="P3329" t="s">
        <v>38</v>
      </c>
      <c r="Q3329" t="s">
        <v>966</v>
      </c>
      <c r="R3329">
        <v>15.99999999999999999999999999999999999998</v>
      </c>
      <c r="S3329" t="s">
        <v>45</v>
      </c>
      <c r="T332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29">
        <v>56473</v>
      </c>
      <c r="V3329" t="s">
        <v>38</v>
      </c>
      <c r="W3329" t="s">
        <v>966</v>
      </c>
      <c r="X3329">
        <v>15.99999999999999999999999999999999999998</v>
      </c>
      <c r="Y3329">
        <v>0</v>
      </c>
      <c r="Z3329" t="s">
        <v>46</v>
      </c>
      <c r="AA3329">
        <v>56579</v>
      </c>
      <c r="AB3329" t="s">
        <v>2486</v>
      </c>
      <c r="AC3329" t="s">
        <v>103</v>
      </c>
      <c r="AD3329" t="s">
        <v>38</v>
      </c>
      <c r="AE3329" t="s">
        <v>49</v>
      </c>
      <c r="AF3329" t="s">
        <v>50</v>
      </c>
      <c r="AG3329">
        <v>0</v>
      </c>
      <c r="AH3329">
        <v>0</v>
      </c>
      <c r="AI3329" t="s">
        <v>51</v>
      </c>
      <c r="AJ3329" t="s">
        <v>51</v>
      </c>
      <c r="AK3329" t="s">
        <v>51</v>
      </c>
    </row>
    <row r="3330" spans="1:37" x14ac:dyDescent="0.2">
      <c r="A3330">
        <v>56471</v>
      </c>
      <c r="B3330" t="s">
        <v>37</v>
      </c>
      <c r="C3330" t="s">
        <v>38</v>
      </c>
      <c r="D3330" t="s">
        <v>674</v>
      </c>
      <c r="E3330" t="s">
        <v>40</v>
      </c>
      <c r="G3330" s="4">
        <v>43945.005196759259</v>
      </c>
      <c r="H3330" s="4">
        <v>43945.00587962963</v>
      </c>
      <c r="I3330" t="s">
        <v>2438</v>
      </c>
      <c r="J3330" s="5">
        <v>58.99999999999999999999999999999999999997</v>
      </c>
      <c r="K3330" t="s">
        <v>38</v>
      </c>
      <c r="M3330">
        <v>56472</v>
      </c>
      <c r="N3330" t="s">
        <v>705</v>
      </c>
      <c r="O3330" t="s">
        <v>706</v>
      </c>
      <c r="P3330" t="s">
        <v>38</v>
      </c>
      <c r="Q3330" t="s">
        <v>966</v>
      </c>
      <c r="R3330">
        <v>15.99999999999999999999999999999999999998</v>
      </c>
      <c r="S3330" t="s">
        <v>45</v>
      </c>
      <c r="T333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0">
        <v>56473</v>
      </c>
      <c r="V3330" t="s">
        <v>38</v>
      </c>
      <c r="W3330" t="s">
        <v>966</v>
      </c>
      <c r="X3330">
        <v>15.99999999999999999999999999999999999998</v>
      </c>
      <c r="Y3330">
        <v>0</v>
      </c>
      <c r="Z3330" t="s">
        <v>46</v>
      </c>
      <c r="AA3330">
        <v>56578</v>
      </c>
      <c r="AB3330" t="s">
        <v>2487</v>
      </c>
      <c r="AC3330" t="s">
        <v>103</v>
      </c>
      <c r="AD3330" t="s">
        <v>38</v>
      </c>
      <c r="AE3330" t="s">
        <v>49</v>
      </c>
      <c r="AF3330" t="s">
        <v>50</v>
      </c>
      <c r="AG3330">
        <v>0</v>
      </c>
      <c r="AH3330">
        <v>0</v>
      </c>
      <c r="AI3330" t="s">
        <v>51</v>
      </c>
      <c r="AJ3330" t="s">
        <v>51</v>
      </c>
      <c r="AK3330" t="s">
        <v>51</v>
      </c>
    </row>
    <row r="3331" spans="1:37" x14ac:dyDescent="0.2">
      <c r="A3331">
        <v>56471</v>
      </c>
      <c r="B3331" t="s">
        <v>37</v>
      </c>
      <c r="C3331" t="s">
        <v>38</v>
      </c>
      <c r="D3331" t="s">
        <v>674</v>
      </c>
      <c r="E3331" t="s">
        <v>40</v>
      </c>
      <c r="G3331" s="4">
        <v>43945.005196759259</v>
      </c>
      <c r="H3331" s="4">
        <v>43945.00587962963</v>
      </c>
      <c r="I3331" t="s">
        <v>2438</v>
      </c>
      <c r="J3331" s="5">
        <v>58.99999999999999999999999999999999999997</v>
      </c>
      <c r="K3331" t="s">
        <v>38</v>
      </c>
      <c r="M3331">
        <v>56472</v>
      </c>
      <c r="N3331" t="s">
        <v>705</v>
      </c>
      <c r="O3331" t="s">
        <v>706</v>
      </c>
      <c r="P3331" t="s">
        <v>38</v>
      </c>
      <c r="Q3331" t="s">
        <v>966</v>
      </c>
      <c r="R3331">
        <v>15.99999999999999999999999999999999999998</v>
      </c>
      <c r="S3331" t="s">
        <v>45</v>
      </c>
      <c r="T333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1">
        <v>56473</v>
      </c>
      <c r="V3331" t="s">
        <v>38</v>
      </c>
      <c r="W3331" t="s">
        <v>966</v>
      </c>
      <c r="X3331">
        <v>15.99999999999999999999999999999999999998</v>
      </c>
      <c r="Y3331">
        <v>0</v>
      </c>
      <c r="Z3331" t="s">
        <v>46</v>
      </c>
      <c r="AA3331">
        <v>56577</v>
      </c>
      <c r="AB3331" t="s">
        <v>2488</v>
      </c>
      <c r="AC3331" t="s">
        <v>103</v>
      </c>
      <c r="AD3331" t="s">
        <v>38</v>
      </c>
      <c r="AE3331" t="s">
        <v>49</v>
      </c>
      <c r="AF3331" t="s">
        <v>50</v>
      </c>
      <c r="AG3331">
        <v>0</v>
      </c>
      <c r="AH3331">
        <v>0</v>
      </c>
      <c r="AI3331" t="s">
        <v>51</v>
      </c>
      <c r="AJ3331" t="s">
        <v>51</v>
      </c>
      <c r="AK3331" t="s">
        <v>51</v>
      </c>
    </row>
    <row r="3332" spans="1:37" x14ac:dyDescent="0.2">
      <c r="A3332">
        <v>56471</v>
      </c>
      <c r="B3332" t="s">
        <v>37</v>
      </c>
      <c r="C3332" t="s">
        <v>38</v>
      </c>
      <c r="D3332" t="s">
        <v>674</v>
      </c>
      <c r="E3332" t="s">
        <v>40</v>
      </c>
      <c r="G3332" s="4">
        <v>43945.005196759259</v>
      </c>
      <c r="H3332" s="4">
        <v>43945.00587962963</v>
      </c>
      <c r="I3332" t="s">
        <v>2438</v>
      </c>
      <c r="J3332" s="5">
        <v>58.99999999999999999999999999999999999997</v>
      </c>
      <c r="K3332" t="s">
        <v>38</v>
      </c>
      <c r="M3332">
        <v>56472</v>
      </c>
      <c r="N3332" t="s">
        <v>705</v>
      </c>
      <c r="O3332" t="s">
        <v>706</v>
      </c>
      <c r="P3332" t="s">
        <v>38</v>
      </c>
      <c r="Q3332" t="s">
        <v>966</v>
      </c>
      <c r="R3332">
        <v>15.99999999999999999999999999999999999998</v>
      </c>
      <c r="S3332" t="s">
        <v>45</v>
      </c>
      <c r="T333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2">
        <v>56473</v>
      </c>
      <c r="V3332" t="s">
        <v>38</v>
      </c>
      <c r="W3332" t="s">
        <v>966</v>
      </c>
      <c r="X3332">
        <v>15.99999999999999999999999999999999999998</v>
      </c>
      <c r="Y3332">
        <v>0</v>
      </c>
      <c r="Z3332" t="s">
        <v>46</v>
      </c>
      <c r="AA3332">
        <v>56576</v>
      </c>
      <c r="AB3332" t="s">
        <v>2489</v>
      </c>
      <c r="AC3332" t="s">
        <v>103</v>
      </c>
      <c r="AD3332" t="s">
        <v>38</v>
      </c>
      <c r="AE3332" t="s">
        <v>49</v>
      </c>
      <c r="AF3332" t="s">
        <v>50</v>
      </c>
      <c r="AG3332">
        <v>0</v>
      </c>
      <c r="AH3332">
        <v>0</v>
      </c>
      <c r="AI3332" t="s">
        <v>51</v>
      </c>
      <c r="AJ3332" t="s">
        <v>51</v>
      </c>
      <c r="AK3332" t="s">
        <v>51</v>
      </c>
    </row>
    <row r="3333" spans="1:37" x14ac:dyDescent="0.2">
      <c r="A3333">
        <v>56471</v>
      </c>
      <c r="B3333" t="s">
        <v>37</v>
      </c>
      <c r="C3333" t="s">
        <v>38</v>
      </c>
      <c r="D3333" t="s">
        <v>674</v>
      </c>
      <c r="E3333" t="s">
        <v>40</v>
      </c>
      <c r="G3333" s="4">
        <v>43945.005196759259</v>
      </c>
      <c r="H3333" s="4">
        <v>43945.00587962963</v>
      </c>
      <c r="I3333" t="s">
        <v>2438</v>
      </c>
      <c r="J3333" s="5">
        <v>58.99999999999999999999999999999999999997</v>
      </c>
      <c r="K3333" t="s">
        <v>38</v>
      </c>
      <c r="M3333">
        <v>56472</v>
      </c>
      <c r="N3333" t="s">
        <v>705</v>
      </c>
      <c r="O3333" t="s">
        <v>706</v>
      </c>
      <c r="P3333" t="s">
        <v>38</v>
      </c>
      <c r="Q3333" t="s">
        <v>966</v>
      </c>
      <c r="R3333">
        <v>15.99999999999999999999999999999999999998</v>
      </c>
      <c r="S3333" t="s">
        <v>45</v>
      </c>
      <c r="T333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3">
        <v>56473</v>
      </c>
      <c r="V3333" t="s">
        <v>38</v>
      </c>
      <c r="W3333" t="s">
        <v>966</v>
      </c>
      <c r="X3333">
        <v>15.99999999999999999999999999999999999998</v>
      </c>
      <c r="Y3333">
        <v>0</v>
      </c>
      <c r="Z3333" t="s">
        <v>46</v>
      </c>
      <c r="AA3333">
        <v>56575</v>
      </c>
      <c r="AB3333" t="s">
        <v>2490</v>
      </c>
      <c r="AC3333" t="s">
        <v>103</v>
      </c>
      <c r="AD3333" t="s">
        <v>38</v>
      </c>
      <c r="AE3333" t="s">
        <v>49</v>
      </c>
      <c r="AF3333" t="s">
        <v>50</v>
      </c>
      <c r="AG3333">
        <v>0</v>
      </c>
      <c r="AH3333">
        <v>0</v>
      </c>
      <c r="AI3333" t="s">
        <v>51</v>
      </c>
      <c r="AJ3333" t="s">
        <v>51</v>
      </c>
      <c r="AK3333" t="s">
        <v>51</v>
      </c>
    </row>
    <row r="3334" spans="1:37" x14ac:dyDescent="0.2">
      <c r="A3334">
        <v>56471</v>
      </c>
      <c r="B3334" t="s">
        <v>37</v>
      </c>
      <c r="C3334" t="s">
        <v>38</v>
      </c>
      <c r="D3334" t="s">
        <v>674</v>
      </c>
      <c r="E3334" t="s">
        <v>40</v>
      </c>
      <c r="G3334" s="4">
        <v>43945.005196759259</v>
      </c>
      <c r="H3334" s="4">
        <v>43945.00587962963</v>
      </c>
      <c r="I3334" t="s">
        <v>2438</v>
      </c>
      <c r="J3334" s="5">
        <v>58.99999999999999999999999999999999999997</v>
      </c>
      <c r="K3334" t="s">
        <v>38</v>
      </c>
      <c r="M3334">
        <v>56472</v>
      </c>
      <c r="N3334" t="s">
        <v>705</v>
      </c>
      <c r="O3334" t="s">
        <v>706</v>
      </c>
      <c r="P3334" t="s">
        <v>38</v>
      </c>
      <c r="Q3334" t="s">
        <v>966</v>
      </c>
      <c r="R3334">
        <v>15.99999999999999999999999999999999999998</v>
      </c>
      <c r="S3334" t="s">
        <v>45</v>
      </c>
      <c r="T333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4">
        <v>56473</v>
      </c>
      <c r="V3334" t="s">
        <v>38</v>
      </c>
      <c r="W3334" t="s">
        <v>966</v>
      </c>
      <c r="X3334">
        <v>15.99999999999999999999999999999999999998</v>
      </c>
      <c r="Y3334">
        <v>0</v>
      </c>
      <c r="Z3334" t="s">
        <v>46</v>
      </c>
      <c r="AA3334">
        <v>56574</v>
      </c>
      <c r="AB3334" t="s">
        <v>2491</v>
      </c>
      <c r="AC3334" t="s">
        <v>103</v>
      </c>
      <c r="AD3334" t="s">
        <v>38</v>
      </c>
      <c r="AE3334" t="s">
        <v>49</v>
      </c>
      <c r="AF3334" t="s">
        <v>50</v>
      </c>
      <c r="AG3334">
        <v>0</v>
      </c>
      <c r="AH3334">
        <v>0</v>
      </c>
      <c r="AI3334" t="s">
        <v>51</v>
      </c>
      <c r="AJ3334" t="s">
        <v>51</v>
      </c>
      <c r="AK3334" t="s">
        <v>51</v>
      </c>
    </row>
    <row r="3335" spans="1:37" x14ac:dyDescent="0.2">
      <c r="A3335">
        <v>56471</v>
      </c>
      <c r="B3335" t="s">
        <v>37</v>
      </c>
      <c r="C3335" t="s">
        <v>38</v>
      </c>
      <c r="D3335" t="s">
        <v>674</v>
      </c>
      <c r="E3335" t="s">
        <v>40</v>
      </c>
      <c r="G3335" s="4">
        <v>43945.005196759259</v>
      </c>
      <c r="H3335" s="4">
        <v>43945.00587962963</v>
      </c>
      <c r="I3335" t="s">
        <v>2438</v>
      </c>
      <c r="J3335" s="5">
        <v>58.99999999999999999999999999999999999997</v>
      </c>
      <c r="K3335" t="s">
        <v>38</v>
      </c>
      <c r="M3335">
        <v>56472</v>
      </c>
      <c r="N3335" t="s">
        <v>705</v>
      </c>
      <c r="O3335" t="s">
        <v>706</v>
      </c>
      <c r="P3335" t="s">
        <v>38</v>
      </c>
      <c r="Q3335" t="s">
        <v>966</v>
      </c>
      <c r="R3335">
        <v>15.99999999999999999999999999999999999998</v>
      </c>
      <c r="S3335" t="s">
        <v>45</v>
      </c>
      <c r="T333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5">
        <v>56473</v>
      </c>
      <c r="V3335" t="s">
        <v>38</v>
      </c>
      <c r="W3335" t="s">
        <v>966</v>
      </c>
      <c r="X3335">
        <v>15.99999999999999999999999999999999999998</v>
      </c>
      <c r="Y3335">
        <v>0</v>
      </c>
      <c r="Z3335" t="s">
        <v>46</v>
      </c>
      <c r="AA3335">
        <v>56573</v>
      </c>
      <c r="AB3335" t="s">
        <v>2492</v>
      </c>
      <c r="AC3335" t="s">
        <v>103</v>
      </c>
      <c r="AD3335" t="s">
        <v>38</v>
      </c>
      <c r="AE3335" t="s">
        <v>49</v>
      </c>
      <c r="AF3335" t="s">
        <v>50</v>
      </c>
      <c r="AG3335">
        <v>0</v>
      </c>
      <c r="AH3335">
        <v>0</v>
      </c>
      <c r="AI3335" t="s">
        <v>51</v>
      </c>
      <c r="AJ3335" t="s">
        <v>51</v>
      </c>
      <c r="AK3335" t="s">
        <v>51</v>
      </c>
    </row>
    <row r="3336" spans="1:37" x14ac:dyDescent="0.2">
      <c r="A3336">
        <v>56471</v>
      </c>
      <c r="B3336" t="s">
        <v>37</v>
      </c>
      <c r="C3336" t="s">
        <v>38</v>
      </c>
      <c r="D3336" t="s">
        <v>674</v>
      </c>
      <c r="E3336" t="s">
        <v>40</v>
      </c>
      <c r="G3336" s="4">
        <v>43945.005196759259</v>
      </c>
      <c r="H3336" s="4">
        <v>43945.00587962963</v>
      </c>
      <c r="I3336" t="s">
        <v>2438</v>
      </c>
      <c r="J3336" s="5">
        <v>58.99999999999999999999999999999999999997</v>
      </c>
      <c r="K3336" t="s">
        <v>38</v>
      </c>
      <c r="M3336">
        <v>56472</v>
      </c>
      <c r="N3336" t="s">
        <v>705</v>
      </c>
      <c r="O3336" t="s">
        <v>706</v>
      </c>
      <c r="P3336" t="s">
        <v>38</v>
      </c>
      <c r="Q3336" t="s">
        <v>966</v>
      </c>
      <c r="R3336">
        <v>15.99999999999999999999999999999999999998</v>
      </c>
      <c r="S3336" t="s">
        <v>45</v>
      </c>
      <c r="T333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6">
        <v>56473</v>
      </c>
      <c r="V3336" t="s">
        <v>38</v>
      </c>
      <c r="W3336" t="s">
        <v>966</v>
      </c>
      <c r="X3336">
        <v>15.99999999999999999999999999999999999998</v>
      </c>
      <c r="Y3336">
        <v>0</v>
      </c>
      <c r="Z3336" t="s">
        <v>46</v>
      </c>
      <c r="AA3336">
        <v>56572</v>
      </c>
      <c r="AB3336" t="s">
        <v>2493</v>
      </c>
      <c r="AC3336" t="s">
        <v>103</v>
      </c>
      <c r="AD3336" t="s">
        <v>38</v>
      </c>
      <c r="AE3336" t="s">
        <v>49</v>
      </c>
      <c r="AF3336" t="s">
        <v>50</v>
      </c>
      <c r="AG3336">
        <v>0</v>
      </c>
      <c r="AH3336">
        <v>0</v>
      </c>
      <c r="AI3336" t="s">
        <v>51</v>
      </c>
      <c r="AJ3336" t="s">
        <v>51</v>
      </c>
      <c r="AK3336" t="s">
        <v>51</v>
      </c>
    </row>
    <row r="3337" spans="1:37" x14ac:dyDescent="0.2">
      <c r="A3337">
        <v>56471</v>
      </c>
      <c r="B3337" t="s">
        <v>37</v>
      </c>
      <c r="C3337" t="s">
        <v>38</v>
      </c>
      <c r="D3337" t="s">
        <v>674</v>
      </c>
      <c r="E3337" t="s">
        <v>40</v>
      </c>
      <c r="G3337" s="4">
        <v>43945.005196759259</v>
      </c>
      <c r="H3337" s="4">
        <v>43945.00587962963</v>
      </c>
      <c r="I3337" t="s">
        <v>2438</v>
      </c>
      <c r="J3337" s="5">
        <v>58.99999999999999999999999999999999999997</v>
      </c>
      <c r="K3337" t="s">
        <v>38</v>
      </c>
      <c r="M3337">
        <v>56472</v>
      </c>
      <c r="N3337" t="s">
        <v>705</v>
      </c>
      <c r="O3337" t="s">
        <v>706</v>
      </c>
      <c r="P3337" t="s">
        <v>38</v>
      </c>
      <c r="Q3337" t="s">
        <v>966</v>
      </c>
      <c r="R3337">
        <v>15.99999999999999999999999999999999999998</v>
      </c>
      <c r="S3337" t="s">
        <v>45</v>
      </c>
      <c r="T333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7">
        <v>56473</v>
      </c>
      <c r="V3337" t="s">
        <v>38</v>
      </c>
      <c r="W3337" t="s">
        <v>966</v>
      </c>
      <c r="X3337">
        <v>15.99999999999999999999999999999999999998</v>
      </c>
      <c r="Y3337">
        <v>0</v>
      </c>
      <c r="Z3337" t="s">
        <v>46</v>
      </c>
      <c r="AA3337">
        <v>56571</v>
      </c>
      <c r="AB3337" t="s">
        <v>2494</v>
      </c>
      <c r="AC3337" t="s">
        <v>103</v>
      </c>
      <c r="AD3337" t="s">
        <v>38</v>
      </c>
      <c r="AE3337" t="s">
        <v>49</v>
      </c>
      <c r="AF3337" t="s">
        <v>50</v>
      </c>
      <c r="AG3337">
        <v>0</v>
      </c>
      <c r="AH3337">
        <v>0</v>
      </c>
      <c r="AI3337" t="s">
        <v>51</v>
      </c>
      <c r="AJ3337" t="s">
        <v>51</v>
      </c>
      <c r="AK3337" t="s">
        <v>51</v>
      </c>
    </row>
    <row r="3338" spans="1:37" x14ac:dyDescent="0.2">
      <c r="A3338">
        <v>56471</v>
      </c>
      <c r="B3338" t="s">
        <v>37</v>
      </c>
      <c r="C3338" t="s">
        <v>38</v>
      </c>
      <c r="D3338" t="s">
        <v>674</v>
      </c>
      <c r="E3338" t="s">
        <v>40</v>
      </c>
      <c r="G3338" s="4">
        <v>43945.005196759259</v>
      </c>
      <c r="H3338" s="4">
        <v>43945.00587962963</v>
      </c>
      <c r="I3338" t="s">
        <v>2438</v>
      </c>
      <c r="J3338" s="5">
        <v>58.99999999999999999999999999999999999997</v>
      </c>
      <c r="K3338" t="s">
        <v>38</v>
      </c>
      <c r="M3338">
        <v>56472</v>
      </c>
      <c r="N3338" t="s">
        <v>705</v>
      </c>
      <c r="O3338" t="s">
        <v>706</v>
      </c>
      <c r="P3338" t="s">
        <v>38</v>
      </c>
      <c r="Q3338" t="s">
        <v>966</v>
      </c>
      <c r="R3338">
        <v>15.99999999999999999999999999999999999998</v>
      </c>
      <c r="S3338" t="s">
        <v>45</v>
      </c>
      <c r="T333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8">
        <v>56473</v>
      </c>
      <c r="V3338" t="s">
        <v>38</v>
      </c>
      <c r="W3338" t="s">
        <v>966</v>
      </c>
      <c r="X3338">
        <v>15.99999999999999999999999999999999999998</v>
      </c>
      <c r="Y3338">
        <v>0</v>
      </c>
      <c r="Z3338" t="s">
        <v>46</v>
      </c>
      <c r="AA3338">
        <v>56570</v>
      </c>
      <c r="AB3338" t="s">
        <v>2495</v>
      </c>
      <c r="AC3338" t="s">
        <v>103</v>
      </c>
      <c r="AD3338" t="s">
        <v>38</v>
      </c>
      <c r="AE3338" t="s">
        <v>49</v>
      </c>
      <c r="AF3338" t="s">
        <v>50</v>
      </c>
      <c r="AG3338">
        <v>0</v>
      </c>
      <c r="AH3338">
        <v>0</v>
      </c>
      <c r="AI3338" t="s">
        <v>51</v>
      </c>
      <c r="AJ3338" t="s">
        <v>51</v>
      </c>
      <c r="AK3338" t="s">
        <v>51</v>
      </c>
    </row>
    <row r="3339" spans="1:37" x14ac:dyDescent="0.2">
      <c r="A3339">
        <v>56471</v>
      </c>
      <c r="B3339" t="s">
        <v>37</v>
      </c>
      <c r="C3339" t="s">
        <v>38</v>
      </c>
      <c r="D3339" t="s">
        <v>674</v>
      </c>
      <c r="E3339" t="s">
        <v>40</v>
      </c>
      <c r="G3339" s="4">
        <v>43945.005196759259</v>
      </c>
      <c r="H3339" s="4">
        <v>43945.00587962963</v>
      </c>
      <c r="I3339" t="s">
        <v>2438</v>
      </c>
      <c r="J3339" s="5">
        <v>58.99999999999999999999999999999999999997</v>
      </c>
      <c r="K3339" t="s">
        <v>38</v>
      </c>
      <c r="M3339">
        <v>56472</v>
      </c>
      <c r="N3339" t="s">
        <v>705</v>
      </c>
      <c r="O3339" t="s">
        <v>706</v>
      </c>
      <c r="P3339" t="s">
        <v>38</v>
      </c>
      <c r="Q3339" t="s">
        <v>966</v>
      </c>
      <c r="R3339">
        <v>15.99999999999999999999999999999999999998</v>
      </c>
      <c r="S3339" t="s">
        <v>45</v>
      </c>
      <c r="T333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39">
        <v>56473</v>
      </c>
      <c r="V3339" t="s">
        <v>38</v>
      </c>
      <c r="W3339" t="s">
        <v>966</v>
      </c>
      <c r="X3339">
        <v>15.99999999999999999999999999999999999998</v>
      </c>
      <c r="Y3339">
        <v>0</v>
      </c>
      <c r="Z3339" t="s">
        <v>46</v>
      </c>
      <c r="AA3339">
        <v>56569</v>
      </c>
      <c r="AB3339" t="s">
        <v>2496</v>
      </c>
      <c r="AC3339" t="s">
        <v>103</v>
      </c>
      <c r="AD3339" t="s">
        <v>38</v>
      </c>
      <c r="AE3339" t="s">
        <v>49</v>
      </c>
      <c r="AF3339" t="s">
        <v>50</v>
      </c>
      <c r="AG3339">
        <v>0</v>
      </c>
      <c r="AH3339">
        <v>0</v>
      </c>
      <c r="AI3339" t="s">
        <v>51</v>
      </c>
      <c r="AJ3339" t="s">
        <v>51</v>
      </c>
      <c r="AK3339" t="s">
        <v>51</v>
      </c>
    </row>
    <row r="3340" spans="1:37" x14ac:dyDescent="0.2">
      <c r="A3340">
        <v>56471</v>
      </c>
      <c r="B3340" t="s">
        <v>37</v>
      </c>
      <c r="C3340" t="s">
        <v>38</v>
      </c>
      <c r="D3340" t="s">
        <v>674</v>
      </c>
      <c r="E3340" t="s">
        <v>40</v>
      </c>
      <c r="G3340" s="4">
        <v>43945.005196759259</v>
      </c>
      <c r="H3340" s="4">
        <v>43945.00587962963</v>
      </c>
      <c r="I3340" t="s">
        <v>2438</v>
      </c>
      <c r="J3340" s="5">
        <v>58.99999999999999999999999999999999999997</v>
      </c>
      <c r="K3340" t="s">
        <v>38</v>
      </c>
      <c r="M3340">
        <v>56472</v>
      </c>
      <c r="N3340" t="s">
        <v>705</v>
      </c>
      <c r="O3340" t="s">
        <v>706</v>
      </c>
      <c r="P3340" t="s">
        <v>38</v>
      </c>
      <c r="Q3340" t="s">
        <v>966</v>
      </c>
      <c r="R3340">
        <v>15.99999999999999999999999999999999999998</v>
      </c>
      <c r="S3340" t="s">
        <v>45</v>
      </c>
      <c r="T334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0">
        <v>56473</v>
      </c>
      <c r="V3340" t="s">
        <v>38</v>
      </c>
      <c r="W3340" t="s">
        <v>966</v>
      </c>
      <c r="X3340">
        <v>15.99999999999999999999999999999999999998</v>
      </c>
      <c r="Y3340">
        <v>0</v>
      </c>
      <c r="Z3340" t="s">
        <v>46</v>
      </c>
      <c r="AA3340">
        <v>56568</v>
      </c>
      <c r="AB3340" t="s">
        <v>2497</v>
      </c>
      <c r="AC3340" t="s">
        <v>103</v>
      </c>
      <c r="AD3340" t="s">
        <v>38</v>
      </c>
      <c r="AE3340" t="s">
        <v>49</v>
      </c>
      <c r="AF3340" t="s">
        <v>50</v>
      </c>
      <c r="AG3340">
        <v>0</v>
      </c>
      <c r="AH3340">
        <v>0</v>
      </c>
      <c r="AI3340" t="s">
        <v>51</v>
      </c>
      <c r="AJ3340" t="s">
        <v>51</v>
      </c>
      <c r="AK3340" t="s">
        <v>51</v>
      </c>
    </row>
    <row r="3341" spans="1:37" x14ac:dyDescent="0.2">
      <c r="A3341">
        <v>56471</v>
      </c>
      <c r="B3341" t="s">
        <v>37</v>
      </c>
      <c r="C3341" t="s">
        <v>38</v>
      </c>
      <c r="D3341" t="s">
        <v>674</v>
      </c>
      <c r="E3341" t="s">
        <v>40</v>
      </c>
      <c r="G3341" s="4">
        <v>43945.005196759259</v>
      </c>
      <c r="H3341" s="4">
        <v>43945.00587962963</v>
      </c>
      <c r="I3341" t="s">
        <v>2438</v>
      </c>
      <c r="J3341" s="5">
        <v>58.99999999999999999999999999999999999997</v>
      </c>
      <c r="K3341" t="s">
        <v>38</v>
      </c>
      <c r="M3341">
        <v>56472</v>
      </c>
      <c r="N3341" t="s">
        <v>705</v>
      </c>
      <c r="O3341" t="s">
        <v>706</v>
      </c>
      <c r="P3341" t="s">
        <v>38</v>
      </c>
      <c r="Q3341" t="s">
        <v>966</v>
      </c>
      <c r="R3341">
        <v>15.99999999999999999999999999999999999998</v>
      </c>
      <c r="S3341" t="s">
        <v>45</v>
      </c>
      <c r="T334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1">
        <v>56473</v>
      </c>
      <c r="V3341" t="s">
        <v>38</v>
      </c>
      <c r="W3341" t="s">
        <v>966</v>
      </c>
      <c r="X3341">
        <v>15.99999999999999999999999999999999999998</v>
      </c>
      <c r="Y3341">
        <v>0</v>
      </c>
      <c r="Z3341" t="s">
        <v>46</v>
      </c>
      <c r="AA3341">
        <v>56567</v>
      </c>
      <c r="AB3341" t="s">
        <v>2498</v>
      </c>
      <c r="AC3341" t="s">
        <v>103</v>
      </c>
      <c r="AD3341" t="s">
        <v>38</v>
      </c>
      <c r="AE3341" t="s">
        <v>49</v>
      </c>
      <c r="AF3341" t="s">
        <v>50</v>
      </c>
      <c r="AG3341">
        <v>0</v>
      </c>
      <c r="AH3341">
        <v>0</v>
      </c>
      <c r="AI3341" t="s">
        <v>51</v>
      </c>
      <c r="AJ3341" t="s">
        <v>51</v>
      </c>
      <c r="AK3341" t="s">
        <v>51</v>
      </c>
    </row>
    <row r="3342" spans="1:37" x14ac:dyDescent="0.2">
      <c r="A3342">
        <v>56471</v>
      </c>
      <c r="B3342" t="s">
        <v>37</v>
      </c>
      <c r="C3342" t="s">
        <v>38</v>
      </c>
      <c r="D3342" t="s">
        <v>674</v>
      </c>
      <c r="E3342" t="s">
        <v>40</v>
      </c>
      <c r="G3342" s="4">
        <v>43945.005196759259</v>
      </c>
      <c r="H3342" s="4">
        <v>43945.00587962963</v>
      </c>
      <c r="I3342" t="s">
        <v>2438</v>
      </c>
      <c r="J3342" s="5">
        <v>58.99999999999999999999999999999999999997</v>
      </c>
      <c r="K3342" t="s">
        <v>38</v>
      </c>
      <c r="M3342">
        <v>56472</v>
      </c>
      <c r="N3342" t="s">
        <v>705</v>
      </c>
      <c r="O3342" t="s">
        <v>706</v>
      </c>
      <c r="P3342" t="s">
        <v>38</v>
      </c>
      <c r="Q3342" t="s">
        <v>966</v>
      </c>
      <c r="R3342">
        <v>15.99999999999999999999999999999999999998</v>
      </c>
      <c r="S3342" t="s">
        <v>45</v>
      </c>
      <c r="T334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2">
        <v>56473</v>
      </c>
      <c r="V3342" t="s">
        <v>38</v>
      </c>
      <c r="W3342" t="s">
        <v>966</v>
      </c>
      <c r="X3342">
        <v>15.99999999999999999999999999999999999998</v>
      </c>
      <c r="Y3342">
        <v>0</v>
      </c>
      <c r="Z3342" t="s">
        <v>46</v>
      </c>
      <c r="AA3342">
        <v>56566</v>
      </c>
      <c r="AB3342" t="s">
        <v>2499</v>
      </c>
      <c r="AC3342" t="s">
        <v>103</v>
      </c>
      <c r="AD3342" t="s">
        <v>38</v>
      </c>
      <c r="AE3342" t="s">
        <v>49</v>
      </c>
      <c r="AF3342" t="s">
        <v>50</v>
      </c>
      <c r="AG3342">
        <v>0</v>
      </c>
      <c r="AH3342">
        <v>0</v>
      </c>
      <c r="AI3342" t="s">
        <v>51</v>
      </c>
      <c r="AJ3342" t="s">
        <v>51</v>
      </c>
      <c r="AK3342" t="s">
        <v>51</v>
      </c>
    </row>
    <row r="3343" spans="1:37" x14ac:dyDescent="0.2">
      <c r="A3343">
        <v>56471</v>
      </c>
      <c r="B3343" t="s">
        <v>37</v>
      </c>
      <c r="C3343" t="s">
        <v>38</v>
      </c>
      <c r="D3343" t="s">
        <v>674</v>
      </c>
      <c r="E3343" t="s">
        <v>40</v>
      </c>
      <c r="G3343" s="4">
        <v>43945.005196759259</v>
      </c>
      <c r="H3343" s="4">
        <v>43945.00587962963</v>
      </c>
      <c r="I3343" t="s">
        <v>2438</v>
      </c>
      <c r="J3343" s="5">
        <v>58.99999999999999999999999999999999999997</v>
      </c>
      <c r="K3343" t="s">
        <v>38</v>
      </c>
      <c r="M3343">
        <v>56472</v>
      </c>
      <c r="N3343" t="s">
        <v>705</v>
      </c>
      <c r="O3343" t="s">
        <v>706</v>
      </c>
      <c r="P3343" t="s">
        <v>38</v>
      </c>
      <c r="Q3343" t="s">
        <v>966</v>
      </c>
      <c r="R3343">
        <v>15.99999999999999999999999999999999999998</v>
      </c>
      <c r="S3343" t="s">
        <v>45</v>
      </c>
      <c r="T334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3">
        <v>56473</v>
      </c>
      <c r="V3343" t="s">
        <v>38</v>
      </c>
      <c r="W3343" t="s">
        <v>966</v>
      </c>
      <c r="X3343">
        <v>15.99999999999999999999999999999999999998</v>
      </c>
      <c r="Y3343">
        <v>0</v>
      </c>
      <c r="Z3343" t="s">
        <v>46</v>
      </c>
      <c r="AA3343">
        <v>56565</v>
      </c>
      <c r="AB3343" t="s">
        <v>2500</v>
      </c>
      <c r="AC3343" t="s">
        <v>103</v>
      </c>
      <c r="AD3343" t="s">
        <v>38</v>
      </c>
      <c r="AE3343" t="s">
        <v>49</v>
      </c>
      <c r="AF3343" t="s">
        <v>50</v>
      </c>
      <c r="AG3343">
        <v>0</v>
      </c>
      <c r="AH3343">
        <v>0</v>
      </c>
      <c r="AI3343" t="s">
        <v>51</v>
      </c>
      <c r="AJ3343" t="s">
        <v>51</v>
      </c>
      <c r="AK3343" t="s">
        <v>51</v>
      </c>
    </row>
    <row r="3344" spans="1:37" x14ac:dyDescent="0.2">
      <c r="A3344">
        <v>56471</v>
      </c>
      <c r="B3344" t="s">
        <v>37</v>
      </c>
      <c r="C3344" t="s">
        <v>38</v>
      </c>
      <c r="D3344" t="s">
        <v>674</v>
      </c>
      <c r="E3344" t="s">
        <v>40</v>
      </c>
      <c r="G3344" s="4">
        <v>43945.005196759259</v>
      </c>
      <c r="H3344" s="4">
        <v>43945.00587962963</v>
      </c>
      <c r="I3344" t="s">
        <v>2438</v>
      </c>
      <c r="J3344" s="5">
        <v>58.99999999999999999999999999999999999997</v>
      </c>
      <c r="K3344" t="s">
        <v>38</v>
      </c>
      <c r="M3344">
        <v>56472</v>
      </c>
      <c r="N3344" t="s">
        <v>705</v>
      </c>
      <c r="O3344" t="s">
        <v>706</v>
      </c>
      <c r="P3344" t="s">
        <v>38</v>
      </c>
      <c r="Q3344" t="s">
        <v>966</v>
      </c>
      <c r="R3344">
        <v>15.99999999999999999999999999999999999998</v>
      </c>
      <c r="S3344" t="s">
        <v>45</v>
      </c>
      <c r="T334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4">
        <v>56473</v>
      </c>
      <c r="V3344" t="s">
        <v>38</v>
      </c>
      <c r="W3344" t="s">
        <v>966</v>
      </c>
      <c r="X3344">
        <v>15.99999999999999999999999999999999999998</v>
      </c>
      <c r="Y3344">
        <v>0</v>
      </c>
      <c r="Z3344" t="s">
        <v>46</v>
      </c>
      <c r="AA3344">
        <v>56564</v>
      </c>
      <c r="AB3344" t="s">
        <v>2501</v>
      </c>
      <c r="AC3344" t="s">
        <v>103</v>
      </c>
      <c r="AD3344" t="s">
        <v>38</v>
      </c>
      <c r="AE3344" t="s">
        <v>49</v>
      </c>
      <c r="AF3344" t="s">
        <v>50</v>
      </c>
      <c r="AG3344">
        <v>0</v>
      </c>
      <c r="AH3344">
        <v>0</v>
      </c>
      <c r="AI3344" t="s">
        <v>51</v>
      </c>
      <c r="AJ3344" t="s">
        <v>51</v>
      </c>
      <c r="AK3344" t="s">
        <v>51</v>
      </c>
    </row>
    <row r="3345" spans="1:37" x14ac:dyDescent="0.2">
      <c r="A3345">
        <v>56471</v>
      </c>
      <c r="B3345" t="s">
        <v>37</v>
      </c>
      <c r="C3345" t="s">
        <v>38</v>
      </c>
      <c r="D3345" t="s">
        <v>674</v>
      </c>
      <c r="E3345" t="s">
        <v>40</v>
      </c>
      <c r="G3345" s="4">
        <v>43945.005196759259</v>
      </c>
      <c r="H3345" s="4">
        <v>43945.00587962963</v>
      </c>
      <c r="I3345" t="s">
        <v>2438</v>
      </c>
      <c r="J3345" s="5">
        <v>58.99999999999999999999999999999999999997</v>
      </c>
      <c r="K3345" t="s">
        <v>38</v>
      </c>
      <c r="M3345">
        <v>56472</v>
      </c>
      <c r="N3345" t="s">
        <v>705</v>
      </c>
      <c r="O3345" t="s">
        <v>706</v>
      </c>
      <c r="P3345" t="s">
        <v>38</v>
      </c>
      <c r="Q3345" t="s">
        <v>966</v>
      </c>
      <c r="R3345">
        <v>15.99999999999999999999999999999999999998</v>
      </c>
      <c r="S3345" t="s">
        <v>45</v>
      </c>
      <c r="T334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5">
        <v>56473</v>
      </c>
      <c r="V3345" t="s">
        <v>38</v>
      </c>
      <c r="W3345" t="s">
        <v>966</v>
      </c>
      <c r="X3345">
        <v>15.99999999999999999999999999999999999998</v>
      </c>
      <c r="Y3345">
        <v>0</v>
      </c>
      <c r="Z3345" t="s">
        <v>46</v>
      </c>
      <c r="AA3345">
        <v>56563</v>
      </c>
      <c r="AB3345" t="s">
        <v>2502</v>
      </c>
      <c r="AC3345" t="s">
        <v>103</v>
      </c>
      <c r="AD3345" t="s">
        <v>38</v>
      </c>
      <c r="AE3345" t="s">
        <v>49</v>
      </c>
      <c r="AF3345" t="s">
        <v>50</v>
      </c>
      <c r="AG3345">
        <v>0</v>
      </c>
      <c r="AH3345">
        <v>0</v>
      </c>
      <c r="AI3345" t="s">
        <v>51</v>
      </c>
      <c r="AJ3345" t="s">
        <v>51</v>
      </c>
      <c r="AK3345" t="s">
        <v>51</v>
      </c>
    </row>
    <row r="3346" spans="1:37" x14ac:dyDescent="0.2">
      <c r="A3346">
        <v>56471</v>
      </c>
      <c r="B3346" t="s">
        <v>37</v>
      </c>
      <c r="C3346" t="s">
        <v>38</v>
      </c>
      <c r="D3346" t="s">
        <v>674</v>
      </c>
      <c r="E3346" t="s">
        <v>40</v>
      </c>
      <c r="G3346" s="4">
        <v>43945.005196759259</v>
      </c>
      <c r="H3346" s="4">
        <v>43945.00587962963</v>
      </c>
      <c r="I3346" t="s">
        <v>2438</v>
      </c>
      <c r="J3346" s="5">
        <v>58.99999999999999999999999999999999999997</v>
      </c>
      <c r="K3346" t="s">
        <v>38</v>
      </c>
      <c r="M3346">
        <v>56472</v>
      </c>
      <c r="N3346" t="s">
        <v>705</v>
      </c>
      <c r="O3346" t="s">
        <v>706</v>
      </c>
      <c r="P3346" t="s">
        <v>38</v>
      </c>
      <c r="Q3346" t="s">
        <v>966</v>
      </c>
      <c r="R3346">
        <v>15.99999999999999999999999999999999999998</v>
      </c>
      <c r="S3346" t="s">
        <v>45</v>
      </c>
      <c r="T334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6">
        <v>56473</v>
      </c>
      <c r="V3346" t="s">
        <v>38</v>
      </c>
      <c r="W3346" t="s">
        <v>966</v>
      </c>
      <c r="X3346">
        <v>15.99999999999999999999999999999999999998</v>
      </c>
      <c r="Y3346">
        <v>0</v>
      </c>
      <c r="Z3346" t="s">
        <v>46</v>
      </c>
      <c r="AA3346">
        <v>56562</v>
      </c>
      <c r="AB3346" t="s">
        <v>2503</v>
      </c>
      <c r="AC3346" t="s">
        <v>103</v>
      </c>
      <c r="AD3346" t="s">
        <v>38</v>
      </c>
      <c r="AE3346" t="s">
        <v>49</v>
      </c>
      <c r="AF3346" t="s">
        <v>50</v>
      </c>
      <c r="AG3346">
        <v>0</v>
      </c>
      <c r="AH3346">
        <v>0</v>
      </c>
      <c r="AI3346" t="s">
        <v>51</v>
      </c>
      <c r="AJ3346" t="s">
        <v>51</v>
      </c>
      <c r="AK3346" t="s">
        <v>51</v>
      </c>
    </row>
    <row r="3347" spans="1:37" x14ac:dyDescent="0.2">
      <c r="A3347">
        <v>56471</v>
      </c>
      <c r="B3347" t="s">
        <v>37</v>
      </c>
      <c r="C3347" t="s">
        <v>38</v>
      </c>
      <c r="D3347" t="s">
        <v>674</v>
      </c>
      <c r="E3347" t="s">
        <v>40</v>
      </c>
      <c r="G3347" s="4">
        <v>43945.005196759259</v>
      </c>
      <c r="H3347" s="4">
        <v>43945.00587962963</v>
      </c>
      <c r="I3347" t="s">
        <v>2438</v>
      </c>
      <c r="J3347" s="5">
        <v>58.99999999999999999999999999999999999997</v>
      </c>
      <c r="K3347" t="s">
        <v>38</v>
      </c>
      <c r="M3347">
        <v>56472</v>
      </c>
      <c r="N3347" t="s">
        <v>705</v>
      </c>
      <c r="O3347" t="s">
        <v>706</v>
      </c>
      <c r="P3347" t="s">
        <v>38</v>
      </c>
      <c r="Q3347" t="s">
        <v>966</v>
      </c>
      <c r="R3347">
        <v>15.99999999999999999999999999999999999998</v>
      </c>
      <c r="S3347" t="s">
        <v>45</v>
      </c>
      <c r="T334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7">
        <v>56473</v>
      </c>
      <c r="V3347" t="s">
        <v>38</v>
      </c>
      <c r="W3347" t="s">
        <v>966</v>
      </c>
      <c r="X3347">
        <v>15.99999999999999999999999999999999999998</v>
      </c>
      <c r="Y3347">
        <v>0</v>
      </c>
      <c r="Z3347" t="s">
        <v>46</v>
      </c>
      <c r="AA3347">
        <v>56561</v>
      </c>
      <c r="AB3347" t="s">
        <v>2504</v>
      </c>
      <c r="AC3347" t="s">
        <v>103</v>
      </c>
      <c r="AD3347" t="s">
        <v>38</v>
      </c>
      <c r="AE3347" t="s">
        <v>49</v>
      </c>
      <c r="AF3347" t="s">
        <v>50</v>
      </c>
      <c r="AG3347">
        <v>0</v>
      </c>
      <c r="AH3347">
        <v>0</v>
      </c>
      <c r="AI3347" t="s">
        <v>51</v>
      </c>
      <c r="AJ3347" t="s">
        <v>51</v>
      </c>
      <c r="AK3347" t="s">
        <v>51</v>
      </c>
    </row>
    <row r="3348" spans="1:37" x14ac:dyDescent="0.2">
      <c r="A3348">
        <v>56471</v>
      </c>
      <c r="B3348" t="s">
        <v>37</v>
      </c>
      <c r="C3348" t="s">
        <v>38</v>
      </c>
      <c r="D3348" t="s">
        <v>674</v>
      </c>
      <c r="E3348" t="s">
        <v>40</v>
      </c>
      <c r="G3348" s="4">
        <v>43945.005196759259</v>
      </c>
      <c r="H3348" s="4">
        <v>43945.00587962963</v>
      </c>
      <c r="I3348" t="s">
        <v>2438</v>
      </c>
      <c r="J3348" s="5">
        <v>58.99999999999999999999999999999999999997</v>
      </c>
      <c r="K3348" t="s">
        <v>38</v>
      </c>
      <c r="M3348">
        <v>56472</v>
      </c>
      <c r="N3348" t="s">
        <v>705</v>
      </c>
      <c r="O3348" t="s">
        <v>706</v>
      </c>
      <c r="P3348" t="s">
        <v>38</v>
      </c>
      <c r="Q3348" t="s">
        <v>966</v>
      </c>
      <c r="R3348">
        <v>15.99999999999999999999999999999999999998</v>
      </c>
      <c r="S3348" t="s">
        <v>45</v>
      </c>
      <c r="T334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8">
        <v>56473</v>
      </c>
      <c r="V3348" t="s">
        <v>38</v>
      </c>
      <c r="W3348" t="s">
        <v>966</v>
      </c>
      <c r="X3348">
        <v>15.99999999999999999999999999999999999998</v>
      </c>
      <c r="Y3348">
        <v>0</v>
      </c>
      <c r="Z3348" t="s">
        <v>46</v>
      </c>
      <c r="AA3348">
        <v>56560</v>
      </c>
      <c r="AB3348" t="s">
        <v>2505</v>
      </c>
      <c r="AC3348" t="s">
        <v>103</v>
      </c>
      <c r="AD3348" t="s">
        <v>38</v>
      </c>
      <c r="AE3348" t="s">
        <v>49</v>
      </c>
      <c r="AF3348" t="s">
        <v>50</v>
      </c>
      <c r="AG3348">
        <v>0</v>
      </c>
      <c r="AH3348">
        <v>0</v>
      </c>
      <c r="AI3348" t="s">
        <v>51</v>
      </c>
      <c r="AJ3348" t="s">
        <v>51</v>
      </c>
      <c r="AK3348" t="s">
        <v>51</v>
      </c>
    </row>
    <row r="3349" spans="1:37" x14ac:dyDescent="0.2">
      <c r="A3349">
        <v>56471</v>
      </c>
      <c r="B3349" t="s">
        <v>37</v>
      </c>
      <c r="C3349" t="s">
        <v>38</v>
      </c>
      <c r="D3349" t="s">
        <v>674</v>
      </c>
      <c r="E3349" t="s">
        <v>40</v>
      </c>
      <c r="G3349" s="4">
        <v>43945.005196759259</v>
      </c>
      <c r="H3349" s="4">
        <v>43945.00587962963</v>
      </c>
      <c r="I3349" t="s">
        <v>2438</v>
      </c>
      <c r="J3349" s="5">
        <v>58.99999999999999999999999999999999999997</v>
      </c>
      <c r="K3349" t="s">
        <v>38</v>
      </c>
      <c r="M3349">
        <v>56472</v>
      </c>
      <c r="N3349" t="s">
        <v>705</v>
      </c>
      <c r="O3349" t="s">
        <v>706</v>
      </c>
      <c r="P3349" t="s">
        <v>38</v>
      </c>
      <c r="Q3349" t="s">
        <v>966</v>
      </c>
      <c r="R3349">
        <v>15.99999999999999999999999999999999999998</v>
      </c>
      <c r="S3349" t="s">
        <v>45</v>
      </c>
      <c r="T334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49">
        <v>56473</v>
      </c>
      <c r="V3349" t="s">
        <v>38</v>
      </c>
      <c r="W3349" t="s">
        <v>966</v>
      </c>
      <c r="X3349">
        <v>15.99999999999999999999999999999999999998</v>
      </c>
      <c r="Y3349">
        <v>0</v>
      </c>
      <c r="Z3349" t="s">
        <v>46</v>
      </c>
      <c r="AA3349">
        <v>56559</v>
      </c>
      <c r="AB3349" t="s">
        <v>2506</v>
      </c>
      <c r="AC3349" t="s">
        <v>103</v>
      </c>
      <c r="AD3349" t="s">
        <v>38</v>
      </c>
      <c r="AE3349" t="s">
        <v>49</v>
      </c>
      <c r="AF3349" t="s">
        <v>50</v>
      </c>
      <c r="AG3349">
        <v>0</v>
      </c>
      <c r="AH3349">
        <v>0</v>
      </c>
      <c r="AI3349" t="s">
        <v>51</v>
      </c>
      <c r="AJ3349" t="s">
        <v>51</v>
      </c>
      <c r="AK3349" t="s">
        <v>51</v>
      </c>
    </row>
    <row r="3350" spans="1:37" x14ac:dyDescent="0.2">
      <c r="A3350">
        <v>56471</v>
      </c>
      <c r="B3350" t="s">
        <v>37</v>
      </c>
      <c r="C3350" t="s">
        <v>38</v>
      </c>
      <c r="D3350" t="s">
        <v>674</v>
      </c>
      <c r="E3350" t="s">
        <v>40</v>
      </c>
      <c r="G3350" s="4">
        <v>43945.005196759259</v>
      </c>
      <c r="H3350" s="4">
        <v>43945.00587962963</v>
      </c>
      <c r="I3350" t="s">
        <v>2438</v>
      </c>
      <c r="J3350" s="5">
        <v>58.99999999999999999999999999999999999997</v>
      </c>
      <c r="K3350" t="s">
        <v>38</v>
      </c>
      <c r="M3350">
        <v>56472</v>
      </c>
      <c r="N3350" t="s">
        <v>705</v>
      </c>
      <c r="O3350" t="s">
        <v>706</v>
      </c>
      <c r="P3350" t="s">
        <v>38</v>
      </c>
      <c r="Q3350" t="s">
        <v>966</v>
      </c>
      <c r="R3350">
        <v>15.99999999999999999999999999999999999998</v>
      </c>
      <c r="S3350" t="s">
        <v>45</v>
      </c>
      <c r="T335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0">
        <v>56473</v>
      </c>
      <c r="V3350" t="s">
        <v>38</v>
      </c>
      <c r="W3350" t="s">
        <v>966</v>
      </c>
      <c r="X3350">
        <v>15.99999999999999999999999999999999999998</v>
      </c>
      <c r="Y3350">
        <v>0</v>
      </c>
      <c r="Z3350" t="s">
        <v>46</v>
      </c>
      <c r="AA3350">
        <v>56558</v>
      </c>
      <c r="AB3350" t="s">
        <v>2507</v>
      </c>
      <c r="AC3350" t="s">
        <v>103</v>
      </c>
      <c r="AD3350" t="s">
        <v>38</v>
      </c>
      <c r="AE3350" t="s">
        <v>49</v>
      </c>
      <c r="AF3350" t="s">
        <v>50</v>
      </c>
      <c r="AG3350">
        <v>0</v>
      </c>
      <c r="AH3350">
        <v>0</v>
      </c>
      <c r="AI3350" t="s">
        <v>51</v>
      </c>
      <c r="AJ3350" t="s">
        <v>51</v>
      </c>
      <c r="AK3350" t="s">
        <v>51</v>
      </c>
    </row>
    <row r="3351" spans="1:37" x14ac:dyDescent="0.2">
      <c r="A3351">
        <v>56471</v>
      </c>
      <c r="B3351" t="s">
        <v>37</v>
      </c>
      <c r="C3351" t="s">
        <v>38</v>
      </c>
      <c r="D3351" t="s">
        <v>674</v>
      </c>
      <c r="E3351" t="s">
        <v>40</v>
      </c>
      <c r="G3351" s="4">
        <v>43945.005196759259</v>
      </c>
      <c r="H3351" s="4">
        <v>43945.00587962963</v>
      </c>
      <c r="I3351" t="s">
        <v>2438</v>
      </c>
      <c r="J3351" s="5">
        <v>58.99999999999999999999999999999999999997</v>
      </c>
      <c r="K3351" t="s">
        <v>38</v>
      </c>
      <c r="M3351">
        <v>56472</v>
      </c>
      <c r="N3351" t="s">
        <v>705</v>
      </c>
      <c r="O3351" t="s">
        <v>706</v>
      </c>
      <c r="P3351" t="s">
        <v>38</v>
      </c>
      <c r="Q3351" t="s">
        <v>966</v>
      </c>
      <c r="R3351">
        <v>15.99999999999999999999999999999999999998</v>
      </c>
      <c r="S3351" t="s">
        <v>45</v>
      </c>
      <c r="T335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1">
        <v>56473</v>
      </c>
      <c r="V3351" t="s">
        <v>38</v>
      </c>
      <c r="W3351" t="s">
        <v>966</v>
      </c>
      <c r="X3351">
        <v>15.99999999999999999999999999999999999998</v>
      </c>
      <c r="Y3351">
        <v>0</v>
      </c>
      <c r="Z3351" t="s">
        <v>46</v>
      </c>
      <c r="AA3351">
        <v>56557</v>
      </c>
      <c r="AB3351" t="s">
        <v>2508</v>
      </c>
      <c r="AC3351" t="s">
        <v>103</v>
      </c>
      <c r="AD3351" t="s">
        <v>38</v>
      </c>
      <c r="AE3351" t="s">
        <v>49</v>
      </c>
      <c r="AF3351" t="s">
        <v>50</v>
      </c>
      <c r="AG3351">
        <v>0</v>
      </c>
      <c r="AH3351">
        <v>0</v>
      </c>
      <c r="AI3351" t="s">
        <v>51</v>
      </c>
      <c r="AJ3351" t="s">
        <v>51</v>
      </c>
      <c r="AK3351" t="s">
        <v>51</v>
      </c>
    </row>
    <row r="3352" spans="1:37" x14ac:dyDescent="0.2">
      <c r="A3352">
        <v>56471</v>
      </c>
      <c r="B3352" t="s">
        <v>37</v>
      </c>
      <c r="C3352" t="s">
        <v>38</v>
      </c>
      <c r="D3352" t="s">
        <v>674</v>
      </c>
      <c r="E3352" t="s">
        <v>40</v>
      </c>
      <c r="G3352" s="4">
        <v>43945.005196759259</v>
      </c>
      <c r="H3352" s="4">
        <v>43945.00587962963</v>
      </c>
      <c r="I3352" t="s">
        <v>2438</v>
      </c>
      <c r="J3352" s="5">
        <v>58.99999999999999999999999999999999999997</v>
      </c>
      <c r="K3352" t="s">
        <v>38</v>
      </c>
      <c r="M3352">
        <v>56472</v>
      </c>
      <c r="N3352" t="s">
        <v>705</v>
      </c>
      <c r="O3352" t="s">
        <v>706</v>
      </c>
      <c r="P3352" t="s">
        <v>38</v>
      </c>
      <c r="Q3352" t="s">
        <v>966</v>
      </c>
      <c r="R3352">
        <v>15.99999999999999999999999999999999999998</v>
      </c>
      <c r="S3352" t="s">
        <v>45</v>
      </c>
      <c r="T335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2">
        <v>56473</v>
      </c>
      <c r="V3352" t="s">
        <v>38</v>
      </c>
      <c r="W3352" t="s">
        <v>966</v>
      </c>
      <c r="X3352">
        <v>15.99999999999999999999999999999999999998</v>
      </c>
      <c r="Y3352">
        <v>0</v>
      </c>
      <c r="Z3352" t="s">
        <v>46</v>
      </c>
      <c r="AA3352">
        <v>56556</v>
      </c>
      <c r="AB3352" t="s">
        <v>2509</v>
      </c>
      <c r="AC3352" t="s">
        <v>103</v>
      </c>
      <c r="AD3352" t="s">
        <v>38</v>
      </c>
      <c r="AE3352" t="s">
        <v>49</v>
      </c>
      <c r="AF3352" t="s">
        <v>50</v>
      </c>
      <c r="AG3352">
        <v>0</v>
      </c>
      <c r="AH3352">
        <v>0</v>
      </c>
      <c r="AI3352" t="s">
        <v>51</v>
      </c>
      <c r="AJ3352" t="s">
        <v>51</v>
      </c>
      <c r="AK3352" t="s">
        <v>51</v>
      </c>
    </row>
    <row r="3353" spans="1:37" x14ac:dyDescent="0.2">
      <c r="A3353">
        <v>56471</v>
      </c>
      <c r="B3353" t="s">
        <v>37</v>
      </c>
      <c r="C3353" t="s">
        <v>38</v>
      </c>
      <c r="D3353" t="s">
        <v>674</v>
      </c>
      <c r="E3353" t="s">
        <v>40</v>
      </c>
      <c r="G3353" s="4">
        <v>43945.005196759259</v>
      </c>
      <c r="H3353" s="4">
        <v>43945.00587962963</v>
      </c>
      <c r="I3353" t="s">
        <v>2438</v>
      </c>
      <c r="J3353" s="5">
        <v>58.99999999999999999999999999999999999997</v>
      </c>
      <c r="K3353" t="s">
        <v>38</v>
      </c>
      <c r="M3353">
        <v>56472</v>
      </c>
      <c r="N3353" t="s">
        <v>705</v>
      </c>
      <c r="O3353" t="s">
        <v>706</v>
      </c>
      <c r="P3353" t="s">
        <v>38</v>
      </c>
      <c r="Q3353" t="s">
        <v>966</v>
      </c>
      <c r="R3353">
        <v>15.99999999999999999999999999999999999998</v>
      </c>
      <c r="S3353" t="s">
        <v>45</v>
      </c>
      <c r="T335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3">
        <v>56473</v>
      </c>
      <c r="V3353" t="s">
        <v>38</v>
      </c>
      <c r="W3353" t="s">
        <v>966</v>
      </c>
      <c r="X3353">
        <v>15.99999999999999999999999999999999999998</v>
      </c>
      <c r="Y3353">
        <v>0</v>
      </c>
      <c r="Z3353" t="s">
        <v>46</v>
      </c>
      <c r="AA3353">
        <v>56555</v>
      </c>
      <c r="AB3353" t="s">
        <v>2510</v>
      </c>
      <c r="AC3353" t="s">
        <v>103</v>
      </c>
      <c r="AD3353" t="s">
        <v>38</v>
      </c>
      <c r="AE3353" t="s">
        <v>49</v>
      </c>
      <c r="AF3353" t="s">
        <v>50</v>
      </c>
      <c r="AG3353">
        <v>0</v>
      </c>
      <c r="AH3353">
        <v>0</v>
      </c>
      <c r="AI3353" t="s">
        <v>51</v>
      </c>
      <c r="AJ3353" t="s">
        <v>51</v>
      </c>
      <c r="AK3353" t="s">
        <v>51</v>
      </c>
    </row>
    <row r="3354" spans="1:37" x14ac:dyDescent="0.2">
      <c r="A3354">
        <v>56471</v>
      </c>
      <c r="B3354" t="s">
        <v>37</v>
      </c>
      <c r="C3354" t="s">
        <v>38</v>
      </c>
      <c r="D3354" t="s">
        <v>674</v>
      </c>
      <c r="E3354" t="s">
        <v>40</v>
      </c>
      <c r="G3354" s="4">
        <v>43945.005196759259</v>
      </c>
      <c r="H3354" s="4">
        <v>43945.00587962963</v>
      </c>
      <c r="I3354" t="s">
        <v>2438</v>
      </c>
      <c r="J3354" s="5">
        <v>58.99999999999999999999999999999999999997</v>
      </c>
      <c r="K3354" t="s">
        <v>38</v>
      </c>
      <c r="M3354">
        <v>56472</v>
      </c>
      <c r="N3354" t="s">
        <v>705</v>
      </c>
      <c r="O3354" t="s">
        <v>706</v>
      </c>
      <c r="P3354" t="s">
        <v>38</v>
      </c>
      <c r="Q3354" t="s">
        <v>966</v>
      </c>
      <c r="R3354">
        <v>15.99999999999999999999999999999999999998</v>
      </c>
      <c r="S3354" t="s">
        <v>45</v>
      </c>
      <c r="T335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4">
        <v>56473</v>
      </c>
      <c r="V3354" t="s">
        <v>38</v>
      </c>
      <c r="W3354" t="s">
        <v>966</v>
      </c>
      <c r="X3354">
        <v>15.99999999999999999999999999999999999998</v>
      </c>
      <c r="Y3354">
        <v>0</v>
      </c>
      <c r="Z3354" t="s">
        <v>46</v>
      </c>
      <c r="AA3354">
        <v>56554</v>
      </c>
      <c r="AB3354" t="s">
        <v>2511</v>
      </c>
      <c r="AC3354" t="s">
        <v>103</v>
      </c>
      <c r="AD3354" t="s">
        <v>38</v>
      </c>
      <c r="AE3354" t="s">
        <v>49</v>
      </c>
      <c r="AF3354" t="s">
        <v>50</v>
      </c>
      <c r="AG3354">
        <v>0</v>
      </c>
      <c r="AH3354">
        <v>0</v>
      </c>
      <c r="AI3354" t="s">
        <v>51</v>
      </c>
      <c r="AJ3354" t="s">
        <v>51</v>
      </c>
      <c r="AK3354" t="s">
        <v>51</v>
      </c>
    </row>
    <row r="3355" spans="1:37" x14ac:dyDescent="0.2">
      <c r="A3355">
        <v>56471</v>
      </c>
      <c r="B3355" t="s">
        <v>37</v>
      </c>
      <c r="C3355" t="s">
        <v>38</v>
      </c>
      <c r="D3355" t="s">
        <v>674</v>
      </c>
      <c r="E3355" t="s">
        <v>40</v>
      </c>
      <c r="G3355" s="4">
        <v>43945.005196759259</v>
      </c>
      <c r="H3355" s="4">
        <v>43945.00587962963</v>
      </c>
      <c r="I3355" t="s">
        <v>2438</v>
      </c>
      <c r="J3355" s="5">
        <v>58.99999999999999999999999999999999999997</v>
      </c>
      <c r="K3355" t="s">
        <v>38</v>
      </c>
      <c r="M3355">
        <v>56472</v>
      </c>
      <c r="N3355" t="s">
        <v>705</v>
      </c>
      <c r="O3355" t="s">
        <v>706</v>
      </c>
      <c r="P3355" t="s">
        <v>38</v>
      </c>
      <c r="Q3355" t="s">
        <v>966</v>
      </c>
      <c r="R3355">
        <v>15.99999999999999999999999999999999999998</v>
      </c>
      <c r="S3355" t="s">
        <v>45</v>
      </c>
      <c r="T335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5">
        <v>56473</v>
      </c>
      <c r="V3355" t="s">
        <v>38</v>
      </c>
      <c r="W3355" t="s">
        <v>966</v>
      </c>
      <c r="X3355">
        <v>15.99999999999999999999999999999999999998</v>
      </c>
      <c r="Y3355">
        <v>0</v>
      </c>
      <c r="Z3355" t="s">
        <v>46</v>
      </c>
      <c r="AA3355">
        <v>56553</v>
      </c>
      <c r="AB3355" t="s">
        <v>2512</v>
      </c>
      <c r="AC3355" t="s">
        <v>103</v>
      </c>
      <c r="AD3355" t="s">
        <v>38</v>
      </c>
      <c r="AE3355" t="s">
        <v>49</v>
      </c>
      <c r="AF3355" t="s">
        <v>50</v>
      </c>
      <c r="AG3355">
        <v>0</v>
      </c>
      <c r="AH3355">
        <v>0</v>
      </c>
      <c r="AI3355" t="s">
        <v>51</v>
      </c>
      <c r="AJ3355" t="s">
        <v>51</v>
      </c>
      <c r="AK3355" t="s">
        <v>51</v>
      </c>
    </row>
    <row r="3356" spans="1:37" x14ac:dyDescent="0.2">
      <c r="A3356">
        <v>56471</v>
      </c>
      <c r="B3356" t="s">
        <v>37</v>
      </c>
      <c r="C3356" t="s">
        <v>38</v>
      </c>
      <c r="D3356" t="s">
        <v>674</v>
      </c>
      <c r="E3356" t="s">
        <v>40</v>
      </c>
      <c r="G3356" s="4">
        <v>43945.005196759259</v>
      </c>
      <c r="H3356" s="4">
        <v>43945.00587962963</v>
      </c>
      <c r="I3356" t="s">
        <v>2438</v>
      </c>
      <c r="J3356" s="5">
        <v>58.99999999999999999999999999999999999997</v>
      </c>
      <c r="K3356" t="s">
        <v>38</v>
      </c>
      <c r="M3356">
        <v>56472</v>
      </c>
      <c r="N3356" t="s">
        <v>705</v>
      </c>
      <c r="O3356" t="s">
        <v>706</v>
      </c>
      <c r="P3356" t="s">
        <v>38</v>
      </c>
      <c r="Q3356" t="s">
        <v>966</v>
      </c>
      <c r="R3356">
        <v>15.99999999999999999999999999999999999998</v>
      </c>
      <c r="S3356" t="s">
        <v>45</v>
      </c>
      <c r="T335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6">
        <v>56473</v>
      </c>
      <c r="V3356" t="s">
        <v>38</v>
      </c>
      <c r="W3356" t="s">
        <v>966</v>
      </c>
      <c r="X3356">
        <v>15.99999999999999999999999999999999999998</v>
      </c>
      <c r="Y3356">
        <v>0</v>
      </c>
      <c r="Z3356" t="s">
        <v>46</v>
      </c>
      <c r="AA3356">
        <v>56552</v>
      </c>
      <c r="AB3356" t="s">
        <v>2513</v>
      </c>
      <c r="AC3356" t="s">
        <v>103</v>
      </c>
      <c r="AD3356" t="s">
        <v>38</v>
      </c>
      <c r="AE3356" t="s">
        <v>49</v>
      </c>
      <c r="AF3356" t="s">
        <v>50</v>
      </c>
      <c r="AG3356">
        <v>0</v>
      </c>
      <c r="AH3356">
        <v>0</v>
      </c>
      <c r="AI3356" t="s">
        <v>51</v>
      </c>
      <c r="AJ3356" t="s">
        <v>51</v>
      </c>
      <c r="AK3356" t="s">
        <v>51</v>
      </c>
    </row>
    <row r="3357" spans="1:37" x14ac:dyDescent="0.2">
      <c r="A3357">
        <v>56471</v>
      </c>
      <c r="B3357" t="s">
        <v>37</v>
      </c>
      <c r="C3357" t="s">
        <v>38</v>
      </c>
      <c r="D3357" t="s">
        <v>674</v>
      </c>
      <c r="E3357" t="s">
        <v>40</v>
      </c>
      <c r="G3357" s="4">
        <v>43945.005196759259</v>
      </c>
      <c r="H3357" s="4">
        <v>43945.00587962963</v>
      </c>
      <c r="I3357" t="s">
        <v>2438</v>
      </c>
      <c r="J3357" s="5">
        <v>58.99999999999999999999999999999999999997</v>
      </c>
      <c r="K3357" t="s">
        <v>38</v>
      </c>
      <c r="M3357">
        <v>56472</v>
      </c>
      <c r="N3357" t="s">
        <v>705</v>
      </c>
      <c r="O3357" t="s">
        <v>706</v>
      </c>
      <c r="P3357" t="s">
        <v>38</v>
      </c>
      <c r="Q3357" t="s">
        <v>966</v>
      </c>
      <c r="R3357">
        <v>15.99999999999999999999999999999999999998</v>
      </c>
      <c r="S3357" t="s">
        <v>45</v>
      </c>
      <c r="T335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7">
        <v>56473</v>
      </c>
      <c r="V3357" t="s">
        <v>38</v>
      </c>
      <c r="W3357" t="s">
        <v>966</v>
      </c>
      <c r="X3357">
        <v>15.99999999999999999999999999999999999998</v>
      </c>
      <c r="Y3357">
        <v>0</v>
      </c>
      <c r="Z3357" t="s">
        <v>46</v>
      </c>
      <c r="AA3357">
        <v>56551</v>
      </c>
      <c r="AB3357" t="s">
        <v>2514</v>
      </c>
      <c r="AC3357" t="s">
        <v>103</v>
      </c>
      <c r="AD3357" t="s">
        <v>38</v>
      </c>
      <c r="AE3357" t="s">
        <v>49</v>
      </c>
      <c r="AF3357" t="s">
        <v>50</v>
      </c>
      <c r="AG3357">
        <v>0</v>
      </c>
      <c r="AH3357">
        <v>0</v>
      </c>
      <c r="AI3357" t="s">
        <v>51</v>
      </c>
      <c r="AJ3357" t="s">
        <v>51</v>
      </c>
      <c r="AK3357" t="s">
        <v>51</v>
      </c>
    </row>
    <row r="3358" spans="1:37" x14ac:dyDescent="0.2">
      <c r="A3358">
        <v>56471</v>
      </c>
      <c r="B3358" t="s">
        <v>37</v>
      </c>
      <c r="C3358" t="s">
        <v>38</v>
      </c>
      <c r="D3358" t="s">
        <v>674</v>
      </c>
      <c r="E3358" t="s">
        <v>40</v>
      </c>
      <c r="G3358" s="4">
        <v>43945.005196759259</v>
      </c>
      <c r="H3358" s="4">
        <v>43945.00587962963</v>
      </c>
      <c r="I3358" t="s">
        <v>2438</v>
      </c>
      <c r="J3358" s="5">
        <v>58.99999999999999999999999999999999999997</v>
      </c>
      <c r="K3358" t="s">
        <v>38</v>
      </c>
      <c r="M3358">
        <v>56472</v>
      </c>
      <c r="N3358" t="s">
        <v>705</v>
      </c>
      <c r="O3358" t="s">
        <v>706</v>
      </c>
      <c r="P3358" t="s">
        <v>38</v>
      </c>
      <c r="Q3358" t="s">
        <v>966</v>
      </c>
      <c r="R3358">
        <v>15.99999999999999999999999999999999999998</v>
      </c>
      <c r="S3358" t="s">
        <v>45</v>
      </c>
      <c r="T335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8">
        <v>56473</v>
      </c>
      <c r="V3358" t="s">
        <v>38</v>
      </c>
      <c r="W3358" t="s">
        <v>966</v>
      </c>
      <c r="X3358">
        <v>15.99999999999999999999999999999999999998</v>
      </c>
      <c r="Y3358">
        <v>0</v>
      </c>
      <c r="Z3358" t="s">
        <v>46</v>
      </c>
      <c r="AA3358">
        <v>56550</v>
      </c>
      <c r="AB3358" t="s">
        <v>2515</v>
      </c>
      <c r="AC3358" t="s">
        <v>103</v>
      </c>
      <c r="AD3358" t="s">
        <v>38</v>
      </c>
      <c r="AE3358" t="s">
        <v>49</v>
      </c>
      <c r="AF3358" t="s">
        <v>50</v>
      </c>
      <c r="AG3358">
        <v>.9999999999999999999999999999999999999996</v>
      </c>
      <c r="AH3358">
        <v>0</v>
      </c>
      <c r="AI3358" t="s">
        <v>51</v>
      </c>
      <c r="AJ3358" t="s">
        <v>51</v>
      </c>
      <c r="AK3358" t="s">
        <v>51</v>
      </c>
    </row>
    <row r="3359" spans="1:37" x14ac:dyDescent="0.2">
      <c r="A3359">
        <v>56471</v>
      </c>
      <c r="B3359" t="s">
        <v>37</v>
      </c>
      <c r="C3359" t="s">
        <v>38</v>
      </c>
      <c r="D3359" t="s">
        <v>674</v>
      </c>
      <c r="E3359" t="s">
        <v>40</v>
      </c>
      <c r="G3359" s="4">
        <v>43945.005196759259</v>
      </c>
      <c r="H3359" s="4">
        <v>43945.00587962963</v>
      </c>
      <c r="I3359" t="s">
        <v>2438</v>
      </c>
      <c r="J3359" s="5">
        <v>58.99999999999999999999999999999999999997</v>
      </c>
      <c r="K3359" t="s">
        <v>38</v>
      </c>
      <c r="M3359">
        <v>56472</v>
      </c>
      <c r="N3359" t="s">
        <v>705</v>
      </c>
      <c r="O3359" t="s">
        <v>706</v>
      </c>
      <c r="P3359" t="s">
        <v>38</v>
      </c>
      <c r="Q3359" t="s">
        <v>966</v>
      </c>
      <c r="R3359">
        <v>15.99999999999999999999999999999999999998</v>
      </c>
      <c r="S3359" t="s">
        <v>45</v>
      </c>
      <c r="T335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59">
        <v>56473</v>
      </c>
      <c r="V3359" t="s">
        <v>38</v>
      </c>
      <c r="W3359" t="s">
        <v>966</v>
      </c>
      <c r="X3359">
        <v>15.99999999999999999999999999999999999998</v>
      </c>
      <c r="Y3359">
        <v>0</v>
      </c>
      <c r="Z3359" t="s">
        <v>46</v>
      </c>
      <c r="AA3359">
        <v>56549</v>
      </c>
      <c r="AB3359" t="s">
        <v>2516</v>
      </c>
      <c r="AC3359" t="s">
        <v>103</v>
      </c>
      <c r="AD3359" t="s">
        <v>38</v>
      </c>
      <c r="AE3359" t="s">
        <v>49</v>
      </c>
      <c r="AF3359" t="s">
        <v>50</v>
      </c>
      <c r="AG3359">
        <v>0</v>
      </c>
      <c r="AH3359">
        <v>0</v>
      </c>
      <c r="AI3359" t="s">
        <v>51</v>
      </c>
      <c r="AJ3359" t="s">
        <v>51</v>
      </c>
      <c r="AK3359" t="s">
        <v>51</v>
      </c>
    </row>
    <row r="3360" spans="1:37" x14ac:dyDescent="0.2">
      <c r="A3360">
        <v>56471</v>
      </c>
      <c r="B3360" t="s">
        <v>37</v>
      </c>
      <c r="C3360" t="s">
        <v>38</v>
      </c>
      <c r="D3360" t="s">
        <v>674</v>
      </c>
      <c r="E3360" t="s">
        <v>40</v>
      </c>
      <c r="G3360" s="4">
        <v>43945.005196759259</v>
      </c>
      <c r="H3360" s="4">
        <v>43945.00587962963</v>
      </c>
      <c r="I3360" t="s">
        <v>2438</v>
      </c>
      <c r="J3360" s="5">
        <v>58.99999999999999999999999999999999999997</v>
      </c>
      <c r="K3360" t="s">
        <v>38</v>
      </c>
      <c r="M3360">
        <v>56472</v>
      </c>
      <c r="N3360" t="s">
        <v>705</v>
      </c>
      <c r="O3360" t="s">
        <v>706</v>
      </c>
      <c r="P3360" t="s">
        <v>38</v>
      </c>
      <c r="Q3360" t="s">
        <v>966</v>
      </c>
      <c r="R3360">
        <v>15.99999999999999999999999999999999999998</v>
      </c>
      <c r="S3360" t="s">
        <v>45</v>
      </c>
      <c r="T336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0">
        <v>56473</v>
      </c>
      <c r="V3360" t="s">
        <v>38</v>
      </c>
      <c r="W3360" t="s">
        <v>966</v>
      </c>
      <c r="X3360">
        <v>15.99999999999999999999999999999999999998</v>
      </c>
      <c r="Y3360">
        <v>0</v>
      </c>
      <c r="Z3360" t="s">
        <v>46</v>
      </c>
      <c r="AA3360">
        <v>56548</v>
      </c>
      <c r="AB3360" t="s">
        <v>2517</v>
      </c>
      <c r="AC3360" t="s">
        <v>103</v>
      </c>
      <c r="AD3360" t="s">
        <v>38</v>
      </c>
      <c r="AE3360" t="s">
        <v>49</v>
      </c>
      <c r="AF3360" t="s">
        <v>50</v>
      </c>
      <c r="AG3360">
        <v>0</v>
      </c>
      <c r="AH3360">
        <v>0</v>
      </c>
      <c r="AI3360" t="s">
        <v>51</v>
      </c>
      <c r="AJ3360" t="s">
        <v>51</v>
      </c>
      <c r="AK3360" t="s">
        <v>51</v>
      </c>
    </row>
    <row r="3361" spans="1:37" x14ac:dyDescent="0.2">
      <c r="A3361">
        <v>56471</v>
      </c>
      <c r="B3361" t="s">
        <v>37</v>
      </c>
      <c r="C3361" t="s">
        <v>38</v>
      </c>
      <c r="D3361" t="s">
        <v>674</v>
      </c>
      <c r="E3361" t="s">
        <v>40</v>
      </c>
      <c r="G3361" s="4">
        <v>43945.005196759259</v>
      </c>
      <c r="H3361" s="4">
        <v>43945.00587962963</v>
      </c>
      <c r="I3361" t="s">
        <v>2438</v>
      </c>
      <c r="J3361" s="5">
        <v>58.99999999999999999999999999999999999997</v>
      </c>
      <c r="K3361" t="s">
        <v>38</v>
      </c>
      <c r="M3361">
        <v>56472</v>
      </c>
      <c r="N3361" t="s">
        <v>705</v>
      </c>
      <c r="O3361" t="s">
        <v>706</v>
      </c>
      <c r="P3361" t="s">
        <v>38</v>
      </c>
      <c r="Q3361" t="s">
        <v>966</v>
      </c>
      <c r="R3361">
        <v>15.99999999999999999999999999999999999998</v>
      </c>
      <c r="S3361" t="s">
        <v>45</v>
      </c>
      <c r="T336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1">
        <v>56473</v>
      </c>
      <c r="V3361" t="s">
        <v>38</v>
      </c>
      <c r="W3361" t="s">
        <v>966</v>
      </c>
      <c r="X3361">
        <v>15.99999999999999999999999999999999999998</v>
      </c>
      <c r="Y3361">
        <v>0</v>
      </c>
      <c r="Z3361" t="s">
        <v>46</v>
      </c>
      <c r="AA3361">
        <v>56547</v>
      </c>
      <c r="AB3361" t="s">
        <v>2518</v>
      </c>
      <c r="AC3361" t="s">
        <v>103</v>
      </c>
      <c r="AD3361" t="s">
        <v>38</v>
      </c>
      <c r="AE3361" t="s">
        <v>49</v>
      </c>
      <c r="AF3361" t="s">
        <v>50</v>
      </c>
      <c r="AG3361">
        <v>0</v>
      </c>
      <c r="AH3361">
        <v>0</v>
      </c>
      <c r="AI3361" t="s">
        <v>51</v>
      </c>
      <c r="AJ3361" t="s">
        <v>51</v>
      </c>
      <c r="AK3361" t="s">
        <v>51</v>
      </c>
    </row>
    <row r="3362" spans="1:37" x14ac:dyDescent="0.2">
      <c r="A3362">
        <v>56471</v>
      </c>
      <c r="B3362" t="s">
        <v>37</v>
      </c>
      <c r="C3362" t="s">
        <v>38</v>
      </c>
      <c r="D3362" t="s">
        <v>674</v>
      </c>
      <c r="E3362" t="s">
        <v>40</v>
      </c>
      <c r="G3362" s="4">
        <v>43945.005196759259</v>
      </c>
      <c r="H3362" s="4">
        <v>43945.00587962963</v>
      </c>
      <c r="I3362" t="s">
        <v>2438</v>
      </c>
      <c r="J3362" s="5">
        <v>58.99999999999999999999999999999999999997</v>
      </c>
      <c r="K3362" t="s">
        <v>38</v>
      </c>
      <c r="M3362">
        <v>56472</v>
      </c>
      <c r="N3362" t="s">
        <v>705</v>
      </c>
      <c r="O3362" t="s">
        <v>706</v>
      </c>
      <c r="P3362" t="s">
        <v>38</v>
      </c>
      <c r="Q3362" t="s">
        <v>966</v>
      </c>
      <c r="R3362">
        <v>15.99999999999999999999999999999999999998</v>
      </c>
      <c r="S3362" t="s">
        <v>45</v>
      </c>
      <c r="T336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2">
        <v>56473</v>
      </c>
      <c r="V3362" t="s">
        <v>38</v>
      </c>
      <c r="W3362" t="s">
        <v>966</v>
      </c>
      <c r="X3362">
        <v>15.99999999999999999999999999999999999998</v>
      </c>
      <c r="Y3362">
        <v>0</v>
      </c>
      <c r="Z3362" t="s">
        <v>46</v>
      </c>
      <c r="AA3362">
        <v>56546</v>
      </c>
      <c r="AB3362" t="s">
        <v>2519</v>
      </c>
      <c r="AC3362" t="s">
        <v>103</v>
      </c>
      <c r="AD3362" t="s">
        <v>38</v>
      </c>
      <c r="AE3362" t="s">
        <v>49</v>
      </c>
      <c r="AF3362" t="s">
        <v>50</v>
      </c>
      <c r="AG3362">
        <v>0</v>
      </c>
      <c r="AH3362">
        <v>0</v>
      </c>
      <c r="AI3362" t="s">
        <v>51</v>
      </c>
      <c r="AJ3362" t="s">
        <v>51</v>
      </c>
      <c r="AK3362" t="s">
        <v>51</v>
      </c>
    </row>
    <row r="3363" spans="1:37" x14ac:dyDescent="0.2">
      <c r="A3363">
        <v>56471</v>
      </c>
      <c r="B3363" t="s">
        <v>37</v>
      </c>
      <c r="C3363" t="s">
        <v>38</v>
      </c>
      <c r="D3363" t="s">
        <v>674</v>
      </c>
      <c r="E3363" t="s">
        <v>40</v>
      </c>
      <c r="G3363" s="4">
        <v>43945.005196759259</v>
      </c>
      <c r="H3363" s="4">
        <v>43945.00587962963</v>
      </c>
      <c r="I3363" t="s">
        <v>2438</v>
      </c>
      <c r="J3363" s="5">
        <v>58.99999999999999999999999999999999999997</v>
      </c>
      <c r="K3363" t="s">
        <v>38</v>
      </c>
      <c r="M3363">
        <v>56472</v>
      </c>
      <c r="N3363" t="s">
        <v>705</v>
      </c>
      <c r="O3363" t="s">
        <v>706</v>
      </c>
      <c r="P3363" t="s">
        <v>38</v>
      </c>
      <c r="Q3363" t="s">
        <v>966</v>
      </c>
      <c r="R3363">
        <v>15.99999999999999999999999999999999999998</v>
      </c>
      <c r="S3363" t="s">
        <v>45</v>
      </c>
      <c r="T336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3">
        <v>56473</v>
      </c>
      <c r="V3363" t="s">
        <v>38</v>
      </c>
      <c r="W3363" t="s">
        <v>966</v>
      </c>
      <c r="X3363">
        <v>15.99999999999999999999999999999999999998</v>
      </c>
      <c r="Y3363">
        <v>0</v>
      </c>
      <c r="Z3363" t="s">
        <v>46</v>
      </c>
      <c r="AA3363">
        <v>56545</v>
      </c>
      <c r="AB3363" t="s">
        <v>2520</v>
      </c>
      <c r="AC3363" t="s">
        <v>103</v>
      </c>
      <c r="AD3363" t="s">
        <v>38</v>
      </c>
      <c r="AE3363" t="s">
        <v>49</v>
      </c>
      <c r="AF3363" t="s">
        <v>50</v>
      </c>
      <c r="AG3363">
        <v>0</v>
      </c>
      <c r="AH3363">
        <v>0</v>
      </c>
      <c r="AI3363" t="s">
        <v>51</v>
      </c>
      <c r="AJ3363" t="s">
        <v>51</v>
      </c>
      <c r="AK3363" t="s">
        <v>51</v>
      </c>
    </row>
    <row r="3364" spans="1:37" x14ac:dyDescent="0.2">
      <c r="A3364">
        <v>56471</v>
      </c>
      <c r="B3364" t="s">
        <v>37</v>
      </c>
      <c r="C3364" t="s">
        <v>38</v>
      </c>
      <c r="D3364" t="s">
        <v>674</v>
      </c>
      <c r="E3364" t="s">
        <v>40</v>
      </c>
      <c r="G3364" s="4">
        <v>43945.005196759259</v>
      </c>
      <c r="H3364" s="4">
        <v>43945.00587962963</v>
      </c>
      <c r="I3364" t="s">
        <v>2438</v>
      </c>
      <c r="J3364" s="5">
        <v>58.99999999999999999999999999999999999997</v>
      </c>
      <c r="K3364" t="s">
        <v>38</v>
      </c>
      <c r="M3364">
        <v>56472</v>
      </c>
      <c r="N3364" t="s">
        <v>705</v>
      </c>
      <c r="O3364" t="s">
        <v>706</v>
      </c>
      <c r="P3364" t="s">
        <v>38</v>
      </c>
      <c r="Q3364" t="s">
        <v>966</v>
      </c>
      <c r="R3364">
        <v>15.99999999999999999999999999999999999998</v>
      </c>
      <c r="S3364" t="s">
        <v>45</v>
      </c>
      <c r="T336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4">
        <v>56473</v>
      </c>
      <c r="V3364" t="s">
        <v>38</v>
      </c>
      <c r="W3364" t="s">
        <v>966</v>
      </c>
      <c r="X3364">
        <v>15.99999999999999999999999999999999999998</v>
      </c>
      <c r="Y3364">
        <v>0</v>
      </c>
      <c r="Z3364" t="s">
        <v>46</v>
      </c>
      <c r="AA3364">
        <v>56544</v>
      </c>
      <c r="AB3364" t="s">
        <v>2521</v>
      </c>
      <c r="AC3364" t="s">
        <v>103</v>
      </c>
      <c r="AD3364" t="s">
        <v>38</v>
      </c>
      <c r="AE3364" t="s">
        <v>49</v>
      </c>
      <c r="AF3364" t="s">
        <v>50</v>
      </c>
      <c r="AG3364">
        <v>.9999999999999999999999999999999999999996</v>
      </c>
      <c r="AH3364">
        <v>0</v>
      </c>
      <c r="AI3364" t="s">
        <v>51</v>
      </c>
      <c r="AJ3364" t="s">
        <v>51</v>
      </c>
      <c r="AK3364" t="s">
        <v>51</v>
      </c>
    </row>
    <row r="3365" spans="1:37" x14ac:dyDescent="0.2">
      <c r="A3365">
        <v>56471</v>
      </c>
      <c r="B3365" t="s">
        <v>37</v>
      </c>
      <c r="C3365" t="s">
        <v>38</v>
      </c>
      <c r="D3365" t="s">
        <v>674</v>
      </c>
      <c r="E3365" t="s">
        <v>40</v>
      </c>
      <c r="G3365" s="4">
        <v>43945.005196759259</v>
      </c>
      <c r="H3365" s="4">
        <v>43945.00587962963</v>
      </c>
      <c r="I3365" t="s">
        <v>2438</v>
      </c>
      <c r="J3365" s="5">
        <v>58.99999999999999999999999999999999999997</v>
      </c>
      <c r="K3365" t="s">
        <v>38</v>
      </c>
      <c r="M3365">
        <v>56472</v>
      </c>
      <c r="N3365" t="s">
        <v>705</v>
      </c>
      <c r="O3365" t="s">
        <v>706</v>
      </c>
      <c r="P3365" t="s">
        <v>38</v>
      </c>
      <c r="Q3365" t="s">
        <v>966</v>
      </c>
      <c r="R3365">
        <v>15.99999999999999999999999999999999999998</v>
      </c>
      <c r="S3365" t="s">
        <v>45</v>
      </c>
      <c r="T336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5">
        <v>56473</v>
      </c>
      <c r="V3365" t="s">
        <v>38</v>
      </c>
      <c r="W3365" t="s">
        <v>966</v>
      </c>
      <c r="X3365">
        <v>15.99999999999999999999999999999999999998</v>
      </c>
      <c r="Y3365">
        <v>0</v>
      </c>
      <c r="Z3365" t="s">
        <v>46</v>
      </c>
      <c r="AA3365">
        <v>56543</v>
      </c>
      <c r="AB3365" t="s">
        <v>2522</v>
      </c>
      <c r="AC3365" t="s">
        <v>103</v>
      </c>
      <c r="AD3365" t="s">
        <v>38</v>
      </c>
      <c r="AE3365" t="s">
        <v>49</v>
      </c>
      <c r="AF3365" t="s">
        <v>50</v>
      </c>
      <c r="AG3365">
        <v>0</v>
      </c>
      <c r="AH3365">
        <v>0</v>
      </c>
      <c r="AI3365" t="s">
        <v>51</v>
      </c>
      <c r="AJ3365" t="s">
        <v>51</v>
      </c>
      <c r="AK3365" t="s">
        <v>51</v>
      </c>
    </row>
    <row r="3366" spans="1:37" x14ac:dyDescent="0.2">
      <c r="A3366">
        <v>56471</v>
      </c>
      <c r="B3366" t="s">
        <v>37</v>
      </c>
      <c r="C3366" t="s">
        <v>38</v>
      </c>
      <c r="D3366" t="s">
        <v>674</v>
      </c>
      <c r="E3366" t="s">
        <v>40</v>
      </c>
      <c r="G3366" s="4">
        <v>43945.005196759259</v>
      </c>
      <c r="H3366" s="4">
        <v>43945.00587962963</v>
      </c>
      <c r="I3366" t="s">
        <v>2438</v>
      </c>
      <c r="J3366" s="5">
        <v>58.99999999999999999999999999999999999997</v>
      </c>
      <c r="K3366" t="s">
        <v>38</v>
      </c>
      <c r="M3366">
        <v>56472</v>
      </c>
      <c r="N3366" t="s">
        <v>705</v>
      </c>
      <c r="O3366" t="s">
        <v>706</v>
      </c>
      <c r="P3366" t="s">
        <v>38</v>
      </c>
      <c r="Q3366" t="s">
        <v>966</v>
      </c>
      <c r="R3366">
        <v>15.99999999999999999999999999999999999998</v>
      </c>
      <c r="S3366" t="s">
        <v>45</v>
      </c>
      <c r="T336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6">
        <v>56473</v>
      </c>
      <c r="V3366" t="s">
        <v>38</v>
      </c>
      <c r="W3366" t="s">
        <v>966</v>
      </c>
      <c r="X3366">
        <v>15.99999999999999999999999999999999999998</v>
      </c>
      <c r="Y3366">
        <v>0</v>
      </c>
      <c r="Z3366" t="s">
        <v>46</v>
      </c>
      <c r="AA3366">
        <v>56542</v>
      </c>
      <c r="AB3366" t="s">
        <v>2523</v>
      </c>
      <c r="AC3366" t="s">
        <v>103</v>
      </c>
      <c r="AD3366" t="s">
        <v>38</v>
      </c>
      <c r="AE3366" t="s">
        <v>49</v>
      </c>
      <c r="AF3366" t="s">
        <v>50</v>
      </c>
      <c r="AG3366">
        <v>0</v>
      </c>
      <c r="AH3366">
        <v>0</v>
      </c>
      <c r="AI3366" t="s">
        <v>51</v>
      </c>
      <c r="AJ3366" t="s">
        <v>51</v>
      </c>
      <c r="AK3366" t="s">
        <v>51</v>
      </c>
    </row>
    <row r="3367" spans="1:37" x14ac:dyDescent="0.2">
      <c r="A3367">
        <v>56471</v>
      </c>
      <c r="B3367" t="s">
        <v>37</v>
      </c>
      <c r="C3367" t="s">
        <v>38</v>
      </c>
      <c r="D3367" t="s">
        <v>674</v>
      </c>
      <c r="E3367" t="s">
        <v>40</v>
      </c>
      <c r="G3367" s="4">
        <v>43945.005196759259</v>
      </c>
      <c r="H3367" s="4">
        <v>43945.00587962963</v>
      </c>
      <c r="I3367" t="s">
        <v>2438</v>
      </c>
      <c r="J3367" s="5">
        <v>58.99999999999999999999999999999999999997</v>
      </c>
      <c r="K3367" t="s">
        <v>38</v>
      </c>
      <c r="M3367">
        <v>56472</v>
      </c>
      <c r="N3367" t="s">
        <v>705</v>
      </c>
      <c r="O3367" t="s">
        <v>706</v>
      </c>
      <c r="P3367" t="s">
        <v>38</v>
      </c>
      <c r="Q3367" t="s">
        <v>966</v>
      </c>
      <c r="R3367">
        <v>15.99999999999999999999999999999999999998</v>
      </c>
      <c r="S3367" t="s">
        <v>45</v>
      </c>
      <c r="T336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7">
        <v>56473</v>
      </c>
      <c r="V3367" t="s">
        <v>38</v>
      </c>
      <c r="W3367" t="s">
        <v>966</v>
      </c>
      <c r="X3367">
        <v>15.99999999999999999999999999999999999998</v>
      </c>
      <c r="Y3367">
        <v>0</v>
      </c>
      <c r="Z3367" t="s">
        <v>46</v>
      </c>
      <c r="AA3367">
        <v>56541</v>
      </c>
      <c r="AB3367" t="s">
        <v>2524</v>
      </c>
      <c r="AC3367" t="s">
        <v>103</v>
      </c>
      <c r="AD3367" t="s">
        <v>38</v>
      </c>
      <c r="AE3367" t="s">
        <v>49</v>
      </c>
      <c r="AF3367" t="s">
        <v>50</v>
      </c>
      <c r="AG3367">
        <v>0</v>
      </c>
      <c r="AH3367">
        <v>0</v>
      </c>
      <c r="AI3367" t="s">
        <v>51</v>
      </c>
      <c r="AJ3367" t="s">
        <v>51</v>
      </c>
      <c r="AK3367" t="s">
        <v>51</v>
      </c>
    </row>
    <row r="3368" spans="1:37" x14ac:dyDescent="0.2">
      <c r="A3368">
        <v>56471</v>
      </c>
      <c r="B3368" t="s">
        <v>37</v>
      </c>
      <c r="C3368" t="s">
        <v>38</v>
      </c>
      <c r="D3368" t="s">
        <v>674</v>
      </c>
      <c r="E3368" t="s">
        <v>40</v>
      </c>
      <c r="G3368" s="4">
        <v>43945.005196759259</v>
      </c>
      <c r="H3368" s="4">
        <v>43945.00587962963</v>
      </c>
      <c r="I3368" t="s">
        <v>2438</v>
      </c>
      <c r="J3368" s="5">
        <v>58.99999999999999999999999999999999999997</v>
      </c>
      <c r="K3368" t="s">
        <v>38</v>
      </c>
      <c r="M3368">
        <v>56472</v>
      </c>
      <c r="N3368" t="s">
        <v>705</v>
      </c>
      <c r="O3368" t="s">
        <v>706</v>
      </c>
      <c r="P3368" t="s">
        <v>38</v>
      </c>
      <c r="Q3368" t="s">
        <v>966</v>
      </c>
      <c r="R3368">
        <v>15.99999999999999999999999999999999999998</v>
      </c>
      <c r="S3368" t="s">
        <v>45</v>
      </c>
      <c r="T336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8">
        <v>56473</v>
      </c>
      <c r="V3368" t="s">
        <v>38</v>
      </c>
      <c r="W3368" t="s">
        <v>966</v>
      </c>
      <c r="X3368">
        <v>15.99999999999999999999999999999999999998</v>
      </c>
      <c r="Y3368">
        <v>0</v>
      </c>
      <c r="Z3368" t="s">
        <v>46</v>
      </c>
      <c r="AA3368">
        <v>56540</v>
      </c>
      <c r="AB3368" t="s">
        <v>2525</v>
      </c>
      <c r="AC3368" t="s">
        <v>103</v>
      </c>
      <c r="AD3368" t="s">
        <v>38</v>
      </c>
      <c r="AE3368" t="s">
        <v>49</v>
      </c>
      <c r="AF3368" t="s">
        <v>50</v>
      </c>
      <c r="AG3368">
        <v>0</v>
      </c>
      <c r="AH3368">
        <v>0</v>
      </c>
      <c r="AI3368" t="s">
        <v>51</v>
      </c>
      <c r="AJ3368" t="s">
        <v>51</v>
      </c>
      <c r="AK3368" t="s">
        <v>51</v>
      </c>
    </row>
    <row r="3369" spans="1:37" x14ac:dyDescent="0.2">
      <c r="A3369">
        <v>56471</v>
      </c>
      <c r="B3369" t="s">
        <v>37</v>
      </c>
      <c r="C3369" t="s">
        <v>38</v>
      </c>
      <c r="D3369" t="s">
        <v>674</v>
      </c>
      <c r="E3369" t="s">
        <v>40</v>
      </c>
      <c r="G3369" s="4">
        <v>43945.005196759259</v>
      </c>
      <c r="H3369" s="4">
        <v>43945.00587962963</v>
      </c>
      <c r="I3369" t="s">
        <v>2438</v>
      </c>
      <c r="J3369" s="5">
        <v>58.99999999999999999999999999999999999997</v>
      </c>
      <c r="K3369" t="s">
        <v>38</v>
      </c>
      <c r="M3369">
        <v>56472</v>
      </c>
      <c r="N3369" t="s">
        <v>705</v>
      </c>
      <c r="O3369" t="s">
        <v>706</v>
      </c>
      <c r="P3369" t="s">
        <v>38</v>
      </c>
      <c r="Q3369" t="s">
        <v>966</v>
      </c>
      <c r="R3369">
        <v>15.99999999999999999999999999999999999998</v>
      </c>
      <c r="S3369" t="s">
        <v>45</v>
      </c>
      <c r="T336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69">
        <v>56473</v>
      </c>
      <c r="V3369" t="s">
        <v>38</v>
      </c>
      <c r="W3369" t="s">
        <v>966</v>
      </c>
      <c r="X3369">
        <v>15.99999999999999999999999999999999999998</v>
      </c>
      <c r="Y3369">
        <v>0</v>
      </c>
      <c r="Z3369" t="s">
        <v>46</v>
      </c>
      <c r="AA3369">
        <v>56539</v>
      </c>
      <c r="AB3369" t="s">
        <v>2526</v>
      </c>
      <c r="AC3369" t="s">
        <v>103</v>
      </c>
      <c r="AD3369" t="s">
        <v>38</v>
      </c>
      <c r="AE3369" t="s">
        <v>49</v>
      </c>
      <c r="AF3369" t="s">
        <v>50</v>
      </c>
      <c r="AG3369">
        <v>0</v>
      </c>
      <c r="AH3369">
        <v>0</v>
      </c>
      <c r="AI3369" t="s">
        <v>51</v>
      </c>
      <c r="AJ3369" t="s">
        <v>51</v>
      </c>
      <c r="AK3369" t="s">
        <v>51</v>
      </c>
    </row>
    <row r="3370" spans="1:37" x14ac:dyDescent="0.2">
      <c r="A3370">
        <v>56471</v>
      </c>
      <c r="B3370" t="s">
        <v>37</v>
      </c>
      <c r="C3370" t="s">
        <v>38</v>
      </c>
      <c r="D3370" t="s">
        <v>674</v>
      </c>
      <c r="E3370" t="s">
        <v>40</v>
      </c>
      <c r="G3370" s="4">
        <v>43945.005196759259</v>
      </c>
      <c r="H3370" s="4">
        <v>43945.00587962963</v>
      </c>
      <c r="I3370" t="s">
        <v>2438</v>
      </c>
      <c r="J3370" s="5">
        <v>58.99999999999999999999999999999999999997</v>
      </c>
      <c r="K3370" t="s">
        <v>38</v>
      </c>
      <c r="M3370">
        <v>56472</v>
      </c>
      <c r="N3370" t="s">
        <v>705</v>
      </c>
      <c r="O3370" t="s">
        <v>706</v>
      </c>
      <c r="P3370" t="s">
        <v>38</v>
      </c>
      <c r="Q3370" t="s">
        <v>966</v>
      </c>
      <c r="R3370">
        <v>15.99999999999999999999999999999999999998</v>
      </c>
      <c r="S3370" t="s">
        <v>45</v>
      </c>
      <c r="T337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0">
        <v>56473</v>
      </c>
      <c r="V3370" t="s">
        <v>38</v>
      </c>
      <c r="W3370" t="s">
        <v>966</v>
      </c>
      <c r="X3370">
        <v>15.99999999999999999999999999999999999998</v>
      </c>
      <c r="Y3370">
        <v>0</v>
      </c>
      <c r="Z3370" t="s">
        <v>46</v>
      </c>
      <c r="AA3370">
        <v>56538</v>
      </c>
      <c r="AB3370" t="s">
        <v>2527</v>
      </c>
      <c r="AC3370" t="s">
        <v>103</v>
      </c>
      <c r="AD3370" t="s">
        <v>38</v>
      </c>
      <c r="AE3370" t="s">
        <v>49</v>
      </c>
      <c r="AF3370" t="s">
        <v>50</v>
      </c>
      <c r="AG3370">
        <v>0</v>
      </c>
      <c r="AH3370">
        <v>0</v>
      </c>
      <c r="AI3370" t="s">
        <v>51</v>
      </c>
      <c r="AJ3370" t="s">
        <v>51</v>
      </c>
      <c r="AK3370" t="s">
        <v>51</v>
      </c>
    </row>
    <row r="3371" spans="1:37" x14ac:dyDescent="0.2">
      <c r="A3371">
        <v>56471</v>
      </c>
      <c r="B3371" t="s">
        <v>37</v>
      </c>
      <c r="C3371" t="s">
        <v>38</v>
      </c>
      <c r="D3371" t="s">
        <v>674</v>
      </c>
      <c r="E3371" t="s">
        <v>40</v>
      </c>
      <c r="G3371" s="4">
        <v>43945.005196759259</v>
      </c>
      <c r="H3371" s="4">
        <v>43945.00587962963</v>
      </c>
      <c r="I3371" t="s">
        <v>2438</v>
      </c>
      <c r="J3371" s="5">
        <v>58.99999999999999999999999999999999999997</v>
      </c>
      <c r="K3371" t="s">
        <v>38</v>
      </c>
      <c r="M3371">
        <v>56472</v>
      </c>
      <c r="N3371" t="s">
        <v>705</v>
      </c>
      <c r="O3371" t="s">
        <v>706</v>
      </c>
      <c r="P3371" t="s">
        <v>38</v>
      </c>
      <c r="Q3371" t="s">
        <v>966</v>
      </c>
      <c r="R3371">
        <v>15.99999999999999999999999999999999999998</v>
      </c>
      <c r="S3371" t="s">
        <v>45</v>
      </c>
      <c r="T337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1">
        <v>56473</v>
      </c>
      <c r="V3371" t="s">
        <v>38</v>
      </c>
      <c r="W3371" t="s">
        <v>966</v>
      </c>
      <c r="X3371">
        <v>15.99999999999999999999999999999999999998</v>
      </c>
      <c r="Y3371">
        <v>0</v>
      </c>
      <c r="Z3371" t="s">
        <v>46</v>
      </c>
      <c r="AA3371">
        <v>56537</v>
      </c>
      <c r="AB3371" t="s">
        <v>2528</v>
      </c>
      <c r="AC3371" t="s">
        <v>103</v>
      </c>
      <c r="AD3371" t="s">
        <v>38</v>
      </c>
      <c r="AE3371" t="s">
        <v>49</v>
      </c>
      <c r="AF3371" t="s">
        <v>50</v>
      </c>
      <c r="AG3371">
        <v>0</v>
      </c>
      <c r="AH3371">
        <v>0</v>
      </c>
      <c r="AI3371" t="s">
        <v>51</v>
      </c>
      <c r="AJ3371" t="s">
        <v>51</v>
      </c>
      <c r="AK3371" t="s">
        <v>51</v>
      </c>
    </row>
    <row r="3372" spans="1:37" x14ac:dyDescent="0.2">
      <c r="A3372">
        <v>56471</v>
      </c>
      <c r="B3372" t="s">
        <v>37</v>
      </c>
      <c r="C3372" t="s">
        <v>38</v>
      </c>
      <c r="D3372" t="s">
        <v>674</v>
      </c>
      <c r="E3372" t="s">
        <v>40</v>
      </c>
      <c r="G3372" s="4">
        <v>43945.005196759259</v>
      </c>
      <c r="H3372" s="4">
        <v>43945.00587962963</v>
      </c>
      <c r="I3372" t="s">
        <v>2438</v>
      </c>
      <c r="J3372" s="5">
        <v>58.99999999999999999999999999999999999997</v>
      </c>
      <c r="K3372" t="s">
        <v>38</v>
      </c>
      <c r="M3372">
        <v>56472</v>
      </c>
      <c r="N3372" t="s">
        <v>705</v>
      </c>
      <c r="O3372" t="s">
        <v>706</v>
      </c>
      <c r="P3372" t="s">
        <v>38</v>
      </c>
      <c r="Q3372" t="s">
        <v>966</v>
      </c>
      <c r="R3372">
        <v>15.99999999999999999999999999999999999998</v>
      </c>
      <c r="S3372" t="s">
        <v>45</v>
      </c>
      <c r="T337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2">
        <v>56473</v>
      </c>
      <c r="V3372" t="s">
        <v>38</v>
      </c>
      <c r="W3372" t="s">
        <v>966</v>
      </c>
      <c r="X3372">
        <v>15.99999999999999999999999999999999999998</v>
      </c>
      <c r="Y3372">
        <v>0</v>
      </c>
      <c r="Z3372" t="s">
        <v>46</v>
      </c>
      <c r="AA3372">
        <v>56536</v>
      </c>
      <c r="AB3372" t="s">
        <v>2529</v>
      </c>
      <c r="AC3372" t="s">
        <v>103</v>
      </c>
      <c r="AD3372" t="s">
        <v>38</v>
      </c>
      <c r="AE3372" t="s">
        <v>49</v>
      </c>
      <c r="AF3372" t="s">
        <v>50</v>
      </c>
      <c r="AG3372">
        <v>0</v>
      </c>
      <c r="AH3372">
        <v>0</v>
      </c>
      <c r="AI3372" t="s">
        <v>51</v>
      </c>
      <c r="AJ3372" t="s">
        <v>51</v>
      </c>
      <c r="AK3372" t="s">
        <v>51</v>
      </c>
    </row>
    <row r="3373" spans="1:37" x14ac:dyDescent="0.2">
      <c r="A3373">
        <v>56471</v>
      </c>
      <c r="B3373" t="s">
        <v>37</v>
      </c>
      <c r="C3373" t="s">
        <v>38</v>
      </c>
      <c r="D3373" t="s">
        <v>674</v>
      </c>
      <c r="E3373" t="s">
        <v>40</v>
      </c>
      <c r="G3373" s="4">
        <v>43945.005196759259</v>
      </c>
      <c r="H3373" s="4">
        <v>43945.00587962963</v>
      </c>
      <c r="I3373" t="s">
        <v>2438</v>
      </c>
      <c r="J3373" s="5">
        <v>58.99999999999999999999999999999999999997</v>
      </c>
      <c r="K3373" t="s">
        <v>38</v>
      </c>
      <c r="M3373">
        <v>56472</v>
      </c>
      <c r="N3373" t="s">
        <v>705</v>
      </c>
      <c r="O3373" t="s">
        <v>706</v>
      </c>
      <c r="P3373" t="s">
        <v>38</v>
      </c>
      <c r="Q3373" t="s">
        <v>966</v>
      </c>
      <c r="R3373">
        <v>15.99999999999999999999999999999999999998</v>
      </c>
      <c r="S3373" t="s">
        <v>45</v>
      </c>
      <c r="T337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3">
        <v>56473</v>
      </c>
      <c r="V3373" t="s">
        <v>38</v>
      </c>
      <c r="W3373" t="s">
        <v>966</v>
      </c>
      <c r="X3373">
        <v>15.99999999999999999999999999999999999998</v>
      </c>
      <c r="Y3373">
        <v>0</v>
      </c>
      <c r="Z3373" t="s">
        <v>46</v>
      </c>
      <c r="AA3373">
        <v>56535</v>
      </c>
      <c r="AB3373" t="s">
        <v>2530</v>
      </c>
      <c r="AC3373" t="s">
        <v>103</v>
      </c>
      <c r="AD3373" t="s">
        <v>38</v>
      </c>
      <c r="AE3373" t="s">
        <v>49</v>
      </c>
      <c r="AF3373" t="s">
        <v>50</v>
      </c>
      <c r="AG3373">
        <v>0</v>
      </c>
      <c r="AH3373">
        <v>0</v>
      </c>
      <c r="AI3373" t="s">
        <v>51</v>
      </c>
      <c r="AJ3373" t="s">
        <v>51</v>
      </c>
      <c r="AK3373" t="s">
        <v>51</v>
      </c>
    </row>
    <row r="3374" spans="1:37" x14ac:dyDescent="0.2">
      <c r="A3374">
        <v>56471</v>
      </c>
      <c r="B3374" t="s">
        <v>37</v>
      </c>
      <c r="C3374" t="s">
        <v>38</v>
      </c>
      <c r="D3374" t="s">
        <v>674</v>
      </c>
      <c r="E3374" t="s">
        <v>40</v>
      </c>
      <c r="G3374" s="4">
        <v>43945.005196759259</v>
      </c>
      <c r="H3374" s="4">
        <v>43945.00587962963</v>
      </c>
      <c r="I3374" t="s">
        <v>2438</v>
      </c>
      <c r="J3374" s="5">
        <v>58.99999999999999999999999999999999999997</v>
      </c>
      <c r="K3374" t="s">
        <v>38</v>
      </c>
      <c r="M3374">
        <v>56472</v>
      </c>
      <c r="N3374" t="s">
        <v>705</v>
      </c>
      <c r="O3374" t="s">
        <v>706</v>
      </c>
      <c r="P3374" t="s">
        <v>38</v>
      </c>
      <c r="Q3374" t="s">
        <v>966</v>
      </c>
      <c r="R3374">
        <v>15.99999999999999999999999999999999999998</v>
      </c>
      <c r="S3374" t="s">
        <v>45</v>
      </c>
      <c r="T337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4">
        <v>56473</v>
      </c>
      <c r="V3374" t="s">
        <v>38</v>
      </c>
      <c r="W3374" t="s">
        <v>966</v>
      </c>
      <c r="X3374">
        <v>15.99999999999999999999999999999999999998</v>
      </c>
      <c r="Y3374">
        <v>0</v>
      </c>
      <c r="Z3374" t="s">
        <v>46</v>
      </c>
      <c r="AA3374">
        <v>56534</v>
      </c>
      <c r="AB3374" t="s">
        <v>2531</v>
      </c>
      <c r="AC3374" t="s">
        <v>103</v>
      </c>
      <c r="AD3374" t="s">
        <v>38</v>
      </c>
      <c r="AE3374" t="s">
        <v>49</v>
      </c>
      <c r="AF3374" t="s">
        <v>50</v>
      </c>
      <c r="AG3374">
        <v>0</v>
      </c>
      <c r="AH3374">
        <v>0</v>
      </c>
      <c r="AI3374" t="s">
        <v>51</v>
      </c>
      <c r="AJ3374" t="s">
        <v>51</v>
      </c>
      <c r="AK3374" t="s">
        <v>51</v>
      </c>
    </row>
    <row r="3375" spans="1:37" x14ac:dyDescent="0.2">
      <c r="A3375">
        <v>56471</v>
      </c>
      <c r="B3375" t="s">
        <v>37</v>
      </c>
      <c r="C3375" t="s">
        <v>38</v>
      </c>
      <c r="D3375" t="s">
        <v>674</v>
      </c>
      <c r="E3375" t="s">
        <v>40</v>
      </c>
      <c r="G3375" s="4">
        <v>43945.005196759259</v>
      </c>
      <c r="H3375" s="4">
        <v>43945.00587962963</v>
      </c>
      <c r="I3375" t="s">
        <v>2438</v>
      </c>
      <c r="J3375" s="5">
        <v>58.99999999999999999999999999999999999997</v>
      </c>
      <c r="K3375" t="s">
        <v>38</v>
      </c>
      <c r="M3375">
        <v>56472</v>
      </c>
      <c r="N3375" t="s">
        <v>705</v>
      </c>
      <c r="O3375" t="s">
        <v>706</v>
      </c>
      <c r="P3375" t="s">
        <v>38</v>
      </c>
      <c r="Q3375" t="s">
        <v>966</v>
      </c>
      <c r="R3375">
        <v>15.99999999999999999999999999999999999998</v>
      </c>
      <c r="S3375" t="s">
        <v>45</v>
      </c>
      <c r="T337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5">
        <v>56473</v>
      </c>
      <c r="V3375" t="s">
        <v>38</v>
      </c>
      <c r="W3375" t="s">
        <v>966</v>
      </c>
      <c r="X3375">
        <v>15.99999999999999999999999999999999999998</v>
      </c>
      <c r="Y3375">
        <v>0</v>
      </c>
      <c r="Z3375" t="s">
        <v>46</v>
      </c>
      <c r="AA3375">
        <v>56533</v>
      </c>
      <c r="AB3375" t="s">
        <v>2532</v>
      </c>
      <c r="AC3375" t="s">
        <v>103</v>
      </c>
      <c r="AD3375" t="s">
        <v>38</v>
      </c>
      <c r="AE3375" t="s">
        <v>49</v>
      </c>
      <c r="AF3375" t="s">
        <v>50</v>
      </c>
      <c r="AG3375">
        <v>.9999999999999999999999999999999999999996</v>
      </c>
      <c r="AH3375">
        <v>0</v>
      </c>
      <c r="AI3375" t="s">
        <v>51</v>
      </c>
      <c r="AJ3375" t="s">
        <v>51</v>
      </c>
      <c r="AK3375" t="s">
        <v>51</v>
      </c>
    </row>
    <row r="3376" spans="1:37" x14ac:dyDescent="0.2">
      <c r="A3376">
        <v>56471</v>
      </c>
      <c r="B3376" t="s">
        <v>37</v>
      </c>
      <c r="C3376" t="s">
        <v>38</v>
      </c>
      <c r="D3376" t="s">
        <v>674</v>
      </c>
      <c r="E3376" t="s">
        <v>40</v>
      </c>
      <c r="G3376" s="4">
        <v>43945.005196759259</v>
      </c>
      <c r="H3376" s="4">
        <v>43945.00587962963</v>
      </c>
      <c r="I3376" t="s">
        <v>2438</v>
      </c>
      <c r="J3376" s="5">
        <v>58.99999999999999999999999999999999999997</v>
      </c>
      <c r="K3376" t="s">
        <v>38</v>
      </c>
      <c r="M3376">
        <v>56472</v>
      </c>
      <c r="N3376" t="s">
        <v>705</v>
      </c>
      <c r="O3376" t="s">
        <v>706</v>
      </c>
      <c r="P3376" t="s">
        <v>38</v>
      </c>
      <c r="Q3376" t="s">
        <v>966</v>
      </c>
      <c r="R3376">
        <v>15.99999999999999999999999999999999999998</v>
      </c>
      <c r="S3376" t="s">
        <v>45</v>
      </c>
      <c r="T337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6">
        <v>56473</v>
      </c>
      <c r="V3376" t="s">
        <v>38</v>
      </c>
      <c r="W3376" t="s">
        <v>966</v>
      </c>
      <c r="X3376">
        <v>15.99999999999999999999999999999999999998</v>
      </c>
      <c r="Y3376">
        <v>0</v>
      </c>
      <c r="Z3376" t="s">
        <v>46</v>
      </c>
      <c r="AA3376">
        <v>56532</v>
      </c>
      <c r="AB3376" t="s">
        <v>2533</v>
      </c>
      <c r="AC3376" t="s">
        <v>103</v>
      </c>
      <c r="AD3376" t="s">
        <v>38</v>
      </c>
      <c r="AE3376" t="s">
        <v>49</v>
      </c>
      <c r="AF3376" t="s">
        <v>50</v>
      </c>
      <c r="AG3376">
        <v>0</v>
      </c>
      <c r="AH3376">
        <v>0</v>
      </c>
      <c r="AI3376" t="s">
        <v>51</v>
      </c>
      <c r="AJ3376" t="s">
        <v>51</v>
      </c>
      <c r="AK3376" t="s">
        <v>51</v>
      </c>
    </row>
    <row r="3377" spans="1:37" x14ac:dyDescent="0.2">
      <c r="A3377">
        <v>56471</v>
      </c>
      <c r="B3377" t="s">
        <v>37</v>
      </c>
      <c r="C3377" t="s">
        <v>38</v>
      </c>
      <c r="D3377" t="s">
        <v>674</v>
      </c>
      <c r="E3377" t="s">
        <v>40</v>
      </c>
      <c r="G3377" s="4">
        <v>43945.005196759259</v>
      </c>
      <c r="H3377" s="4">
        <v>43945.00587962963</v>
      </c>
      <c r="I3377" t="s">
        <v>2438</v>
      </c>
      <c r="J3377" s="5">
        <v>58.99999999999999999999999999999999999997</v>
      </c>
      <c r="K3377" t="s">
        <v>38</v>
      </c>
      <c r="M3377">
        <v>56472</v>
      </c>
      <c r="N3377" t="s">
        <v>705</v>
      </c>
      <c r="O3377" t="s">
        <v>706</v>
      </c>
      <c r="P3377" t="s">
        <v>38</v>
      </c>
      <c r="Q3377" t="s">
        <v>966</v>
      </c>
      <c r="R3377">
        <v>15.99999999999999999999999999999999999998</v>
      </c>
      <c r="S3377" t="s">
        <v>45</v>
      </c>
      <c r="T337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7">
        <v>56473</v>
      </c>
      <c r="V3377" t="s">
        <v>38</v>
      </c>
      <c r="W3377" t="s">
        <v>966</v>
      </c>
      <c r="X3377">
        <v>15.99999999999999999999999999999999999998</v>
      </c>
      <c r="Y3377">
        <v>0</v>
      </c>
      <c r="Z3377" t="s">
        <v>46</v>
      </c>
      <c r="AA3377">
        <v>56531</v>
      </c>
      <c r="AB3377" t="s">
        <v>2534</v>
      </c>
      <c r="AC3377" t="s">
        <v>103</v>
      </c>
      <c r="AD3377" t="s">
        <v>38</v>
      </c>
      <c r="AE3377" t="s">
        <v>49</v>
      </c>
      <c r="AF3377" t="s">
        <v>50</v>
      </c>
      <c r="AG3377">
        <v>0</v>
      </c>
      <c r="AH3377">
        <v>0</v>
      </c>
      <c r="AI3377" t="s">
        <v>51</v>
      </c>
      <c r="AJ3377" t="s">
        <v>51</v>
      </c>
      <c r="AK3377" t="s">
        <v>51</v>
      </c>
    </row>
    <row r="3378" spans="1:37" x14ac:dyDescent="0.2">
      <c r="A3378">
        <v>56471</v>
      </c>
      <c r="B3378" t="s">
        <v>37</v>
      </c>
      <c r="C3378" t="s">
        <v>38</v>
      </c>
      <c r="D3378" t="s">
        <v>674</v>
      </c>
      <c r="E3378" t="s">
        <v>40</v>
      </c>
      <c r="G3378" s="4">
        <v>43945.005196759259</v>
      </c>
      <c r="H3378" s="4">
        <v>43945.00587962963</v>
      </c>
      <c r="I3378" t="s">
        <v>2438</v>
      </c>
      <c r="J3378" s="5">
        <v>58.99999999999999999999999999999999999997</v>
      </c>
      <c r="K3378" t="s">
        <v>38</v>
      </c>
      <c r="M3378">
        <v>56472</v>
      </c>
      <c r="N3378" t="s">
        <v>705</v>
      </c>
      <c r="O3378" t="s">
        <v>706</v>
      </c>
      <c r="P3378" t="s">
        <v>38</v>
      </c>
      <c r="Q3378" t="s">
        <v>966</v>
      </c>
      <c r="R3378">
        <v>15.99999999999999999999999999999999999998</v>
      </c>
      <c r="S3378" t="s">
        <v>45</v>
      </c>
      <c r="T337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8">
        <v>56473</v>
      </c>
      <c r="V3378" t="s">
        <v>38</v>
      </c>
      <c r="W3378" t="s">
        <v>966</v>
      </c>
      <c r="X3378">
        <v>15.99999999999999999999999999999999999998</v>
      </c>
      <c r="Y3378">
        <v>0</v>
      </c>
      <c r="Z3378" t="s">
        <v>46</v>
      </c>
      <c r="AA3378">
        <v>56530</v>
      </c>
      <c r="AB3378" t="s">
        <v>2535</v>
      </c>
      <c r="AC3378" t="s">
        <v>103</v>
      </c>
      <c r="AD3378" t="s">
        <v>38</v>
      </c>
      <c r="AE3378" t="s">
        <v>49</v>
      </c>
      <c r="AF3378" t="s">
        <v>50</v>
      </c>
      <c r="AG3378">
        <v>0</v>
      </c>
      <c r="AH3378">
        <v>0</v>
      </c>
      <c r="AI3378" t="s">
        <v>51</v>
      </c>
      <c r="AJ3378" t="s">
        <v>51</v>
      </c>
      <c r="AK3378" t="s">
        <v>51</v>
      </c>
    </row>
    <row r="3379" spans="1:37" x14ac:dyDescent="0.2">
      <c r="A3379">
        <v>56471</v>
      </c>
      <c r="B3379" t="s">
        <v>37</v>
      </c>
      <c r="C3379" t="s">
        <v>38</v>
      </c>
      <c r="D3379" t="s">
        <v>674</v>
      </c>
      <c r="E3379" t="s">
        <v>40</v>
      </c>
      <c r="G3379" s="4">
        <v>43945.005196759259</v>
      </c>
      <c r="H3379" s="4">
        <v>43945.00587962963</v>
      </c>
      <c r="I3379" t="s">
        <v>2438</v>
      </c>
      <c r="J3379" s="5">
        <v>58.99999999999999999999999999999999999997</v>
      </c>
      <c r="K3379" t="s">
        <v>38</v>
      </c>
      <c r="M3379">
        <v>56472</v>
      </c>
      <c r="N3379" t="s">
        <v>705</v>
      </c>
      <c r="O3379" t="s">
        <v>706</v>
      </c>
      <c r="P3379" t="s">
        <v>38</v>
      </c>
      <c r="Q3379" t="s">
        <v>966</v>
      </c>
      <c r="R3379">
        <v>15.99999999999999999999999999999999999998</v>
      </c>
      <c r="S3379" t="s">
        <v>45</v>
      </c>
      <c r="T337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79">
        <v>56473</v>
      </c>
      <c r="V3379" t="s">
        <v>38</v>
      </c>
      <c r="W3379" t="s">
        <v>966</v>
      </c>
      <c r="X3379">
        <v>15.99999999999999999999999999999999999998</v>
      </c>
      <c r="Y3379">
        <v>0</v>
      </c>
      <c r="Z3379" t="s">
        <v>46</v>
      </c>
      <c r="AA3379">
        <v>56529</v>
      </c>
      <c r="AB3379" t="s">
        <v>2536</v>
      </c>
      <c r="AC3379" t="s">
        <v>103</v>
      </c>
      <c r="AD3379" t="s">
        <v>38</v>
      </c>
      <c r="AE3379" t="s">
        <v>49</v>
      </c>
      <c r="AF3379" t="s">
        <v>50</v>
      </c>
      <c r="AG3379">
        <v>0</v>
      </c>
      <c r="AH3379">
        <v>0</v>
      </c>
      <c r="AI3379" t="s">
        <v>51</v>
      </c>
      <c r="AJ3379" t="s">
        <v>51</v>
      </c>
      <c r="AK3379" t="s">
        <v>51</v>
      </c>
    </row>
    <row r="3380" spans="1:37" x14ac:dyDescent="0.2">
      <c r="A3380">
        <v>56471</v>
      </c>
      <c r="B3380" t="s">
        <v>37</v>
      </c>
      <c r="C3380" t="s">
        <v>38</v>
      </c>
      <c r="D3380" t="s">
        <v>674</v>
      </c>
      <c r="E3380" t="s">
        <v>40</v>
      </c>
      <c r="G3380" s="4">
        <v>43945.005196759259</v>
      </c>
      <c r="H3380" s="4">
        <v>43945.00587962963</v>
      </c>
      <c r="I3380" t="s">
        <v>2438</v>
      </c>
      <c r="J3380" s="5">
        <v>58.99999999999999999999999999999999999997</v>
      </c>
      <c r="K3380" t="s">
        <v>38</v>
      </c>
      <c r="M3380">
        <v>56472</v>
      </c>
      <c r="N3380" t="s">
        <v>705</v>
      </c>
      <c r="O3380" t="s">
        <v>706</v>
      </c>
      <c r="P3380" t="s">
        <v>38</v>
      </c>
      <c r="Q3380" t="s">
        <v>966</v>
      </c>
      <c r="R3380">
        <v>15.99999999999999999999999999999999999998</v>
      </c>
      <c r="S3380" t="s">
        <v>45</v>
      </c>
      <c r="T338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0">
        <v>56473</v>
      </c>
      <c r="V3380" t="s">
        <v>38</v>
      </c>
      <c r="W3380" t="s">
        <v>966</v>
      </c>
      <c r="X3380">
        <v>15.99999999999999999999999999999999999998</v>
      </c>
      <c r="Y3380">
        <v>0</v>
      </c>
      <c r="Z3380" t="s">
        <v>46</v>
      </c>
      <c r="AA3380">
        <v>56528</v>
      </c>
      <c r="AB3380" t="s">
        <v>2537</v>
      </c>
      <c r="AC3380" t="s">
        <v>103</v>
      </c>
      <c r="AD3380" t="s">
        <v>38</v>
      </c>
      <c r="AE3380" t="s">
        <v>49</v>
      </c>
      <c r="AF3380" t="s">
        <v>50</v>
      </c>
      <c r="AG3380">
        <v>0</v>
      </c>
      <c r="AH3380">
        <v>0</v>
      </c>
      <c r="AI3380" t="s">
        <v>51</v>
      </c>
      <c r="AJ3380" t="s">
        <v>51</v>
      </c>
      <c r="AK3380" t="s">
        <v>51</v>
      </c>
    </row>
    <row r="3381" spans="1:37" x14ac:dyDescent="0.2">
      <c r="A3381">
        <v>56471</v>
      </c>
      <c r="B3381" t="s">
        <v>37</v>
      </c>
      <c r="C3381" t="s">
        <v>38</v>
      </c>
      <c r="D3381" t="s">
        <v>674</v>
      </c>
      <c r="E3381" t="s">
        <v>40</v>
      </c>
      <c r="G3381" s="4">
        <v>43945.005196759259</v>
      </c>
      <c r="H3381" s="4">
        <v>43945.00587962963</v>
      </c>
      <c r="I3381" t="s">
        <v>2438</v>
      </c>
      <c r="J3381" s="5">
        <v>58.99999999999999999999999999999999999997</v>
      </c>
      <c r="K3381" t="s">
        <v>38</v>
      </c>
      <c r="M3381">
        <v>56472</v>
      </c>
      <c r="N3381" t="s">
        <v>705</v>
      </c>
      <c r="O3381" t="s">
        <v>706</v>
      </c>
      <c r="P3381" t="s">
        <v>38</v>
      </c>
      <c r="Q3381" t="s">
        <v>966</v>
      </c>
      <c r="R3381">
        <v>15.99999999999999999999999999999999999998</v>
      </c>
      <c r="S3381" t="s">
        <v>45</v>
      </c>
      <c r="T338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1">
        <v>56473</v>
      </c>
      <c r="V3381" t="s">
        <v>38</v>
      </c>
      <c r="W3381" t="s">
        <v>966</v>
      </c>
      <c r="X3381">
        <v>15.99999999999999999999999999999999999998</v>
      </c>
      <c r="Y3381">
        <v>0</v>
      </c>
      <c r="Z3381" t="s">
        <v>46</v>
      </c>
      <c r="AA3381">
        <v>56527</v>
      </c>
      <c r="AB3381" t="s">
        <v>2538</v>
      </c>
      <c r="AC3381" t="s">
        <v>103</v>
      </c>
      <c r="AD3381" t="s">
        <v>38</v>
      </c>
      <c r="AE3381" t="s">
        <v>49</v>
      </c>
      <c r="AF3381" t="s">
        <v>50</v>
      </c>
      <c r="AG3381">
        <v>0</v>
      </c>
      <c r="AH3381">
        <v>0</v>
      </c>
      <c r="AI3381" t="s">
        <v>51</v>
      </c>
      <c r="AJ3381" t="s">
        <v>51</v>
      </c>
      <c r="AK3381" t="s">
        <v>51</v>
      </c>
    </row>
    <row r="3382" spans="1:37" x14ac:dyDescent="0.2">
      <c r="A3382">
        <v>56471</v>
      </c>
      <c r="B3382" t="s">
        <v>37</v>
      </c>
      <c r="C3382" t="s">
        <v>38</v>
      </c>
      <c r="D3382" t="s">
        <v>674</v>
      </c>
      <c r="E3382" t="s">
        <v>40</v>
      </c>
      <c r="G3382" s="4">
        <v>43945.005196759259</v>
      </c>
      <c r="H3382" s="4">
        <v>43945.00587962963</v>
      </c>
      <c r="I3382" t="s">
        <v>2438</v>
      </c>
      <c r="J3382" s="5">
        <v>58.99999999999999999999999999999999999997</v>
      </c>
      <c r="K3382" t="s">
        <v>38</v>
      </c>
      <c r="M3382">
        <v>56472</v>
      </c>
      <c r="N3382" t="s">
        <v>705</v>
      </c>
      <c r="O3382" t="s">
        <v>706</v>
      </c>
      <c r="P3382" t="s">
        <v>38</v>
      </c>
      <c r="Q3382" t="s">
        <v>966</v>
      </c>
      <c r="R3382">
        <v>15.99999999999999999999999999999999999998</v>
      </c>
      <c r="S3382" t="s">
        <v>45</v>
      </c>
      <c r="T338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2">
        <v>56473</v>
      </c>
      <c r="V3382" t="s">
        <v>38</v>
      </c>
      <c r="W3382" t="s">
        <v>966</v>
      </c>
      <c r="X3382">
        <v>15.99999999999999999999999999999999999998</v>
      </c>
      <c r="Y3382">
        <v>0</v>
      </c>
      <c r="Z3382" t="s">
        <v>46</v>
      </c>
      <c r="AA3382">
        <v>56526</v>
      </c>
      <c r="AB3382" t="s">
        <v>2539</v>
      </c>
      <c r="AC3382" t="s">
        <v>103</v>
      </c>
      <c r="AD3382" t="s">
        <v>38</v>
      </c>
      <c r="AE3382" t="s">
        <v>49</v>
      </c>
      <c r="AF3382" t="s">
        <v>50</v>
      </c>
      <c r="AG3382">
        <v>0</v>
      </c>
      <c r="AH3382">
        <v>0</v>
      </c>
      <c r="AI3382" t="s">
        <v>51</v>
      </c>
      <c r="AJ3382" t="s">
        <v>51</v>
      </c>
      <c r="AK3382" t="s">
        <v>51</v>
      </c>
    </row>
    <row r="3383" spans="1:37" x14ac:dyDescent="0.2">
      <c r="A3383">
        <v>56471</v>
      </c>
      <c r="B3383" t="s">
        <v>37</v>
      </c>
      <c r="C3383" t="s">
        <v>38</v>
      </c>
      <c r="D3383" t="s">
        <v>674</v>
      </c>
      <c r="E3383" t="s">
        <v>40</v>
      </c>
      <c r="G3383" s="4">
        <v>43945.005196759259</v>
      </c>
      <c r="H3383" s="4">
        <v>43945.00587962963</v>
      </c>
      <c r="I3383" t="s">
        <v>2438</v>
      </c>
      <c r="J3383" s="5">
        <v>58.99999999999999999999999999999999999997</v>
      </c>
      <c r="K3383" t="s">
        <v>38</v>
      </c>
      <c r="M3383">
        <v>56472</v>
      </c>
      <c r="N3383" t="s">
        <v>705</v>
      </c>
      <c r="O3383" t="s">
        <v>706</v>
      </c>
      <c r="P3383" t="s">
        <v>38</v>
      </c>
      <c r="Q3383" t="s">
        <v>966</v>
      </c>
      <c r="R3383">
        <v>15.99999999999999999999999999999999999998</v>
      </c>
      <c r="S3383" t="s">
        <v>45</v>
      </c>
      <c r="T338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3">
        <v>56473</v>
      </c>
      <c r="V3383" t="s">
        <v>38</v>
      </c>
      <c r="W3383" t="s">
        <v>966</v>
      </c>
      <c r="X3383">
        <v>15.99999999999999999999999999999999999998</v>
      </c>
      <c r="Y3383">
        <v>0</v>
      </c>
      <c r="Z3383" t="s">
        <v>46</v>
      </c>
      <c r="AA3383">
        <v>56525</v>
      </c>
      <c r="AB3383" t="s">
        <v>2540</v>
      </c>
      <c r="AC3383" t="s">
        <v>103</v>
      </c>
      <c r="AD3383" t="s">
        <v>38</v>
      </c>
      <c r="AE3383" t="s">
        <v>49</v>
      </c>
      <c r="AF3383" t="s">
        <v>50</v>
      </c>
      <c r="AG3383">
        <v>0</v>
      </c>
      <c r="AH3383">
        <v>0</v>
      </c>
      <c r="AI3383" t="s">
        <v>51</v>
      </c>
      <c r="AJ3383" t="s">
        <v>51</v>
      </c>
      <c r="AK3383" t="s">
        <v>51</v>
      </c>
    </row>
    <row r="3384" spans="1:37" x14ac:dyDescent="0.2">
      <c r="A3384">
        <v>56471</v>
      </c>
      <c r="B3384" t="s">
        <v>37</v>
      </c>
      <c r="C3384" t="s">
        <v>38</v>
      </c>
      <c r="D3384" t="s">
        <v>674</v>
      </c>
      <c r="E3384" t="s">
        <v>40</v>
      </c>
      <c r="G3384" s="4">
        <v>43945.005196759259</v>
      </c>
      <c r="H3384" s="4">
        <v>43945.00587962963</v>
      </c>
      <c r="I3384" t="s">
        <v>2438</v>
      </c>
      <c r="J3384" s="5">
        <v>58.99999999999999999999999999999999999997</v>
      </c>
      <c r="K3384" t="s">
        <v>38</v>
      </c>
      <c r="M3384">
        <v>56472</v>
      </c>
      <c r="N3384" t="s">
        <v>705</v>
      </c>
      <c r="O3384" t="s">
        <v>706</v>
      </c>
      <c r="P3384" t="s">
        <v>38</v>
      </c>
      <c r="Q3384" t="s">
        <v>966</v>
      </c>
      <c r="R3384">
        <v>15.99999999999999999999999999999999999998</v>
      </c>
      <c r="S3384" t="s">
        <v>45</v>
      </c>
      <c r="T338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4">
        <v>56473</v>
      </c>
      <c r="V3384" t="s">
        <v>38</v>
      </c>
      <c r="W3384" t="s">
        <v>966</v>
      </c>
      <c r="X3384">
        <v>15.99999999999999999999999999999999999998</v>
      </c>
      <c r="Y3384">
        <v>0</v>
      </c>
      <c r="Z3384" t="s">
        <v>46</v>
      </c>
      <c r="AA3384">
        <v>56524</v>
      </c>
      <c r="AB3384" t="s">
        <v>2541</v>
      </c>
      <c r="AC3384" t="s">
        <v>103</v>
      </c>
      <c r="AD3384" t="s">
        <v>38</v>
      </c>
      <c r="AE3384" t="s">
        <v>49</v>
      </c>
      <c r="AF3384" t="s">
        <v>50</v>
      </c>
      <c r="AG3384">
        <v>0</v>
      </c>
      <c r="AH3384">
        <v>0</v>
      </c>
      <c r="AI3384" t="s">
        <v>51</v>
      </c>
      <c r="AJ3384" t="s">
        <v>51</v>
      </c>
      <c r="AK3384" t="s">
        <v>51</v>
      </c>
    </row>
    <row r="3385" spans="1:37" x14ac:dyDescent="0.2">
      <c r="A3385">
        <v>56471</v>
      </c>
      <c r="B3385" t="s">
        <v>37</v>
      </c>
      <c r="C3385" t="s">
        <v>38</v>
      </c>
      <c r="D3385" t="s">
        <v>674</v>
      </c>
      <c r="E3385" t="s">
        <v>40</v>
      </c>
      <c r="G3385" s="4">
        <v>43945.005196759259</v>
      </c>
      <c r="H3385" s="4">
        <v>43945.00587962963</v>
      </c>
      <c r="I3385" t="s">
        <v>2438</v>
      </c>
      <c r="J3385" s="5">
        <v>58.99999999999999999999999999999999999997</v>
      </c>
      <c r="K3385" t="s">
        <v>38</v>
      </c>
      <c r="M3385">
        <v>56472</v>
      </c>
      <c r="N3385" t="s">
        <v>705</v>
      </c>
      <c r="O3385" t="s">
        <v>706</v>
      </c>
      <c r="P3385" t="s">
        <v>38</v>
      </c>
      <c r="Q3385" t="s">
        <v>966</v>
      </c>
      <c r="R3385">
        <v>15.99999999999999999999999999999999999998</v>
      </c>
      <c r="S3385" t="s">
        <v>45</v>
      </c>
      <c r="T338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5">
        <v>56473</v>
      </c>
      <c r="V3385" t="s">
        <v>38</v>
      </c>
      <c r="W3385" t="s">
        <v>966</v>
      </c>
      <c r="X3385">
        <v>15.99999999999999999999999999999999999998</v>
      </c>
      <c r="Y3385">
        <v>0</v>
      </c>
      <c r="Z3385" t="s">
        <v>46</v>
      </c>
      <c r="AA3385">
        <v>56523</v>
      </c>
      <c r="AB3385" t="s">
        <v>2542</v>
      </c>
      <c r="AC3385" t="s">
        <v>103</v>
      </c>
      <c r="AD3385" t="s">
        <v>38</v>
      </c>
      <c r="AE3385" t="s">
        <v>49</v>
      </c>
      <c r="AF3385" t="s">
        <v>50</v>
      </c>
      <c r="AG3385">
        <v>0</v>
      </c>
      <c r="AH3385">
        <v>0</v>
      </c>
      <c r="AI3385" t="s">
        <v>51</v>
      </c>
      <c r="AJ3385" t="s">
        <v>51</v>
      </c>
      <c r="AK3385" t="s">
        <v>51</v>
      </c>
    </row>
    <row r="3386" spans="1:37" x14ac:dyDescent="0.2">
      <c r="A3386">
        <v>56471</v>
      </c>
      <c r="B3386" t="s">
        <v>37</v>
      </c>
      <c r="C3386" t="s">
        <v>38</v>
      </c>
      <c r="D3386" t="s">
        <v>674</v>
      </c>
      <c r="E3386" t="s">
        <v>40</v>
      </c>
      <c r="G3386" s="4">
        <v>43945.005196759259</v>
      </c>
      <c r="H3386" s="4">
        <v>43945.00587962963</v>
      </c>
      <c r="I3386" t="s">
        <v>2438</v>
      </c>
      <c r="J3386" s="5">
        <v>58.99999999999999999999999999999999999997</v>
      </c>
      <c r="K3386" t="s">
        <v>38</v>
      </c>
      <c r="M3386">
        <v>56472</v>
      </c>
      <c r="N3386" t="s">
        <v>705</v>
      </c>
      <c r="O3386" t="s">
        <v>706</v>
      </c>
      <c r="P3386" t="s">
        <v>38</v>
      </c>
      <c r="Q3386" t="s">
        <v>966</v>
      </c>
      <c r="R3386">
        <v>15.99999999999999999999999999999999999998</v>
      </c>
      <c r="S3386" t="s">
        <v>45</v>
      </c>
      <c r="T338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6">
        <v>56473</v>
      </c>
      <c r="V3386" t="s">
        <v>38</v>
      </c>
      <c r="W3386" t="s">
        <v>966</v>
      </c>
      <c r="X3386">
        <v>15.99999999999999999999999999999999999998</v>
      </c>
      <c r="Y3386">
        <v>0</v>
      </c>
      <c r="Z3386" t="s">
        <v>46</v>
      </c>
      <c r="AA3386">
        <v>56522</v>
      </c>
      <c r="AB3386" t="s">
        <v>2543</v>
      </c>
      <c r="AC3386" t="s">
        <v>103</v>
      </c>
      <c r="AD3386" t="s">
        <v>38</v>
      </c>
      <c r="AE3386" t="s">
        <v>49</v>
      </c>
      <c r="AF3386" t="s">
        <v>50</v>
      </c>
      <c r="AG3386">
        <v>0</v>
      </c>
      <c r="AH3386">
        <v>0</v>
      </c>
      <c r="AI3386" t="s">
        <v>51</v>
      </c>
      <c r="AJ3386" t="s">
        <v>51</v>
      </c>
      <c r="AK3386" t="s">
        <v>51</v>
      </c>
    </row>
    <row r="3387" spans="1:37" x14ac:dyDescent="0.2">
      <c r="A3387">
        <v>56471</v>
      </c>
      <c r="B3387" t="s">
        <v>37</v>
      </c>
      <c r="C3387" t="s">
        <v>38</v>
      </c>
      <c r="D3387" t="s">
        <v>674</v>
      </c>
      <c r="E3387" t="s">
        <v>40</v>
      </c>
      <c r="G3387" s="4">
        <v>43945.005196759259</v>
      </c>
      <c r="H3387" s="4">
        <v>43945.00587962963</v>
      </c>
      <c r="I3387" t="s">
        <v>2438</v>
      </c>
      <c r="J3387" s="5">
        <v>58.99999999999999999999999999999999999997</v>
      </c>
      <c r="K3387" t="s">
        <v>38</v>
      </c>
      <c r="M3387">
        <v>56472</v>
      </c>
      <c r="N3387" t="s">
        <v>705</v>
      </c>
      <c r="O3387" t="s">
        <v>706</v>
      </c>
      <c r="P3387" t="s">
        <v>38</v>
      </c>
      <c r="Q3387" t="s">
        <v>966</v>
      </c>
      <c r="R3387">
        <v>15.99999999999999999999999999999999999998</v>
      </c>
      <c r="S3387" t="s">
        <v>45</v>
      </c>
      <c r="T338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7">
        <v>56473</v>
      </c>
      <c r="V3387" t="s">
        <v>38</v>
      </c>
      <c r="W3387" t="s">
        <v>966</v>
      </c>
      <c r="X3387">
        <v>15.99999999999999999999999999999999999998</v>
      </c>
      <c r="Y3387">
        <v>0</v>
      </c>
      <c r="Z3387" t="s">
        <v>46</v>
      </c>
      <c r="AA3387">
        <v>56521</v>
      </c>
      <c r="AB3387" t="s">
        <v>2544</v>
      </c>
      <c r="AC3387" t="s">
        <v>103</v>
      </c>
      <c r="AD3387" t="s">
        <v>38</v>
      </c>
      <c r="AE3387" t="s">
        <v>49</v>
      </c>
      <c r="AF3387" t="s">
        <v>50</v>
      </c>
      <c r="AG3387">
        <v>0</v>
      </c>
      <c r="AH3387">
        <v>0</v>
      </c>
      <c r="AI3387" t="s">
        <v>51</v>
      </c>
      <c r="AJ3387" t="s">
        <v>51</v>
      </c>
      <c r="AK3387" t="s">
        <v>51</v>
      </c>
    </row>
    <row r="3388" spans="1:37" x14ac:dyDescent="0.2">
      <c r="A3388">
        <v>56471</v>
      </c>
      <c r="B3388" t="s">
        <v>37</v>
      </c>
      <c r="C3388" t="s">
        <v>38</v>
      </c>
      <c r="D3388" t="s">
        <v>674</v>
      </c>
      <c r="E3388" t="s">
        <v>40</v>
      </c>
      <c r="G3388" s="4">
        <v>43945.005196759259</v>
      </c>
      <c r="H3388" s="4">
        <v>43945.00587962963</v>
      </c>
      <c r="I3388" t="s">
        <v>2438</v>
      </c>
      <c r="J3388" s="5">
        <v>58.99999999999999999999999999999999999997</v>
      </c>
      <c r="K3388" t="s">
        <v>38</v>
      </c>
      <c r="M3388">
        <v>56472</v>
      </c>
      <c r="N3388" t="s">
        <v>705</v>
      </c>
      <c r="O3388" t="s">
        <v>706</v>
      </c>
      <c r="P3388" t="s">
        <v>38</v>
      </c>
      <c r="Q3388" t="s">
        <v>966</v>
      </c>
      <c r="R3388">
        <v>15.99999999999999999999999999999999999998</v>
      </c>
      <c r="S3388" t="s">
        <v>45</v>
      </c>
      <c r="T338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8">
        <v>56473</v>
      </c>
      <c r="V3388" t="s">
        <v>38</v>
      </c>
      <c r="W3388" t="s">
        <v>966</v>
      </c>
      <c r="X3388">
        <v>15.99999999999999999999999999999999999998</v>
      </c>
      <c r="Y3388">
        <v>0</v>
      </c>
      <c r="Z3388" t="s">
        <v>46</v>
      </c>
      <c r="AA3388">
        <v>56520</v>
      </c>
      <c r="AB3388" t="s">
        <v>2545</v>
      </c>
      <c r="AC3388" t="s">
        <v>103</v>
      </c>
      <c r="AD3388" t="s">
        <v>38</v>
      </c>
      <c r="AE3388" t="s">
        <v>49</v>
      </c>
      <c r="AF3388" t="s">
        <v>50</v>
      </c>
      <c r="AG3388">
        <v>0</v>
      </c>
      <c r="AH3388">
        <v>0</v>
      </c>
      <c r="AI3388" t="s">
        <v>51</v>
      </c>
      <c r="AJ3388" t="s">
        <v>51</v>
      </c>
      <c r="AK3388" t="s">
        <v>51</v>
      </c>
    </row>
    <row r="3389" spans="1:37" x14ac:dyDescent="0.2">
      <c r="A3389">
        <v>56471</v>
      </c>
      <c r="B3389" t="s">
        <v>37</v>
      </c>
      <c r="C3389" t="s">
        <v>38</v>
      </c>
      <c r="D3389" t="s">
        <v>674</v>
      </c>
      <c r="E3389" t="s">
        <v>40</v>
      </c>
      <c r="G3389" s="4">
        <v>43945.005196759259</v>
      </c>
      <c r="H3389" s="4">
        <v>43945.00587962963</v>
      </c>
      <c r="I3389" t="s">
        <v>2438</v>
      </c>
      <c r="J3389" s="5">
        <v>58.99999999999999999999999999999999999997</v>
      </c>
      <c r="K3389" t="s">
        <v>38</v>
      </c>
      <c r="M3389">
        <v>56472</v>
      </c>
      <c r="N3389" t="s">
        <v>705</v>
      </c>
      <c r="O3389" t="s">
        <v>706</v>
      </c>
      <c r="P3389" t="s">
        <v>38</v>
      </c>
      <c r="Q3389" t="s">
        <v>966</v>
      </c>
      <c r="R3389">
        <v>15.99999999999999999999999999999999999998</v>
      </c>
      <c r="S3389" t="s">
        <v>45</v>
      </c>
      <c r="T338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89">
        <v>56473</v>
      </c>
      <c r="V3389" t="s">
        <v>38</v>
      </c>
      <c r="W3389" t="s">
        <v>966</v>
      </c>
      <c r="X3389">
        <v>15.99999999999999999999999999999999999998</v>
      </c>
      <c r="Y3389">
        <v>0</v>
      </c>
      <c r="Z3389" t="s">
        <v>46</v>
      </c>
      <c r="AA3389">
        <v>56519</v>
      </c>
      <c r="AB3389" t="s">
        <v>2546</v>
      </c>
      <c r="AC3389" t="s">
        <v>103</v>
      </c>
      <c r="AD3389" t="s">
        <v>38</v>
      </c>
      <c r="AE3389" t="s">
        <v>49</v>
      </c>
      <c r="AF3389" t="s">
        <v>50</v>
      </c>
      <c r="AG3389">
        <v>0</v>
      </c>
      <c r="AH3389">
        <v>0</v>
      </c>
      <c r="AI3389" t="s">
        <v>51</v>
      </c>
      <c r="AJ3389" t="s">
        <v>51</v>
      </c>
      <c r="AK3389" t="s">
        <v>51</v>
      </c>
    </row>
    <row r="3390" spans="1:37" x14ac:dyDescent="0.2">
      <c r="A3390">
        <v>56471</v>
      </c>
      <c r="B3390" t="s">
        <v>37</v>
      </c>
      <c r="C3390" t="s">
        <v>38</v>
      </c>
      <c r="D3390" t="s">
        <v>674</v>
      </c>
      <c r="E3390" t="s">
        <v>40</v>
      </c>
      <c r="G3390" s="4">
        <v>43945.005196759259</v>
      </c>
      <c r="H3390" s="4">
        <v>43945.00587962963</v>
      </c>
      <c r="I3390" t="s">
        <v>2438</v>
      </c>
      <c r="J3390" s="5">
        <v>58.99999999999999999999999999999999999997</v>
      </c>
      <c r="K3390" t="s">
        <v>38</v>
      </c>
      <c r="M3390">
        <v>56472</v>
      </c>
      <c r="N3390" t="s">
        <v>705</v>
      </c>
      <c r="O3390" t="s">
        <v>706</v>
      </c>
      <c r="P3390" t="s">
        <v>38</v>
      </c>
      <c r="Q3390" t="s">
        <v>966</v>
      </c>
      <c r="R3390">
        <v>15.99999999999999999999999999999999999998</v>
      </c>
      <c r="S3390" t="s">
        <v>45</v>
      </c>
      <c r="T339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0">
        <v>56473</v>
      </c>
      <c r="V3390" t="s">
        <v>38</v>
      </c>
      <c r="W3390" t="s">
        <v>966</v>
      </c>
      <c r="X3390">
        <v>15.99999999999999999999999999999999999998</v>
      </c>
      <c r="Y3390">
        <v>0</v>
      </c>
      <c r="Z3390" t="s">
        <v>46</v>
      </c>
      <c r="AA3390">
        <v>56518</v>
      </c>
      <c r="AB3390" t="s">
        <v>2547</v>
      </c>
      <c r="AC3390" t="s">
        <v>103</v>
      </c>
      <c r="AD3390" t="s">
        <v>38</v>
      </c>
      <c r="AE3390" t="s">
        <v>49</v>
      </c>
      <c r="AF3390" t="s">
        <v>50</v>
      </c>
      <c r="AG3390">
        <v>0</v>
      </c>
      <c r="AH3390">
        <v>0</v>
      </c>
      <c r="AI3390" t="s">
        <v>51</v>
      </c>
      <c r="AJ3390" t="s">
        <v>51</v>
      </c>
      <c r="AK3390" t="s">
        <v>51</v>
      </c>
    </row>
    <row r="3391" spans="1:37" x14ac:dyDescent="0.2">
      <c r="A3391">
        <v>56471</v>
      </c>
      <c r="B3391" t="s">
        <v>37</v>
      </c>
      <c r="C3391" t="s">
        <v>38</v>
      </c>
      <c r="D3391" t="s">
        <v>674</v>
      </c>
      <c r="E3391" t="s">
        <v>40</v>
      </c>
      <c r="G3391" s="4">
        <v>43945.005196759259</v>
      </c>
      <c r="H3391" s="4">
        <v>43945.00587962963</v>
      </c>
      <c r="I3391" t="s">
        <v>2438</v>
      </c>
      <c r="J3391" s="5">
        <v>58.99999999999999999999999999999999999997</v>
      </c>
      <c r="K3391" t="s">
        <v>38</v>
      </c>
      <c r="M3391">
        <v>56472</v>
      </c>
      <c r="N3391" t="s">
        <v>705</v>
      </c>
      <c r="O3391" t="s">
        <v>706</v>
      </c>
      <c r="P3391" t="s">
        <v>38</v>
      </c>
      <c r="Q3391" t="s">
        <v>966</v>
      </c>
      <c r="R3391">
        <v>15.99999999999999999999999999999999999998</v>
      </c>
      <c r="S3391" t="s">
        <v>45</v>
      </c>
      <c r="T339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1">
        <v>56473</v>
      </c>
      <c r="V3391" t="s">
        <v>38</v>
      </c>
      <c r="W3391" t="s">
        <v>966</v>
      </c>
      <c r="X3391">
        <v>15.99999999999999999999999999999999999998</v>
      </c>
      <c r="Y3391">
        <v>0</v>
      </c>
      <c r="Z3391" t="s">
        <v>46</v>
      </c>
      <c r="AA3391">
        <v>56517</v>
      </c>
      <c r="AB3391" t="s">
        <v>2548</v>
      </c>
      <c r="AC3391" t="s">
        <v>103</v>
      </c>
      <c r="AD3391" t="s">
        <v>38</v>
      </c>
      <c r="AE3391" t="s">
        <v>49</v>
      </c>
      <c r="AF3391" t="s">
        <v>50</v>
      </c>
      <c r="AG3391">
        <v>0</v>
      </c>
      <c r="AH3391">
        <v>0</v>
      </c>
      <c r="AI3391" t="s">
        <v>51</v>
      </c>
      <c r="AJ3391" t="s">
        <v>51</v>
      </c>
      <c r="AK3391" t="s">
        <v>51</v>
      </c>
    </row>
    <row r="3392" spans="1:37" x14ac:dyDescent="0.2">
      <c r="A3392">
        <v>56471</v>
      </c>
      <c r="B3392" t="s">
        <v>37</v>
      </c>
      <c r="C3392" t="s">
        <v>38</v>
      </c>
      <c r="D3392" t="s">
        <v>674</v>
      </c>
      <c r="E3392" t="s">
        <v>40</v>
      </c>
      <c r="G3392" s="4">
        <v>43945.005196759259</v>
      </c>
      <c r="H3392" s="4">
        <v>43945.00587962963</v>
      </c>
      <c r="I3392" t="s">
        <v>2438</v>
      </c>
      <c r="J3392" s="5">
        <v>58.99999999999999999999999999999999999997</v>
      </c>
      <c r="K3392" t="s">
        <v>38</v>
      </c>
      <c r="M3392">
        <v>56472</v>
      </c>
      <c r="N3392" t="s">
        <v>705</v>
      </c>
      <c r="O3392" t="s">
        <v>706</v>
      </c>
      <c r="P3392" t="s">
        <v>38</v>
      </c>
      <c r="Q3392" t="s">
        <v>966</v>
      </c>
      <c r="R3392">
        <v>15.99999999999999999999999999999999999998</v>
      </c>
      <c r="S3392" t="s">
        <v>45</v>
      </c>
      <c r="T339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2">
        <v>56473</v>
      </c>
      <c r="V3392" t="s">
        <v>38</v>
      </c>
      <c r="W3392" t="s">
        <v>966</v>
      </c>
      <c r="X3392">
        <v>15.99999999999999999999999999999999999998</v>
      </c>
      <c r="Y3392">
        <v>0</v>
      </c>
      <c r="Z3392" t="s">
        <v>46</v>
      </c>
      <c r="AA3392">
        <v>56516</v>
      </c>
      <c r="AB3392" t="s">
        <v>2549</v>
      </c>
      <c r="AC3392" t="s">
        <v>103</v>
      </c>
      <c r="AD3392" t="s">
        <v>38</v>
      </c>
      <c r="AE3392" t="s">
        <v>49</v>
      </c>
      <c r="AF3392" t="s">
        <v>50</v>
      </c>
      <c r="AG3392">
        <v>0</v>
      </c>
      <c r="AH3392">
        <v>0</v>
      </c>
      <c r="AI3392" t="s">
        <v>51</v>
      </c>
      <c r="AJ3392" t="s">
        <v>51</v>
      </c>
      <c r="AK3392" t="s">
        <v>51</v>
      </c>
    </row>
    <row r="3393" spans="1:37" x14ac:dyDescent="0.2">
      <c r="A3393">
        <v>56471</v>
      </c>
      <c r="B3393" t="s">
        <v>37</v>
      </c>
      <c r="C3393" t="s">
        <v>38</v>
      </c>
      <c r="D3393" t="s">
        <v>674</v>
      </c>
      <c r="E3393" t="s">
        <v>40</v>
      </c>
      <c r="G3393" s="4">
        <v>43945.005196759259</v>
      </c>
      <c r="H3393" s="4">
        <v>43945.00587962963</v>
      </c>
      <c r="I3393" t="s">
        <v>2438</v>
      </c>
      <c r="J3393" s="5">
        <v>58.99999999999999999999999999999999999997</v>
      </c>
      <c r="K3393" t="s">
        <v>38</v>
      </c>
      <c r="M3393">
        <v>56472</v>
      </c>
      <c r="N3393" t="s">
        <v>705</v>
      </c>
      <c r="O3393" t="s">
        <v>706</v>
      </c>
      <c r="P3393" t="s">
        <v>38</v>
      </c>
      <c r="Q3393" t="s">
        <v>966</v>
      </c>
      <c r="R3393">
        <v>15.99999999999999999999999999999999999998</v>
      </c>
      <c r="S3393" t="s">
        <v>45</v>
      </c>
      <c r="T339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3">
        <v>56473</v>
      </c>
      <c r="V3393" t="s">
        <v>38</v>
      </c>
      <c r="W3393" t="s">
        <v>966</v>
      </c>
      <c r="X3393">
        <v>15.99999999999999999999999999999999999998</v>
      </c>
      <c r="Y3393">
        <v>0</v>
      </c>
      <c r="Z3393" t="s">
        <v>46</v>
      </c>
      <c r="AA3393">
        <v>56515</v>
      </c>
      <c r="AB3393" t="s">
        <v>2550</v>
      </c>
      <c r="AC3393" t="s">
        <v>103</v>
      </c>
      <c r="AD3393" t="s">
        <v>38</v>
      </c>
      <c r="AE3393" t="s">
        <v>49</v>
      </c>
      <c r="AF3393" t="s">
        <v>50</v>
      </c>
      <c r="AG3393">
        <v>0</v>
      </c>
      <c r="AH3393">
        <v>0</v>
      </c>
      <c r="AI3393" t="s">
        <v>51</v>
      </c>
      <c r="AJ3393" t="s">
        <v>51</v>
      </c>
      <c r="AK3393" t="s">
        <v>51</v>
      </c>
    </row>
    <row r="3394" spans="1:37" x14ac:dyDescent="0.2">
      <c r="A3394">
        <v>56471</v>
      </c>
      <c r="B3394" t="s">
        <v>37</v>
      </c>
      <c r="C3394" t="s">
        <v>38</v>
      </c>
      <c r="D3394" t="s">
        <v>674</v>
      </c>
      <c r="E3394" t="s">
        <v>40</v>
      </c>
      <c r="G3394" s="4">
        <v>43945.005196759259</v>
      </c>
      <c r="H3394" s="4">
        <v>43945.00587962963</v>
      </c>
      <c r="I3394" t="s">
        <v>2438</v>
      </c>
      <c r="J3394" s="5">
        <v>58.99999999999999999999999999999999999997</v>
      </c>
      <c r="K3394" t="s">
        <v>38</v>
      </c>
      <c r="M3394">
        <v>56472</v>
      </c>
      <c r="N3394" t="s">
        <v>705</v>
      </c>
      <c r="O3394" t="s">
        <v>706</v>
      </c>
      <c r="P3394" t="s">
        <v>38</v>
      </c>
      <c r="Q3394" t="s">
        <v>966</v>
      </c>
      <c r="R3394">
        <v>15.99999999999999999999999999999999999998</v>
      </c>
      <c r="S3394" t="s">
        <v>45</v>
      </c>
      <c r="T339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4">
        <v>56473</v>
      </c>
      <c r="V3394" t="s">
        <v>38</v>
      </c>
      <c r="W3394" t="s">
        <v>966</v>
      </c>
      <c r="X3394">
        <v>15.99999999999999999999999999999999999998</v>
      </c>
      <c r="Y3394">
        <v>0</v>
      </c>
      <c r="Z3394" t="s">
        <v>46</v>
      </c>
      <c r="AA3394">
        <v>56514</v>
      </c>
      <c r="AB3394" t="s">
        <v>2551</v>
      </c>
      <c r="AC3394" t="s">
        <v>103</v>
      </c>
      <c r="AD3394" t="s">
        <v>38</v>
      </c>
      <c r="AE3394" t="s">
        <v>49</v>
      </c>
      <c r="AF3394" t="s">
        <v>50</v>
      </c>
      <c r="AG3394">
        <v>0</v>
      </c>
      <c r="AH3394">
        <v>0</v>
      </c>
      <c r="AI3394" t="s">
        <v>51</v>
      </c>
      <c r="AJ3394" t="s">
        <v>51</v>
      </c>
      <c r="AK3394" t="s">
        <v>51</v>
      </c>
    </row>
    <row r="3395" spans="1:37" x14ac:dyDescent="0.2">
      <c r="A3395">
        <v>56471</v>
      </c>
      <c r="B3395" t="s">
        <v>37</v>
      </c>
      <c r="C3395" t="s">
        <v>38</v>
      </c>
      <c r="D3395" t="s">
        <v>674</v>
      </c>
      <c r="E3395" t="s">
        <v>40</v>
      </c>
      <c r="G3395" s="4">
        <v>43945.005196759259</v>
      </c>
      <c r="H3395" s="4">
        <v>43945.00587962963</v>
      </c>
      <c r="I3395" t="s">
        <v>2438</v>
      </c>
      <c r="J3395" s="5">
        <v>58.99999999999999999999999999999999999997</v>
      </c>
      <c r="K3395" t="s">
        <v>38</v>
      </c>
      <c r="M3395">
        <v>56472</v>
      </c>
      <c r="N3395" t="s">
        <v>705</v>
      </c>
      <c r="O3395" t="s">
        <v>706</v>
      </c>
      <c r="P3395" t="s">
        <v>38</v>
      </c>
      <c r="Q3395" t="s">
        <v>966</v>
      </c>
      <c r="R3395">
        <v>15.99999999999999999999999999999999999998</v>
      </c>
      <c r="S3395" t="s">
        <v>45</v>
      </c>
      <c r="T339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5">
        <v>56473</v>
      </c>
      <c r="V3395" t="s">
        <v>38</v>
      </c>
      <c r="W3395" t="s">
        <v>966</v>
      </c>
      <c r="X3395">
        <v>15.99999999999999999999999999999999999998</v>
      </c>
      <c r="Y3395">
        <v>0</v>
      </c>
      <c r="Z3395" t="s">
        <v>46</v>
      </c>
      <c r="AA3395">
        <v>56513</v>
      </c>
      <c r="AB3395" t="s">
        <v>2552</v>
      </c>
      <c r="AC3395" t="s">
        <v>103</v>
      </c>
      <c r="AD3395" t="s">
        <v>38</v>
      </c>
      <c r="AE3395" t="s">
        <v>49</v>
      </c>
      <c r="AF3395" t="s">
        <v>50</v>
      </c>
      <c r="AG3395">
        <v>0</v>
      </c>
      <c r="AH3395">
        <v>0</v>
      </c>
      <c r="AI3395" t="s">
        <v>51</v>
      </c>
      <c r="AJ3395" t="s">
        <v>51</v>
      </c>
      <c r="AK3395" t="s">
        <v>51</v>
      </c>
    </row>
    <row r="3396" spans="1:37" x14ac:dyDescent="0.2">
      <c r="A3396">
        <v>56471</v>
      </c>
      <c r="B3396" t="s">
        <v>37</v>
      </c>
      <c r="C3396" t="s">
        <v>38</v>
      </c>
      <c r="D3396" t="s">
        <v>674</v>
      </c>
      <c r="E3396" t="s">
        <v>40</v>
      </c>
      <c r="G3396" s="4">
        <v>43945.005196759259</v>
      </c>
      <c r="H3396" s="4">
        <v>43945.00587962963</v>
      </c>
      <c r="I3396" t="s">
        <v>2438</v>
      </c>
      <c r="J3396" s="5">
        <v>58.99999999999999999999999999999999999997</v>
      </c>
      <c r="K3396" t="s">
        <v>38</v>
      </c>
      <c r="M3396">
        <v>56472</v>
      </c>
      <c r="N3396" t="s">
        <v>705</v>
      </c>
      <c r="O3396" t="s">
        <v>706</v>
      </c>
      <c r="P3396" t="s">
        <v>38</v>
      </c>
      <c r="Q3396" t="s">
        <v>966</v>
      </c>
      <c r="R3396">
        <v>15.99999999999999999999999999999999999998</v>
      </c>
      <c r="S3396" t="s">
        <v>45</v>
      </c>
      <c r="T339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6">
        <v>56473</v>
      </c>
      <c r="V3396" t="s">
        <v>38</v>
      </c>
      <c r="W3396" t="s">
        <v>966</v>
      </c>
      <c r="X3396">
        <v>15.99999999999999999999999999999999999998</v>
      </c>
      <c r="Y3396">
        <v>0</v>
      </c>
      <c r="Z3396" t="s">
        <v>46</v>
      </c>
      <c r="AA3396">
        <v>56512</v>
      </c>
      <c r="AB3396" t="s">
        <v>2553</v>
      </c>
      <c r="AC3396" t="s">
        <v>103</v>
      </c>
      <c r="AD3396" t="s">
        <v>38</v>
      </c>
      <c r="AE3396" t="s">
        <v>49</v>
      </c>
      <c r="AF3396" t="s">
        <v>50</v>
      </c>
      <c r="AG3396">
        <v>0</v>
      </c>
      <c r="AH3396">
        <v>0</v>
      </c>
      <c r="AI3396" t="s">
        <v>51</v>
      </c>
      <c r="AJ3396" t="s">
        <v>51</v>
      </c>
      <c r="AK3396" t="s">
        <v>51</v>
      </c>
    </row>
    <row r="3397" spans="1:37" x14ac:dyDescent="0.2">
      <c r="A3397">
        <v>56471</v>
      </c>
      <c r="B3397" t="s">
        <v>37</v>
      </c>
      <c r="C3397" t="s">
        <v>38</v>
      </c>
      <c r="D3397" t="s">
        <v>674</v>
      </c>
      <c r="E3397" t="s">
        <v>40</v>
      </c>
      <c r="G3397" s="4">
        <v>43945.005196759259</v>
      </c>
      <c r="H3397" s="4">
        <v>43945.00587962963</v>
      </c>
      <c r="I3397" t="s">
        <v>2438</v>
      </c>
      <c r="J3397" s="5">
        <v>58.99999999999999999999999999999999999997</v>
      </c>
      <c r="K3397" t="s">
        <v>38</v>
      </c>
      <c r="M3397">
        <v>56472</v>
      </c>
      <c r="N3397" t="s">
        <v>705</v>
      </c>
      <c r="O3397" t="s">
        <v>706</v>
      </c>
      <c r="P3397" t="s">
        <v>38</v>
      </c>
      <c r="Q3397" t="s">
        <v>966</v>
      </c>
      <c r="R3397">
        <v>15.99999999999999999999999999999999999998</v>
      </c>
      <c r="S3397" t="s">
        <v>45</v>
      </c>
      <c r="T339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7">
        <v>56473</v>
      </c>
      <c r="V3397" t="s">
        <v>38</v>
      </c>
      <c r="W3397" t="s">
        <v>966</v>
      </c>
      <c r="X3397">
        <v>15.99999999999999999999999999999999999998</v>
      </c>
      <c r="Y3397">
        <v>0</v>
      </c>
      <c r="Z3397" t="s">
        <v>46</v>
      </c>
      <c r="AA3397">
        <v>56511</v>
      </c>
      <c r="AB3397" t="s">
        <v>2554</v>
      </c>
      <c r="AC3397" t="s">
        <v>103</v>
      </c>
      <c r="AD3397" t="s">
        <v>38</v>
      </c>
      <c r="AE3397" t="s">
        <v>49</v>
      </c>
      <c r="AF3397" t="s">
        <v>50</v>
      </c>
      <c r="AG3397">
        <v>0</v>
      </c>
      <c r="AH3397">
        <v>0</v>
      </c>
      <c r="AI3397" t="s">
        <v>51</v>
      </c>
      <c r="AJ3397" t="s">
        <v>51</v>
      </c>
      <c r="AK3397" t="s">
        <v>51</v>
      </c>
    </row>
    <row r="3398" spans="1:37" x14ac:dyDescent="0.2">
      <c r="A3398">
        <v>56471</v>
      </c>
      <c r="B3398" t="s">
        <v>37</v>
      </c>
      <c r="C3398" t="s">
        <v>38</v>
      </c>
      <c r="D3398" t="s">
        <v>674</v>
      </c>
      <c r="E3398" t="s">
        <v>40</v>
      </c>
      <c r="G3398" s="4">
        <v>43945.005196759259</v>
      </c>
      <c r="H3398" s="4">
        <v>43945.00587962963</v>
      </c>
      <c r="I3398" t="s">
        <v>2438</v>
      </c>
      <c r="J3398" s="5">
        <v>58.99999999999999999999999999999999999997</v>
      </c>
      <c r="K3398" t="s">
        <v>38</v>
      </c>
      <c r="M3398">
        <v>56472</v>
      </c>
      <c r="N3398" t="s">
        <v>705</v>
      </c>
      <c r="O3398" t="s">
        <v>706</v>
      </c>
      <c r="P3398" t="s">
        <v>38</v>
      </c>
      <c r="Q3398" t="s">
        <v>966</v>
      </c>
      <c r="R3398">
        <v>15.99999999999999999999999999999999999998</v>
      </c>
      <c r="S3398" t="s">
        <v>45</v>
      </c>
      <c r="T339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8">
        <v>56473</v>
      </c>
      <c r="V3398" t="s">
        <v>38</v>
      </c>
      <c r="W3398" t="s">
        <v>966</v>
      </c>
      <c r="X3398">
        <v>15.99999999999999999999999999999999999998</v>
      </c>
      <c r="Y3398">
        <v>0</v>
      </c>
      <c r="Z3398" t="s">
        <v>46</v>
      </c>
      <c r="AA3398">
        <v>56510</v>
      </c>
      <c r="AB3398" t="s">
        <v>2555</v>
      </c>
      <c r="AC3398" t="s">
        <v>103</v>
      </c>
      <c r="AD3398" t="s">
        <v>38</v>
      </c>
      <c r="AE3398" t="s">
        <v>49</v>
      </c>
      <c r="AF3398" t="s">
        <v>50</v>
      </c>
      <c r="AG3398">
        <v>0</v>
      </c>
      <c r="AH3398">
        <v>0</v>
      </c>
      <c r="AI3398" t="s">
        <v>51</v>
      </c>
      <c r="AJ3398" t="s">
        <v>51</v>
      </c>
      <c r="AK3398" t="s">
        <v>51</v>
      </c>
    </row>
    <row r="3399" spans="1:37" x14ac:dyDescent="0.2">
      <c r="A3399">
        <v>56471</v>
      </c>
      <c r="B3399" t="s">
        <v>37</v>
      </c>
      <c r="C3399" t="s">
        <v>38</v>
      </c>
      <c r="D3399" t="s">
        <v>674</v>
      </c>
      <c r="E3399" t="s">
        <v>40</v>
      </c>
      <c r="G3399" s="4">
        <v>43945.005196759259</v>
      </c>
      <c r="H3399" s="4">
        <v>43945.00587962963</v>
      </c>
      <c r="I3399" t="s">
        <v>2438</v>
      </c>
      <c r="J3399" s="5">
        <v>58.99999999999999999999999999999999999997</v>
      </c>
      <c r="K3399" t="s">
        <v>38</v>
      </c>
      <c r="M3399">
        <v>56472</v>
      </c>
      <c r="N3399" t="s">
        <v>705</v>
      </c>
      <c r="O3399" t="s">
        <v>706</v>
      </c>
      <c r="P3399" t="s">
        <v>38</v>
      </c>
      <c r="Q3399" t="s">
        <v>966</v>
      </c>
      <c r="R3399">
        <v>15.99999999999999999999999999999999999998</v>
      </c>
      <c r="S3399" t="s">
        <v>45</v>
      </c>
      <c r="T339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399">
        <v>56473</v>
      </c>
      <c r="V3399" t="s">
        <v>38</v>
      </c>
      <c r="W3399" t="s">
        <v>966</v>
      </c>
      <c r="X3399">
        <v>15.99999999999999999999999999999999999998</v>
      </c>
      <c r="Y3399">
        <v>0</v>
      </c>
      <c r="Z3399" t="s">
        <v>46</v>
      </c>
      <c r="AA3399">
        <v>56509</v>
      </c>
      <c r="AB3399" t="s">
        <v>2556</v>
      </c>
      <c r="AC3399" t="s">
        <v>103</v>
      </c>
      <c r="AD3399" t="s">
        <v>38</v>
      </c>
      <c r="AE3399" t="s">
        <v>49</v>
      </c>
      <c r="AF3399" t="s">
        <v>50</v>
      </c>
      <c r="AG3399">
        <v>0</v>
      </c>
      <c r="AH3399">
        <v>0</v>
      </c>
      <c r="AI3399" t="s">
        <v>51</v>
      </c>
      <c r="AJ3399" t="s">
        <v>51</v>
      </c>
      <c r="AK3399" t="s">
        <v>51</v>
      </c>
    </row>
    <row r="3400" spans="1:37" x14ac:dyDescent="0.2">
      <c r="A3400">
        <v>56471</v>
      </c>
      <c r="B3400" t="s">
        <v>37</v>
      </c>
      <c r="C3400" t="s">
        <v>38</v>
      </c>
      <c r="D3400" t="s">
        <v>674</v>
      </c>
      <c r="E3400" t="s">
        <v>40</v>
      </c>
      <c r="G3400" s="4">
        <v>43945.005196759259</v>
      </c>
      <c r="H3400" s="4">
        <v>43945.00587962963</v>
      </c>
      <c r="I3400" t="s">
        <v>2438</v>
      </c>
      <c r="J3400" s="5">
        <v>58.99999999999999999999999999999999999997</v>
      </c>
      <c r="K3400" t="s">
        <v>38</v>
      </c>
      <c r="M3400">
        <v>56472</v>
      </c>
      <c r="N3400" t="s">
        <v>705</v>
      </c>
      <c r="O3400" t="s">
        <v>706</v>
      </c>
      <c r="P3400" t="s">
        <v>38</v>
      </c>
      <c r="Q3400" t="s">
        <v>966</v>
      </c>
      <c r="R3400">
        <v>15.99999999999999999999999999999999999998</v>
      </c>
      <c r="S3400" t="s">
        <v>45</v>
      </c>
      <c r="T340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0">
        <v>56473</v>
      </c>
      <c r="V3400" t="s">
        <v>38</v>
      </c>
      <c r="W3400" t="s">
        <v>966</v>
      </c>
      <c r="X3400">
        <v>15.99999999999999999999999999999999999998</v>
      </c>
      <c r="Y3400">
        <v>0</v>
      </c>
      <c r="Z3400" t="s">
        <v>46</v>
      </c>
      <c r="AA3400">
        <v>56508</v>
      </c>
      <c r="AB3400" t="s">
        <v>2557</v>
      </c>
      <c r="AC3400" t="s">
        <v>103</v>
      </c>
      <c r="AD3400" t="s">
        <v>38</v>
      </c>
      <c r="AE3400" t="s">
        <v>49</v>
      </c>
      <c r="AF3400" t="s">
        <v>50</v>
      </c>
      <c r="AG3400">
        <v>0</v>
      </c>
      <c r="AH3400">
        <v>0</v>
      </c>
      <c r="AI3400" t="s">
        <v>51</v>
      </c>
      <c r="AJ3400" t="s">
        <v>51</v>
      </c>
      <c r="AK3400" t="s">
        <v>51</v>
      </c>
    </row>
    <row r="3401" spans="1:37" x14ac:dyDescent="0.2">
      <c r="A3401">
        <v>56471</v>
      </c>
      <c r="B3401" t="s">
        <v>37</v>
      </c>
      <c r="C3401" t="s">
        <v>38</v>
      </c>
      <c r="D3401" t="s">
        <v>674</v>
      </c>
      <c r="E3401" t="s">
        <v>40</v>
      </c>
      <c r="G3401" s="4">
        <v>43945.005196759259</v>
      </c>
      <c r="H3401" s="4">
        <v>43945.00587962963</v>
      </c>
      <c r="I3401" t="s">
        <v>2438</v>
      </c>
      <c r="J3401" s="5">
        <v>58.99999999999999999999999999999999999997</v>
      </c>
      <c r="K3401" t="s">
        <v>38</v>
      </c>
      <c r="M3401">
        <v>56472</v>
      </c>
      <c r="N3401" t="s">
        <v>705</v>
      </c>
      <c r="O3401" t="s">
        <v>706</v>
      </c>
      <c r="P3401" t="s">
        <v>38</v>
      </c>
      <c r="Q3401" t="s">
        <v>966</v>
      </c>
      <c r="R3401">
        <v>15.99999999999999999999999999999999999998</v>
      </c>
      <c r="S3401" t="s">
        <v>45</v>
      </c>
      <c r="T340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1">
        <v>56473</v>
      </c>
      <c r="V3401" t="s">
        <v>38</v>
      </c>
      <c r="W3401" t="s">
        <v>966</v>
      </c>
      <c r="X3401">
        <v>15.99999999999999999999999999999999999998</v>
      </c>
      <c r="Y3401">
        <v>0</v>
      </c>
      <c r="Z3401" t="s">
        <v>46</v>
      </c>
      <c r="AA3401">
        <v>56507</v>
      </c>
      <c r="AB3401" t="s">
        <v>2558</v>
      </c>
      <c r="AC3401" t="s">
        <v>103</v>
      </c>
      <c r="AD3401" t="s">
        <v>38</v>
      </c>
      <c r="AE3401" t="s">
        <v>49</v>
      </c>
      <c r="AF3401" t="s">
        <v>50</v>
      </c>
      <c r="AG3401">
        <v>0</v>
      </c>
      <c r="AH3401">
        <v>0</v>
      </c>
      <c r="AI3401" t="s">
        <v>51</v>
      </c>
      <c r="AJ3401" t="s">
        <v>51</v>
      </c>
      <c r="AK3401" t="s">
        <v>51</v>
      </c>
    </row>
    <row r="3402" spans="1:37" x14ac:dyDescent="0.2">
      <c r="A3402">
        <v>56471</v>
      </c>
      <c r="B3402" t="s">
        <v>37</v>
      </c>
      <c r="C3402" t="s">
        <v>38</v>
      </c>
      <c r="D3402" t="s">
        <v>674</v>
      </c>
      <c r="E3402" t="s">
        <v>40</v>
      </c>
      <c r="G3402" s="4">
        <v>43945.005196759259</v>
      </c>
      <c r="H3402" s="4">
        <v>43945.00587962963</v>
      </c>
      <c r="I3402" t="s">
        <v>2438</v>
      </c>
      <c r="J3402" s="5">
        <v>58.99999999999999999999999999999999999997</v>
      </c>
      <c r="K3402" t="s">
        <v>38</v>
      </c>
      <c r="M3402">
        <v>56472</v>
      </c>
      <c r="N3402" t="s">
        <v>705</v>
      </c>
      <c r="O3402" t="s">
        <v>706</v>
      </c>
      <c r="P3402" t="s">
        <v>38</v>
      </c>
      <c r="Q3402" t="s">
        <v>966</v>
      </c>
      <c r="R3402">
        <v>15.99999999999999999999999999999999999998</v>
      </c>
      <c r="S3402" t="s">
        <v>45</v>
      </c>
      <c r="T340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2">
        <v>56473</v>
      </c>
      <c r="V3402" t="s">
        <v>38</v>
      </c>
      <c r="W3402" t="s">
        <v>966</v>
      </c>
      <c r="X3402">
        <v>15.99999999999999999999999999999999999998</v>
      </c>
      <c r="Y3402">
        <v>0</v>
      </c>
      <c r="Z3402" t="s">
        <v>46</v>
      </c>
      <c r="AA3402">
        <v>56506</v>
      </c>
      <c r="AB3402" t="s">
        <v>2559</v>
      </c>
      <c r="AC3402" t="s">
        <v>103</v>
      </c>
      <c r="AD3402" t="s">
        <v>38</v>
      </c>
      <c r="AE3402" t="s">
        <v>49</v>
      </c>
      <c r="AF3402" t="s">
        <v>50</v>
      </c>
      <c r="AG3402">
        <v>0</v>
      </c>
      <c r="AH3402">
        <v>0</v>
      </c>
      <c r="AI3402" t="s">
        <v>51</v>
      </c>
      <c r="AJ3402" t="s">
        <v>51</v>
      </c>
      <c r="AK3402" t="s">
        <v>51</v>
      </c>
    </row>
    <row r="3403" spans="1:37" x14ac:dyDescent="0.2">
      <c r="A3403">
        <v>56471</v>
      </c>
      <c r="B3403" t="s">
        <v>37</v>
      </c>
      <c r="C3403" t="s">
        <v>38</v>
      </c>
      <c r="D3403" t="s">
        <v>674</v>
      </c>
      <c r="E3403" t="s">
        <v>40</v>
      </c>
      <c r="G3403" s="4">
        <v>43945.005196759259</v>
      </c>
      <c r="H3403" s="4">
        <v>43945.00587962963</v>
      </c>
      <c r="I3403" t="s">
        <v>2438</v>
      </c>
      <c r="J3403" s="5">
        <v>58.99999999999999999999999999999999999997</v>
      </c>
      <c r="K3403" t="s">
        <v>38</v>
      </c>
      <c r="M3403">
        <v>56472</v>
      </c>
      <c r="N3403" t="s">
        <v>705</v>
      </c>
      <c r="O3403" t="s">
        <v>706</v>
      </c>
      <c r="P3403" t="s">
        <v>38</v>
      </c>
      <c r="Q3403" t="s">
        <v>966</v>
      </c>
      <c r="R3403">
        <v>15.99999999999999999999999999999999999998</v>
      </c>
      <c r="S3403" t="s">
        <v>45</v>
      </c>
      <c r="T340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3">
        <v>56473</v>
      </c>
      <c r="V3403" t="s">
        <v>38</v>
      </c>
      <c r="W3403" t="s">
        <v>966</v>
      </c>
      <c r="X3403">
        <v>15.99999999999999999999999999999999999998</v>
      </c>
      <c r="Y3403">
        <v>0</v>
      </c>
      <c r="Z3403" t="s">
        <v>46</v>
      </c>
      <c r="AA3403">
        <v>56505</v>
      </c>
      <c r="AB3403" t="s">
        <v>2560</v>
      </c>
      <c r="AC3403" t="s">
        <v>103</v>
      </c>
      <c r="AD3403" t="s">
        <v>38</v>
      </c>
      <c r="AE3403" t="s">
        <v>49</v>
      </c>
      <c r="AF3403" t="s">
        <v>50</v>
      </c>
      <c r="AG3403">
        <v>0</v>
      </c>
      <c r="AH3403">
        <v>0</v>
      </c>
      <c r="AI3403" t="s">
        <v>51</v>
      </c>
      <c r="AJ3403" t="s">
        <v>51</v>
      </c>
      <c r="AK3403" t="s">
        <v>51</v>
      </c>
    </row>
    <row r="3404" spans="1:37" x14ac:dyDescent="0.2">
      <c r="A3404">
        <v>56471</v>
      </c>
      <c r="B3404" t="s">
        <v>37</v>
      </c>
      <c r="C3404" t="s">
        <v>38</v>
      </c>
      <c r="D3404" t="s">
        <v>674</v>
      </c>
      <c r="E3404" t="s">
        <v>40</v>
      </c>
      <c r="G3404" s="4">
        <v>43945.005196759259</v>
      </c>
      <c r="H3404" s="4">
        <v>43945.00587962963</v>
      </c>
      <c r="I3404" t="s">
        <v>2438</v>
      </c>
      <c r="J3404" s="5">
        <v>58.99999999999999999999999999999999999997</v>
      </c>
      <c r="K3404" t="s">
        <v>38</v>
      </c>
      <c r="M3404">
        <v>56472</v>
      </c>
      <c r="N3404" t="s">
        <v>705</v>
      </c>
      <c r="O3404" t="s">
        <v>706</v>
      </c>
      <c r="P3404" t="s">
        <v>38</v>
      </c>
      <c r="Q3404" t="s">
        <v>966</v>
      </c>
      <c r="R3404">
        <v>15.99999999999999999999999999999999999998</v>
      </c>
      <c r="S3404" t="s">
        <v>45</v>
      </c>
      <c r="T340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4">
        <v>56473</v>
      </c>
      <c r="V3404" t="s">
        <v>38</v>
      </c>
      <c r="W3404" t="s">
        <v>966</v>
      </c>
      <c r="X3404">
        <v>15.99999999999999999999999999999999999998</v>
      </c>
      <c r="Y3404">
        <v>0</v>
      </c>
      <c r="Z3404" t="s">
        <v>46</v>
      </c>
      <c r="AA3404">
        <v>56504</v>
      </c>
      <c r="AB3404" t="s">
        <v>2561</v>
      </c>
      <c r="AC3404" t="s">
        <v>103</v>
      </c>
      <c r="AD3404" t="s">
        <v>38</v>
      </c>
      <c r="AE3404" t="s">
        <v>49</v>
      </c>
      <c r="AF3404" t="s">
        <v>50</v>
      </c>
      <c r="AG3404">
        <v>0</v>
      </c>
      <c r="AH3404">
        <v>0</v>
      </c>
      <c r="AI3404" t="s">
        <v>51</v>
      </c>
      <c r="AJ3404" t="s">
        <v>51</v>
      </c>
      <c r="AK3404" t="s">
        <v>51</v>
      </c>
    </row>
    <row r="3405" spans="1:37" x14ac:dyDescent="0.2">
      <c r="A3405">
        <v>56471</v>
      </c>
      <c r="B3405" t="s">
        <v>37</v>
      </c>
      <c r="C3405" t="s">
        <v>38</v>
      </c>
      <c r="D3405" t="s">
        <v>674</v>
      </c>
      <c r="E3405" t="s">
        <v>40</v>
      </c>
      <c r="G3405" s="4">
        <v>43945.005196759259</v>
      </c>
      <c r="H3405" s="4">
        <v>43945.00587962963</v>
      </c>
      <c r="I3405" t="s">
        <v>2438</v>
      </c>
      <c r="J3405" s="5">
        <v>58.99999999999999999999999999999999999997</v>
      </c>
      <c r="K3405" t="s">
        <v>38</v>
      </c>
      <c r="M3405">
        <v>56472</v>
      </c>
      <c r="N3405" t="s">
        <v>705</v>
      </c>
      <c r="O3405" t="s">
        <v>706</v>
      </c>
      <c r="P3405" t="s">
        <v>38</v>
      </c>
      <c r="Q3405" t="s">
        <v>966</v>
      </c>
      <c r="R3405">
        <v>15.99999999999999999999999999999999999998</v>
      </c>
      <c r="S3405" t="s">
        <v>45</v>
      </c>
      <c r="T340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5">
        <v>56473</v>
      </c>
      <c r="V3405" t="s">
        <v>38</v>
      </c>
      <c r="W3405" t="s">
        <v>966</v>
      </c>
      <c r="X3405">
        <v>15.99999999999999999999999999999999999998</v>
      </c>
      <c r="Y3405">
        <v>0</v>
      </c>
      <c r="Z3405" t="s">
        <v>46</v>
      </c>
      <c r="AA3405">
        <v>56503</v>
      </c>
      <c r="AB3405" t="s">
        <v>2562</v>
      </c>
      <c r="AC3405" t="s">
        <v>103</v>
      </c>
      <c r="AD3405" t="s">
        <v>38</v>
      </c>
      <c r="AE3405" t="s">
        <v>49</v>
      </c>
      <c r="AF3405" t="s">
        <v>50</v>
      </c>
      <c r="AG3405">
        <v>0</v>
      </c>
      <c r="AH3405">
        <v>0</v>
      </c>
      <c r="AI3405" t="s">
        <v>51</v>
      </c>
      <c r="AJ3405" t="s">
        <v>51</v>
      </c>
      <c r="AK3405" t="s">
        <v>51</v>
      </c>
    </row>
    <row r="3406" spans="1:37" x14ac:dyDescent="0.2">
      <c r="A3406">
        <v>56471</v>
      </c>
      <c r="B3406" t="s">
        <v>37</v>
      </c>
      <c r="C3406" t="s">
        <v>38</v>
      </c>
      <c r="D3406" t="s">
        <v>674</v>
      </c>
      <c r="E3406" t="s">
        <v>40</v>
      </c>
      <c r="G3406" s="4">
        <v>43945.005196759259</v>
      </c>
      <c r="H3406" s="4">
        <v>43945.00587962963</v>
      </c>
      <c r="I3406" t="s">
        <v>2438</v>
      </c>
      <c r="J3406" s="5">
        <v>58.99999999999999999999999999999999999997</v>
      </c>
      <c r="K3406" t="s">
        <v>38</v>
      </c>
      <c r="M3406">
        <v>56472</v>
      </c>
      <c r="N3406" t="s">
        <v>705</v>
      </c>
      <c r="O3406" t="s">
        <v>706</v>
      </c>
      <c r="P3406" t="s">
        <v>38</v>
      </c>
      <c r="Q3406" t="s">
        <v>966</v>
      </c>
      <c r="R3406">
        <v>15.99999999999999999999999999999999999998</v>
      </c>
      <c r="S3406" t="s">
        <v>45</v>
      </c>
      <c r="T340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6">
        <v>56473</v>
      </c>
      <c r="V3406" t="s">
        <v>38</v>
      </c>
      <c r="W3406" t="s">
        <v>966</v>
      </c>
      <c r="X3406">
        <v>15.99999999999999999999999999999999999998</v>
      </c>
      <c r="Y3406">
        <v>0</v>
      </c>
      <c r="Z3406" t="s">
        <v>46</v>
      </c>
      <c r="AA3406">
        <v>56502</v>
      </c>
      <c r="AB3406" t="s">
        <v>2563</v>
      </c>
      <c r="AC3406" t="s">
        <v>103</v>
      </c>
      <c r="AD3406" t="s">
        <v>38</v>
      </c>
      <c r="AE3406" t="s">
        <v>49</v>
      </c>
      <c r="AF3406" t="s">
        <v>50</v>
      </c>
      <c r="AG3406">
        <v>0</v>
      </c>
      <c r="AH3406">
        <v>0</v>
      </c>
      <c r="AI3406" t="s">
        <v>51</v>
      </c>
      <c r="AJ3406" t="s">
        <v>51</v>
      </c>
      <c r="AK3406" t="s">
        <v>51</v>
      </c>
    </row>
    <row r="3407" spans="1:37" x14ac:dyDescent="0.2">
      <c r="A3407">
        <v>56471</v>
      </c>
      <c r="B3407" t="s">
        <v>37</v>
      </c>
      <c r="C3407" t="s">
        <v>38</v>
      </c>
      <c r="D3407" t="s">
        <v>674</v>
      </c>
      <c r="E3407" t="s">
        <v>40</v>
      </c>
      <c r="G3407" s="4">
        <v>43945.005196759259</v>
      </c>
      <c r="H3407" s="4">
        <v>43945.00587962963</v>
      </c>
      <c r="I3407" t="s">
        <v>2438</v>
      </c>
      <c r="J3407" s="5">
        <v>58.99999999999999999999999999999999999997</v>
      </c>
      <c r="K3407" t="s">
        <v>38</v>
      </c>
      <c r="M3407">
        <v>56472</v>
      </c>
      <c r="N3407" t="s">
        <v>705</v>
      </c>
      <c r="O3407" t="s">
        <v>706</v>
      </c>
      <c r="P3407" t="s">
        <v>38</v>
      </c>
      <c r="Q3407" t="s">
        <v>966</v>
      </c>
      <c r="R3407">
        <v>15.99999999999999999999999999999999999998</v>
      </c>
      <c r="S3407" t="s">
        <v>45</v>
      </c>
      <c r="T340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7">
        <v>56473</v>
      </c>
      <c r="V3407" t="s">
        <v>38</v>
      </c>
      <c r="W3407" t="s">
        <v>966</v>
      </c>
      <c r="X3407">
        <v>15.99999999999999999999999999999999999998</v>
      </c>
      <c r="Y3407">
        <v>0</v>
      </c>
      <c r="Z3407" t="s">
        <v>46</v>
      </c>
      <c r="AA3407">
        <v>56501</v>
      </c>
      <c r="AB3407" t="s">
        <v>2564</v>
      </c>
      <c r="AC3407" t="s">
        <v>103</v>
      </c>
      <c r="AD3407" t="s">
        <v>38</v>
      </c>
      <c r="AE3407" t="s">
        <v>49</v>
      </c>
      <c r="AF3407" t="s">
        <v>50</v>
      </c>
      <c r="AG3407">
        <v>0</v>
      </c>
      <c r="AH3407">
        <v>0</v>
      </c>
      <c r="AI3407" t="s">
        <v>51</v>
      </c>
      <c r="AJ3407" t="s">
        <v>51</v>
      </c>
      <c r="AK3407" t="s">
        <v>51</v>
      </c>
    </row>
    <row r="3408" spans="1:37" x14ac:dyDescent="0.2">
      <c r="A3408">
        <v>56471</v>
      </c>
      <c r="B3408" t="s">
        <v>37</v>
      </c>
      <c r="C3408" t="s">
        <v>38</v>
      </c>
      <c r="D3408" t="s">
        <v>674</v>
      </c>
      <c r="E3408" t="s">
        <v>40</v>
      </c>
      <c r="G3408" s="4">
        <v>43945.005196759259</v>
      </c>
      <c r="H3408" s="4">
        <v>43945.00587962963</v>
      </c>
      <c r="I3408" t="s">
        <v>2438</v>
      </c>
      <c r="J3408" s="5">
        <v>58.99999999999999999999999999999999999997</v>
      </c>
      <c r="K3408" t="s">
        <v>38</v>
      </c>
      <c r="M3408">
        <v>56472</v>
      </c>
      <c r="N3408" t="s">
        <v>705</v>
      </c>
      <c r="O3408" t="s">
        <v>706</v>
      </c>
      <c r="P3408" t="s">
        <v>38</v>
      </c>
      <c r="Q3408" t="s">
        <v>966</v>
      </c>
      <c r="R3408">
        <v>15.99999999999999999999999999999999999998</v>
      </c>
      <c r="S3408" t="s">
        <v>45</v>
      </c>
      <c r="T340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8">
        <v>56473</v>
      </c>
      <c r="V3408" t="s">
        <v>38</v>
      </c>
      <c r="W3408" t="s">
        <v>966</v>
      </c>
      <c r="X3408">
        <v>15.99999999999999999999999999999999999998</v>
      </c>
      <c r="Y3408">
        <v>0</v>
      </c>
      <c r="Z3408" t="s">
        <v>46</v>
      </c>
      <c r="AA3408">
        <v>56500</v>
      </c>
      <c r="AB3408" t="s">
        <v>2565</v>
      </c>
      <c r="AC3408" t="s">
        <v>103</v>
      </c>
      <c r="AD3408" t="s">
        <v>38</v>
      </c>
      <c r="AE3408" t="s">
        <v>49</v>
      </c>
      <c r="AF3408" t="s">
        <v>50</v>
      </c>
      <c r="AG3408">
        <v>0</v>
      </c>
      <c r="AH3408">
        <v>0</v>
      </c>
      <c r="AI3408" t="s">
        <v>51</v>
      </c>
      <c r="AJ3408" t="s">
        <v>51</v>
      </c>
      <c r="AK3408" t="s">
        <v>51</v>
      </c>
    </row>
    <row r="3409" spans="1:37" x14ac:dyDescent="0.2">
      <c r="A3409">
        <v>56471</v>
      </c>
      <c r="B3409" t="s">
        <v>37</v>
      </c>
      <c r="C3409" t="s">
        <v>38</v>
      </c>
      <c r="D3409" t="s">
        <v>674</v>
      </c>
      <c r="E3409" t="s">
        <v>40</v>
      </c>
      <c r="G3409" s="4">
        <v>43945.005196759259</v>
      </c>
      <c r="H3409" s="4">
        <v>43945.00587962963</v>
      </c>
      <c r="I3409" t="s">
        <v>2438</v>
      </c>
      <c r="J3409" s="5">
        <v>58.99999999999999999999999999999999999997</v>
      </c>
      <c r="K3409" t="s">
        <v>38</v>
      </c>
      <c r="M3409">
        <v>56472</v>
      </c>
      <c r="N3409" t="s">
        <v>705</v>
      </c>
      <c r="O3409" t="s">
        <v>706</v>
      </c>
      <c r="P3409" t="s">
        <v>38</v>
      </c>
      <c r="Q3409" t="s">
        <v>966</v>
      </c>
      <c r="R3409">
        <v>15.99999999999999999999999999999999999998</v>
      </c>
      <c r="S3409" t="s">
        <v>45</v>
      </c>
      <c r="T340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09">
        <v>56473</v>
      </c>
      <c r="V3409" t="s">
        <v>38</v>
      </c>
      <c r="W3409" t="s">
        <v>966</v>
      </c>
      <c r="X3409">
        <v>15.99999999999999999999999999999999999998</v>
      </c>
      <c r="Y3409">
        <v>0</v>
      </c>
      <c r="Z3409" t="s">
        <v>46</v>
      </c>
      <c r="AA3409">
        <v>56499</v>
      </c>
      <c r="AB3409" t="s">
        <v>2566</v>
      </c>
      <c r="AC3409" t="s">
        <v>103</v>
      </c>
      <c r="AD3409" t="s">
        <v>38</v>
      </c>
      <c r="AE3409" t="s">
        <v>49</v>
      </c>
      <c r="AF3409" t="s">
        <v>50</v>
      </c>
      <c r="AG3409">
        <v>0</v>
      </c>
      <c r="AH3409">
        <v>0</v>
      </c>
      <c r="AI3409" t="s">
        <v>51</v>
      </c>
      <c r="AJ3409" t="s">
        <v>51</v>
      </c>
      <c r="AK3409" t="s">
        <v>51</v>
      </c>
    </row>
    <row r="3410" spans="1:37" x14ac:dyDescent="0.2">
      <c r="A3410">
        <v>56471</v>
      </c>
      <c r="B3410" t="s">
        <v>37</v>
      </c>
      <c r="C3410" t="s">
        <v>38</v>
      </c>
      <c r="D3410" t="s">
        <v>674</v>
      </c>
      <c r="E3410" t="s">
        <v>40</v>
      </c>
      <c r="G3410" s="4">
        <v>43945.005196759259</v>
      </c>
      <c r="H3410" s="4">
        <v>43945.00587962963</v>
      </c>
      <c r="I3410" t="s">
        <v>2438</v>
      </c>
      <c r="J3410" s="5">
        <v>58.99999999999999999999999999999999999997</v>
      </c>
      <c r="K3410" t="s">
        <v>38</v>
      </c>
      <c r="M3410">
        <v>56472</v>
      </c>
      <c r="N3410" t="s">
        <v>705</v>
      </c>
      <c r="O3410" t="s">
        <v>706</v>
      </c>
      <c r="P3410" t="s">
        <v>38</v>
      </c>
      <c r="Q3410" t="s">
        <v>966</v>
      </c>
      <c r="R3410">
        <v>15.99999999999999999999999999999999999998</v>
      </c>
      <c r="S3410" t="s">
        <v>45</v>
      </c>
      <c r="T341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0">
        <v>56473</v>
      </c>
      <c r="V3410" t="s">
        <v>38</v>
      </c>
      <c r="W3410" t="s">
        <v>966</v>
      </c>
      <c r="X3410">
        <v>15.99999999999999999999999999999999999998</v>
      </c>
      <c r="Y3410">
        <v>0</v>
      </c>
      <c r="Z3410" t="s">
        <v>46</v>
      </c>
      <c r="AA3410">
        <v>56498</v>
      </c>
      <c r="AB3410" t="s">
        <v>2567</v>
      </c>
      <c r="AC3410" t="s">
        <v>103</v>
      </c>
      <c r="AD3410" t="s">
        <v>38</v>
      </c>
      <c r="AE3410" t="s">
        <v>49</v>
      </c>
      <c r="AF3410" t="s">
        <v>50</v>
      </c>
      <c r="AG3410">
        <v>.9999999999999999999999999999999999999996</v>
      </c>
      <c r="AH3410">
        <v>0</v>
      </c>
      <c r="AI3410" t="s">
        <v>51</v>
      </c>
      <c r="AJ3410" t="s">
        <v>51</v>
      </c>
      <c r="AK3410" t="s">
        <v>51</v>
      </c>
    </row>
    <row r="3411" spans="1:37" x14ac:dyDescent="0.2">
      <c r="A3411">
        <v>56471</v>
      </c>
      <c r="B3411" t="s">
        <v>37</v>
      </c>
      <c r="C3411" t="s">
        <v>38</v>
      </c>
      <c r="D3411" t="s">
        <v>674</v>
      </c>
      <c r="E3411" t="s">
        <v>40</v>
      </c>
      <c r="G3411" s="4">
        <v>43945.005196759259</v>
      </c>
      <c r="H3411" s="4">
        <v>43945.00587962963</v>
      </c>
      <c r="I3411" t="s">
        <v>2438</v>
      </c>
      <c r="J3411" s="5">
        <v>58.99999999999999999999999999999999999997</v>
      </c>
      <c r="K3411" t="s">
        <v>38</v>
      </c>
      <c r="M3411">
        <v>56472</v>
      </c>
      <c r="N3411" t="s">
        <v>705</v>
      </c>
      <c r="O3411" t="s">
        <v>706</v>
      </c>
      <c r="P3411" t="s">
        <v>38</v>
      </c>
      <c r="Q3411" t="s">
        <v>966</v>
      </c>
      <c r="R3411">
        <v>15.99999999999999999999999999999999999998</v>
      </c>
      <c r="S3411" t="s">
        <v>45</v>
      </c>
      <c r="T341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1">
        <v>56473</v>
      </c>
      <c r="V3411" t="s">
        <v>38</v>
      </c>
      <c r="W3411" t="s">
        <v>966</v>
      </c>
      <c r="X3411">
        <v>15.99999999999999999999999999999999999998</v>
      </c>
      <c r="Y3411">
        <v>0</v>
      </c>
      <c r="Z3411" t="s">
        <v>46</v>
      </c>
      <c r="AA3411">
        <v>56497</v>
      </c>
      <c r="AB3411" t="s">
        <v>2568</v>
      </c>
      <c r="AC3411" t="s">
        <v>103</v>
      </c>
      <c r="AD3411" t="s">
        <v>38</v>
      </c>
      <c r="AE3411" t="s">
        <v>49</v>
      </c>
      <c r="AF3411" t="s">
        <v>50</v>
      </c>
      <c r="AG3411">
        <v>0</v>
      </c>
      <c r="AH3411">
        <v>0</v>
      </c>
      <c r="AI3411" t="s">
        <v>51</v>
      </c>
      <c r="AJ3411" t="s">
        <v>51</v>
      </c>
      <c r="AK3411" t="s">
        <v>51</v>
      </c>
    </row>
    <row r="3412" spans="1:37" x14ac:dyDescent="0.2">
      <c r="A3412">
        <v>56471</v>
      </c>
      <c r="B3412" t="s">
        <v>37</v>
      </c>
      <c r="C3412" t="s">
        <v>38</v>
      </c>
      <c r="D3412" t="s">
        <v>674</v>
      </c>
      <c r="E3412" t="s">
        <v>40</v>
      </c>
      <c r="G3412" s="4">
        <v>43945.005196759259</v>
      </c>
      <c r="H3412" s="4">
        <v>43945.00587962963</v>
      </c>
      <c r="I3412" t="s">
        <v>2438</v>
      </c>
      <c r="J3412" s="5">
        <v>58.99999999999999999999999999999999999997</v>
      </c>
      <c r="K3412" t="s">
        <v>38</v>
      </c>
      <c r="M3412">
        <v>56472</v>
      </c>
      <c r="N3412" t="s">
        <v>705</v>
      </c>
      <c r="O3412" t="s">
        <v>706</v>
      </c>
      <c r="P3412" t="s">
        <v>38</v>
      </c>
      <c r="Q3412" t="s">
        <v>966</v>
      </c>
      <c r="R3412">
        <v>15.99999999999999999999999999999999999998</v>
      </c>
      <c r="S3412" t="s">
        <v>45</v>
      </c>
      <c r="T341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2">
        <v>56473</v>
      </c>
      <c r="V3412" t="s">
        <v>38</v>
      </c>
      <c r="W3412" t="s">
        <v>966</v>
      </c>
      <c r="X3412">
        <v>15.99999999999999999999999999999999999998</v>
      </c>
      <c r="Y3412">
        <v>0</v>
      </c>
      <c r="Z3412" t="s">
        <v>46</v>
      </c>
      <c r="AA3412">
        <v>56496</v>
      </c>
      <c r="AB3412" t="s">
        <v>2569</v>
      </c>
      <c r="AC3412" t="s">
        <v>103</v>
      </c>
      <c r="AD3412" t="s">
        <v>38</v>
      </c>
      <c r="AE3412" t="s">
        <v>49</v>
      </c>
      <c r="AF3412" t="s">
        <v>50</v>
      </c>
      <c r="AG3412">
        <v>0</v>
      </c>
      <c r="AH3412">
        <v>0</v>
      </c>
      <c r="AI3412" t="s">
        <v>51</v>
      </c>
      <c r="AJ3412" t="s">
        <v>51</v>
      </c>
      <c r="AK3412" t="s">
        <v>51</v>
      </c>
    </row>
    <row r="3413" spans="1:37" x14ac:dyDescent="0.2">
      <c r="A3413">
        <v>56471</v>
      </c>
      <c r="B3413" t="s">
        <v>37</v>
      </c>
      <c r="C3413" t="s">
        <v>38</v>
      </c>
      <c r="D3413" t="s">
        <v>674</v>
      </c>
      <c r="E3413" t="s">
        <v>40</v>
      </c>
      <c r="G3413" s="4">
        <v>43945.005196759259</v>
      </c>
      <c r="H3413" s="4">
        <v>43945.00587962963</v>
      </c>
      <c r="I3413" t="s">
        <v>2438</v>
      </c>
      <c r="J3413" s="5">
        <v>58.99999999999999999999999999999999999997</v>
      </c>
      <c r="K3413" t="s">
        <v>38</v>
      </c>
      <c r="M3413">
        <v>56472</v>
      </c>
      <c r="N3413" t="s">
        <v>705</v>
      </c>
      <c r="O3413" t="s">
        <v>706</v>
      </c>
      <c r="P3413" t="s">
        <v>38</v>
      </c>
      <c r="Q3413" t="s">
        <v>966</v>
      </c>
      <c r="R3413">
        <v>15.99999999999999999999999999999999999998</v>
      </c>
      <c r="S3413" t="s">
        <v>45</v>
      </c>
      <c r="T341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3">
        <v>56473</v>
      </c>
      <c r="V3413" t="s">
        <v>38</v>
      </c>
      <c r="W3413" t="s">
        <v>966</v>
      </c>
      <c r="X3413">
        <v>15.99999999999999999999999999999999999998</v>
      </c>
      <c r="Y3413">
        <v>0</v>
      </c>
      <c r="Z3413" t="s">
        <v>46</v>
      </c>
      <c r="AA3413">
        <v>56495</v>
      </c>
      <c r="AB3413" t="s">
        <v>2570</v>
      </c>
      <c r="AC3413" t="s">
        <v>103</v>
      </c>
      <c r="AD3413" t="s">
        <v>38</v>
      </c>
      <c r="AE3413" t="s">
        <v>49</v>
      </c>
      <c r="AF3413" t="s">
        <v>50</v>
      </c>
      <c r="AG3413">
        <v>0</v>
      </c>
      <c r="AH3413">
        <v>0</v>
      </c>
      <c r="AI3413" t="s">
        <v>51</v>
      </c>
      <c r="AJ3413" t="s">
        <v>51</v>
      </c>
      <c r="AK3413" t="s">
        <v>51</v>
      </c>
    </row>
    <row r="3414" spans="1:37" x14ac:dyDescent="0.2">
      <c r="A3414">
        <v>56471</v>
      </c>
      <c r="B3414" t="s">
        <v>37</v>
      </c>
      <c r="C3414" t="s">
        <v>38</v>
      </c>
      <c r="D3414" t="s">
        <v>674</v>
      </c>
      <c r="E3414" t="s">
        <v>40</v>
      </c>
      <c r="G3414" s="4">
        <v>43945.005196759259</v>
      </c>
      <c r="H3414" s="4">
        <v>43945.00587962963</v>
      </c>
      <c r="I3414" t="s">
        <v>2438</v>
      </c>
      <c r="J3414" s="5">
        <v>58.99999999999999999999999999999999999997</v>
      </c>
      <c r="K3414" t="s">
        <v>38</v>
      </c>
      <c r="M3414">
        <v>56472</v>
      </c>
      <c r="N3414" t="s">
        <v>705</v>
      </c>
      <c r="O3414" t="s">
        <v>706</v>
      </c>
      <c r="P3414" t="s">
        <v>38</v>
      </c>
      <c r="Q3414" t="s">
        <v>966</v>
      </c>
      <c r="R3414">
        <v>15.99999999999999999999999999999999999998</v>
      </c>
      <c r="S3414" t="s">
        <v>45</v>
      </c>
      <c r="T341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4">
        <v>56473</v>
      </c>
      <c r="V3414" t="s">
        <v>38</v>
      </c>
      <c r="W3414" t="s">
        <v>966</v>
      </c>
      <c r="X3414">
        <v>15.99999999999999999999999999999999999998</v>
      </c>
      <c r="Y3414">
        <v>0</v>
      </c>
      <c r="Z3414" t="s">
        <v>46</v>
      </c>
      <c r="AA3414">
        <v>56494</v>
      </c>
      <c r="AB3414" t="s">
        <v>2571</v>
      </c>
      <c r="AC3414" t="s">
        <v>103</v>
      </c>
      <c r="AD3414" t="s">
        <v>38</v>
      </c>
      <c r="AE3414" t="s">
        <v>49</v>
      </c>
      <c r="AF3414" t="s">
        <v>50</v>
      </c>
      <c r="AG3414">
        <v>0</v>
      </c>
      <c r="AH3414">
        <v>0</v>
      </c>
      <c r="AI3414" t="s">
        <v>51</v>
      </c>
      <c r="AJ3414" t="s">
        <v>51</v>
      </c>
      <c r="AK3414" t="s">
        <v>51</v>
      </c>
    </row>
    <row r="3415" spans="1:37" x14ac:dyDescent="0.2">
      <c r="A3415">
        <v>56471</v>
      </c>
      <c r="B3415" t="s">
        <v>37</v>
      </c>
      <c r="C3415" t="s">
        <v>38</v>
      </c>
      <c r="D3415" t="s">
        <v>674</v>
      </c>
      <c r="E3415" t="s">
        <v>40</v>
      </c>
      <c r="G3415" s="4">
        <v>43945.005196759259</v>
      </c>
      <c r="H3415" s="4">
        <v>43945.00587962963</v>
      </c>
      <c r="I3415" t="s">
        <v>2438</v>
      </c>
      <c r="J3415" s="5">
        <v>58.99999999999999999999999999999999999997</v>
      </c>
      <c r="K3415" t="s">
        <v>38</v>
      </c>
      <c r="M3415">
        <v>56472</v>
      </c>
      <c r="N3415" t="s">
        <v>705</v>
      </c>
      <c r="O3415" t="s">
        <v>706</v>
      </c>
      <c r="P3415" t="s">
        <v>38</v>
      </c>
      <c r="Q3415" t="s">
        <v>966</v>
      </c>
      <c r="R3415">
        <v>15.99999999999999999999999999999999999998</v>
      </c>
      <c r="S3415" t="s">
        <v>45</v>
      </c>
      <c r="T341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5">
        <v>56473</v>
      </c>
      <c r="V3415" t="s">
        <v>38</v>
      </c>
      <c r="W3415" t="s">
        <v>966</v>
      </c>
      <c r="X3415">
        <v>15.99999999999999999999999999999999999998</v>
      </c>
      <c r="Y3415">
        <v>0</v>
      </c>
      <c r="Z3415" t="s">
        <v>46</v>
      </c>
      <c r="AA3415">
        <v>56493</v>
      </c>
      <c r="AB3415" t="s">
        <v>2572</v>
      </c>
      <c r="AC3415" t="s">
        <v>103</v>
      </c>
      <c r="AD3415" t="s">
        <v>38</v>
      </c>
      <c r="AE3415" t="s">
        <v>49</v>
      </c>
      <c r="AF3415" t="s">
        <v>50</v>
      </c>
      <c r="AG3415">
        <v>0</v>
      </c>
      <c r="AH3415">
        <v>0</v>
      </c>
      <c r="AI3415" t="s">
        <v>51</v>
      </c>
      <c r="AJ3415" t="s">
        <v>51</v>
      </c>
      <c r="AK3415" t="s">
        <v>51</v>
      </c>
    </row>
    <row r="3416" spans="1:37" x14ac:dyDescent="0.2">
      <c r="A3416">
        <v>56471</v>
      </c>
      <c r="B3416" t="s">
        <v>37</v>
      </c>
      <c r="C3416" t="s">
        <v>38</v>
      </c>
      <c r="D3416" t="s">
        <v>674</v>
      </c>
      <c r="E3416" t="s">
        <v>40</v>
      </c>
      <c r="G3416" s="4">
        <v>43945.005196759259</v>
      </c>
      <c r="H3416" s="4">
        <v>43945.00587962963</v>
      </c>
      <c r="I3416" t="s">
        <v>2438</v>
      </c>
      <c r="J3416" s="5">
        <v>58.99999999999999999999999999999999999997</v>
      </c>
      <c r="K3416" t="s">
        <v>38</v>
      </c>
      <c r="M3416">
        <v>56472</v>
      </c>
      <c r="N3416" t="s">
        <v>705</v>
      </c>
      <c r="O3416" t="s">
        <v>706</v>
      </c>
      <c r="P3416" t="s">
        <v>38</v>
      </c>
      <c r="Q3416" t="s">
        <v>966</v>
      </c>
      <c r="R3416">
        <v>15.99999999999999999999999999999999999998</v>
      </c>
      <c r="S3416" t="s">
        <v>45</v>
      </c>
      <c r="T341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6">
        <v>56473</v>
      </c>
      <c r="V3416" t="s">
        <v>38</v>
      </c>
      <c r="W3416" t="s">
        <v>966</v>
      </c>
      <c r="X3416">
        <v>15.99999999999999999999999999999999999998</v>
      </c>
      <c r="Y3416">
        <v>0</v>
      </c>
      <c r="Z3416" t="s">
        <v>46</v>
      </c>
      <c r="AA3416">
        <v>56492</v>
      </c>
      <c r="AB3416" t="s">
        <v>2573</v>
      </c>
      <c r="AC3416" t="s">
        <v>103</v>
      </c>
      <c r="AD3416" t="s">
        <v>38</v>
      </c>
      <c r="AE3416" t="s">
        <v>49</v>
      </c>
      <c r="AF3416" t="s">
        <v>50</v>
      </c>
      <c r="AG3416">
        <v>0</v>
      </c>
      <c r="AH3416">
        <v>0</v>
      </c>
      <c r="AI3416" t="s">
        <v>51</v>
      </c>
      <c r="AJ3416" t="s">
        <v>51</v>
      </c>
      <c r="AK3416" t="s">
        <v>51</v>
      </c>
    </row>
    <row r="3417" spans="1:37" x14ac:dyDescent="0.2">
      <c r="A3417">
        <v>56471</v>
      </c>
      <c r="B3417" t="s">
        <v>37</v>
      </c>
      <c r="C3417" t="s">
        <v>38</v>
      </c>
      <c r="D3417" t="s">
        <v>674</v>
      </c>
      <c r="E3417" t="s">
        <v>40</v>
      </c>
      <c r="G3417" s="4">
        <v>43945.005196759259</v>
      </c>
      <c r="H3417" s="4">
        <v>43945.00587962963</v>
      </c>
      <c r="I3417" t="s">
        <v>2438</v>
      </c>
      <c r="J3417" s="5">
        <v>58.99999999999999999999999999999999999997</v>
      </c>
      <c r="K3417" t="s">
        <v>38</v>
      </c>
      <c r="M3417">
        <v>56472</v>
      </c>
      <c r="N3417" t="s">
        <v>705</v>
      </c>
      <c r="O3417" t="s">
        <v>706</v>
      </c>
      <c r="P3417" t="s">
        <v>38</v>
      </c>
      <c r="Q3417" t="s">
        <v>966</v>
      </c>
      <c r="R3417">
        <v>15.99999999999999999999999999999999999998</v>
      </c>
      <c r="S3417" t="s">
        <v>45</v>
      </c>
      <c r="T341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7">
        <v>56473</v>
      </c>
      <c r="V3417" t="s">
        <v>38</v>
      </c>
      <c r="W3417" t="s">
        <v>966</v>
      </c>
      <c r="X3417">
        <v>15.99999999999999999999999999999999999998</v>
      </c>
      <c r="Y3417">
        <v>0</v>
      </c>
      <c r="Z3417" t="s">
        <v>46</v>
      </c>
      <c r="AA3417">
        <v>56491</v>
      </c>
      <c r="AB3417" t="s">
        <v>2574</v>
      </c>
      <c r="AC3417" t="s">
        <v>103</v>
      </c>
      <c r="AD3417" t="s">
        <v>38</v>
      </c>
      <c r="AE3417" t="s">
        <v>49</v>
      </c>
      <c r="AF3417" t="s">
        <v>50</v>
      </c>
      <c r="AG3417">
        <v>0</v>
      </c>
      <c r="AH3417">
        <v>0</v>
      </c>
      <c r="AI3417" t="s">
        <v>51</v>
      </c>
      <c r="AJ3417" t="s">
        <v>51</v>
      </c>
      <c r="AK3417" t="s">
        <v>51</v>
      </c>
    </row>
    <row r="3418" spans="1:37" x14ac:dyDescent="0.2">
      <c r="A3418">
        <v>56471</v>
      </c>
      <c r="B3418" t="s">
        <v>37</v>
      </c>
      <c r="C3418" t="s">
        <v>38</v>
      </c>
      <c r="D3418" t="s">
        <v>674</v>
      </c>
      <c r="E3418" t="s">
        <v>40</v>
      </c>
      <c r="G3418" s="4">
        <v>43945.005196759259</v>
      </c>
      <c r="H3418" s="4">
        <v>43945.00587962963</v>
      </c>
      <c r="I3418" t="s">
        <v>2438</v>
      </c>
      <c r="J3418" s="5">
        <v>58.99999999999999999999999999999999999997</v>
      </c>
      <c r="K3418" t="s">
        <v>38</v>
      </c>
      <c r="M3418">
        <v>56472</v>
      </c>
      <c r="N3418" t="s">
        <v>705</v>
      </c>
      <c r="O3418" t="s">
        <v>706</v>
      </c>
      <c r="P3418" t="s">
        <v>38</v>
      </c>
      <c r="Q3418" t="s">
        <v>966</v>
      </c>
      <c r="R3418">
        <v>15.99999999999999999999999999999999999998</v>
      </c>
      <c r="S3418" t="s">
        <v>45</v>
      </c>
      <c r="T341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8">
        <v>56473</v>
      </c>
      <c r="V3418" t="s">
        <v>38</v>
      </c>
      <c r="W3418" t="s">
        <v>966</v>
      </c>
      <c r="X3418">
        <v>15.99999999999999999999999999999999999998</v>
      </c>
      <c r="Y3418">
        <v>0</v>
      </c>
      <c r="Z3418" t="s">
        <v>46</v>
      </c>
      <c r="AA3418">
        <v>56490</v>
      </c>
      <c r="AB3418" t="s">
        <v>2575</v>
      </c>
      <c r="AC3418" t="s">
        <v>103</v>
      </c>
      <c r="AD3418" t="s">
        <v>38</v>
      </c>
      <c r="AE3418" t="s">
        <v>49</v>
      </c>
      <c r="AF3418" t="s">
        <v>50</v>
      </c>
      <c r="AG3418">
        <v>0</v>
      </c>
      <c r="AH3418">
        <v>0</v>
      </c>
      <c r="AI3418" t="s">
        <v>51</v>
      </c>
      <c r="AJ3418" t="s">
        <v>51</v>
      </c>
      <c r="AK3418" t="s">
        <v>51</v>
      </c>
    </row>
    <row r="3419" spans="1:37" x14ac:dyDescent="0.2">
      <c r="A3419">
        <v>56471</v>
      </c>
      <c r="B3419" t="s">
        <v>37</v>
      </c>
      <c r="C3419" t="s">
        <v>38</v>
      </c>
      <c r="D3419" t="s">
        <v>674</v>
      </c>
      <c r="E3419" t="s">
        <v>40</v>
      </c>
      <c r="G3419" s="4">
        <v>43945.005196759259</v>
      </c>
      <c r="H3419" s="4">
        <v>43945.00587962963</v>
      </c>
      <c r="I3419" t="s">
        <v>2438</v>
      </c>
      <c r="J3419" s="5">
        <v>58.99999999999999999999999999999999999997</v>
      </c>
      <c r="K3419" t="s">
        <v>38</v>
      </c>
      <c r="M3419">
        <v>56472</v>
      </c>
      <c r="N3419" t="s">
        <v>705</v>
      </c>
      <c r="O3419" t="s">
        <v>706</v>
      </c>
      <c r="P3419" t="s">
        <v>38</v>
      </c>
      <c r="Q3419" t="s">
        <v>966</v>
      </c>
      <c r="R3419">
        <v>15.99999999999999999999999999999999999998</v>
      </c>
      <c r="S3419" t="s">
        <v>45</v>
      </c>
      <c r="T341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19">
        <v>56473</v>
      </c>
      <c r="V3419" t="s">
        <v>38</v>
      </c>
      <c r="W3419" t="s">
        <v>966</v>
      </c>
      <c r="X3419">
        <v>15.99999999999999999999999999999999999998</v>
      </c>
      <c r="Y3419">
        <v>0</v>
      </c>
      <c r="Z3419" t="s">
        <v>46</v>
      </c>
      <c r="AA3419">
        <v>56489</v>
      </c>
      <c r="AB3419" t="s">
        <v>2576</v>
      </c>
      <c r="AC3419" t="s">
        <v>103</v>
      </c>
      <c r="AD3419" t="s">
        <v>38</v>
      </c>
      <c r="AE3419" t="s">
        <v>49</v>
      </c>
      <c r="AF3419" t="s">
        <v>50</v>
      </c>
      <c r="AG3419">
        <v>0</v>
      </c>
      <c r="AH3419">
        <v>0</v>
      </c>
      <c r="AI3419" t="s">
        <v>51</v>
      </c>
      <c r="AJ3419" t="s">
        <v>51</v>
      </c>
      <c r="AK3419" t="s">
        <v>51</v>
      </c>
    </row>
    <row r="3420" spans="1:37" x14ac:dyDescent="0.2">
      <c r="A3420">
        <v>56471</v>
      </c>
      <c r="B3420" t="s">
        <v>37</v>
      </c>
      <c r="C3420" t="s">
        <v>38</v>
      </c>
      <c r="D3420" t="s">
        <v>674</v>
      </c>
      <c r="E3420" t="s">
        <v>40</v>
      </c>
      <c r="G3420" s="4">
        <v>43945.005196759259</v>
      </c>
      <c r="H3420" s="4">
        <v>43945.00587962963</v>
      </c>
      <c r="I3420" t="s">
        <v>2438</v>
      </c>
      <c r="J3420" s="5">
        <v>58.99999999999999999999999999999999999997</v>
      </c>
      <c r="K3420" t="s">
        <v>38</v>
      </c>
      <c r="M3420">
        <v>56472</v>
      </c>
      <c r="N3420" t="s">
        <v>705</v>
      </c>
      <c r="O3420" t="s">
        <v>706</v>
      </c>
      <c r="P3420" t="s">
        <v>38</v>
      </c>
      <c r="Q3420" t="s">
        <v>966</v>
      </c>
      <c r="R3420">
        <v>15.99999999999999999999999999999999999998</v>
      </c>
      <c r="S3420" t="s">
        <v>45</v>
      </c>
      <c r="T342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0">
        <v>56473</v>
      </c>
      <c r="V3420" t="s">
        <v>38</v>
      </c>
      <c r="W3420" t="s">
        <v>966</v>
      </c>
      <c r="X3420">
        <v>15.99999999999999999999999999999999999998</v>
      </c>
      <c r="Y3420">
        <v>0</v>
      </c>
      <c r="Z3420" t="s">
        <v>46</v>
      </c>
      <c r="AA3420">
        <v>56488</v>
      </c>
      <c r="AB3420" t="s">
        <v>2577</v>
      </c>
      <c r="AC3420" t="s">
        <v>103</v>
      </c>
      <c r="AD3420" t="s">
        <v>38</v>
      </c>
      <c r="AE3420" t="s">
        <v>49</v>
      </c>
      <c r="AF3420" t="s">
        <v>50</v>
      </c>
      <c r="AG3420">
        <v>0</v>
      </c>
      <c r="AH3420">
        <v>0</v>
      </c>
      <c r="AI3420" t="s">
        <v>51</v>
      </c>
      <c r="AJ3420" t="s">
        <v>51</v>
      </c>
      <c r="AK3420" t="s">
        <v>51</v>
      </c>
    </row>
    <row r="3421" spans="1:37" x14ac:dyDescent="0.2">
      <c r="A3421">
        <v>56471</v>
      </c>
      <c r="B3421" t="s">
        <v>37</v>
      </c>
      <c r="C3421" t="s">
        <v>38</v>
      </c>
      <c r="D3421" t="s">
        <v>674</v>
      </c>
      <c r="E3421" t="s">
        <v>40</v>
      </c>
      <c r="G3421" s="4">
        <v>43945.005196759259</v>
      </c>
      <c r="H3421" s="4">
        <v>43945.00587962963</v>
      </c>
      <c r="I3421" t="s">
        <v>2438</v>
      </c>
      <c r="J3421" s="5">
        <v>58.99999999999999999999999999999999999997</v>
      </c>
      <c r="K3421" t="s">
        <v>38</v>
      </c>
      <c r="M3421">
        <v>56472</v>
      </c>
      <c r="N3421" t="s">
        <v>705</v>
      </c>
      <c r="O3421" t="s">
        <v>706</v>
      </c>
      <c r="P3421" t="s">
        <v>38</v>
      </c>
      <c r="Q3421" t="s">
        <v>966</v>
      </c>
      <c r="R3421">
        <v>15.99999999999999999999999999999999999998</v>
      </c>
      <c r="S3421" t="s">
        <v>45</v>
      </c>
      <c r="T342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1">
        <v>56473</v>
      </c>
      <c r="V3421" t="s">
        <v>38</v>
      </c>
      <c r="W3421" t="s">
        <v>966</v>
      </c>
      <c r="X3421">
        <v>15.99999999999999999999999999999999999998</v>
      </c>
      <c r="Y3421">
        <v>0</v>
      </c>
      <c r="Z3421" t="s">
        <v>46</v>
      </c>
      <c r="AA3421">
        <v>56487</v>
      </c>
      <c r="AB3421" t="s">
        <v>2578</v>
      </c>
      <c r="AC3421" t="s">
        <v>103</v>
      </c>
      <c r="AD3421" t="s">
        <v>38</v>
      </c>
      <c r="AE3421" t="s">
        <v>49</v>
      </c>
      <c r="AF3421" t="s">
        <v>50</v>
      </c>
      <c r="AG3421">
        <v>0</v>
      </c>
      <c r="AH3421">
        <v>0</v>
      </c>
      <c r="AI3421" t="s">
        <v>51</v>
      </c>
      <c r="AJ3421" t="s">
        <v>51</v>
      </c>
      <c r="AK3421" t="s">
        <v>51</v>
      </c>
    </row>
    <row r="3422" spans="1:37" x14ac:dyDescent="0.2">
      <c r="A3422">
        <v>56471</v>
      </c>
      <c r="B3422" t="s">
        <v>37</v>
      </c>
      <c r="C3422" t="s">
        <v>38</v>
      </c>
      <c r="D3422" t="s">
        <v>674</v>
      </c>
      <c r="E3422" t="s">
        <v>40</v>
      </c>
      <c r="G3422" s="4">
        <v>43945.005196759259</v>
      </c>
      <c r="H3422" s="4">
        <v>43945.00587962963</v>
      </c>
      <c r="I3422" t="s">
        <v>2438</v>
      </c>
      <c r="J3422" s="5">
        <v>58.99999999999999999999999999999999999997</v>
      </c>
      <c r="K3422" t="s">
        <v>38</v>
      </c>
      <c r="M3422">
        <v>56472</v>
      </c>
      <c r="N3422" t="s">
        <v>705</v>
      </c>
      <c r="O3422" t="s">
        <v>706</v>
      </c>
      <c r="P3422" t="s">
        <v>38</v>
      </c>
      <c r="Q3422" t="s">
        <v>966</v>
      </c>
      <c r="R3422">
        <v>15.99999999999999999999999999999999999998</v>
      </c>
      <c r="S3422" t="s">
        <v>45</v>
      </c>
      <c r="T342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2">
        <v>56473</v>
      </c>
      <c r="V3422" t="s">
        <v>38</v>
      </c>
      <c r="W3422" t="s">
        <v>966</v>
      </c>
      <c r="X3422">
        <v>15.99999999999999999999999999999999999998</v>
      </c>
      <c r="Y3422">
        <v>0</v>
      </c>
      <c r="Z3422" t="s">
        <v>46</v>
      </c>
      <c r="AA3422">
        <v>56486</v>
      </c>
      <c r="AB3422" t="s">
        <v>2579</v>
      </c>
      <c r="AC3422" t="s">
        <v>103</v>
      </c>
      <c r="AD3422" t="s">
        <v>38</v>
      </c>
      <c r="AE3422" t="s">
        <v>49</v>
      </c>
      <c r="AF3422" t="s">
        <v>50</v>
      </c>
      <c r="AG3422">
        <v>0</v>
      </c>
      <c r="AH3422">
        <v>0</v>
      </c>
      <c r="AI3422" t="s">
        <v>51</v>
      </c>
      <c r="AJ3422" t="s">
        <v>51</v>
      </c>
      <c r="AK3422" t="s">
        <v>51</v>
      </c>
    </row>
    <row r="3423" spans="1:37" x14ac:dyDescent="0.2">
      <c r="A3423">
        <v>56471</v>
      </c>
      <c r="B3423" t="s">
        <v>37</v>
      </c>
      <c r="C3423" t="s">
        <v>38</v>
      </c>
      <c r="D3423" t="s">
        <v>674</v>
      </c>
      <c r="E3423" t="s">
        <v>40</v>
      </c>
      <c r="G3423" s="4">
        <v>43945.005196759259</v>
      </c>
      <c r="H3423" s="4">
        <v>43945.00587962963</v>
      </c>
      <c r="I3423" t="s">
        <v>2438</v>
      </c>
      <c r="J3423" s="5">
        <v>58.99999999999999999999999999999999999997</v>
      </c>
      <c r="K3423" t="s">
        <v>38</v>
      </c>
      <c r="M3423">
        <v>56472</v>
      </c>
      <c r="N3423" t="s">
        <v>705</v>
      </c>
      <c r="O3423" t="s">
        <v>706</v>
      </c>
      <c r="P3423" t="s">
        <v>38</v>
      </c>
      <c r="Q3423" t="s">
        <v>966</v>
      </c>
      <c r="R3423">
        <v>15.99999999999999999999999999999999999998</v>
      </c>
      <c r="S3423" t="s">
        <v>45</v>
      </c>
      <c r="T342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3">
        <v>56473</v>
      </c>
      <c r="V3423" t="s">
        <v>38</v>
      </c>
      <c r="W3423" t="s">
        <v>966</v>
      </c>
      <c r="X3423">
        <v>15.99999999999999999999999999999999999998</v>
      </c>
      <c r="Y3423">
        <v>0</v>
      </c>
      <c r="Z3423" t="s">
        <v>46</v>
      </c>
      <c r="AA3423">
        <v>56485</v>
      </c>
      <c r="AB3423" t="s">
        <v>2580</v>
      </c>
      <c r="AC3423" t="s">
        <v>103</v>
      </c>
      <c r="AD3423" t="s">
        <v>38</v>
      </c>
      <c r="AE3423" t="s">
        <v>49</v>
      </c>
      <c r="AF3423" t="s">
        <v>50</v>
      </c>
      <c r="AG3423">
        <v>0</v>
      </c>
      <c r="AH3423">
        <v>0</v>
      </c>
      <c r="AI3423" t="s">
        <v>51</v>
      </c>
      <c r="AJ3423" t="s">
        <v>51</v>
      </c>
      <c r="AK3423" t="s">
        <v>51</v>
      </c>
    </row>
    <row r="3424" spans="1:37" x14ac:dyDescent="0.2">
      <c r="A3424">
        <v>56471</v>
      </c>
      <c r="B3424" t="s">
        <v>37</v>
      </c>
      <c r="C3424" t="s">
        <v>38</v>
      </c>
      <c r="D3424" t="s">
        <v>674</v>
      </c>
      <c r="E3424" t="s">
        <v>40</v>
      </c>
      <c r="G3424" s="4">
        <v>43945.005196759259</v>
      </c>
      <c r="H3424" s="4">
        <v>43945.00587962963</v>
      </c>
      <c r="I3424" t="s">
        <v>2438</v>
      </c>
      <c r="J3424" s="5">
        <v>58.99999999999999999999999999999999999997</v>
      </c>
      <c r="K3424" t="s">
        <v>38</v>
      </c>
      <c r="M3424">
        <v>56472</v>
      </c>
      <c r="N3424" t="s">
        <v>705</v>
      </c>
      <c r="O3424" t="s">
        <v>706</v>
      </c>
      <c r="P3424" t="s">
        <v>38</v>
      </c>
      <c r="Q3424" t="s">
        <v>966</v>
      </c>
      <c r="R3424">
        <v>15.99999999999999999999999999999999999998</v>
      </c>
      <c r="S3424" t="s">
        <v>45</v>
      </c>
      <c r="T342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4">
        <v>56473</v>
      </c>
      <c r="V3424" t="s">
        <v>38</v>
      </c>
      <c r="W3424" t="s">
        <v>966</v>
      </c>
      <c r="X3424">
        <v>15.99999999999999999999999999999999999998</v>
      </c>
      <c r="Y3424">
        <v>0</v>
      </c>
      <c r="Z3424" t="s">
        <v>46</v>
      </c>
      <c r="AA3424">
        <v>56484</v>
      </c>
      <c r="AB3424" t="s">
        <v>2581</v>
      </c>
      <c r="AC3424" t="s">
        <v>103</v>
      </c>
      <c r="AD3424" t="s">
        <v>38</v>
      </c>
      <c r="AE3424" t="s">
        <v>49</v>
      </c>
      <c r="AF3424" t="s">
        <v>50</v>
      </c>
      <c r="AG3424">
        <v>0</v>
      </c>
      <c r="AH3424">
        <v>0</v>
      </c>
      <c r="AI3424" t="s">
        <v>51</v>
      </c>
      <c r="AJ3424" t="s">
        <v>51</v>
      </c>
      <c r="AK3424" t="s">
        <v>51</v>
      </c>
    </row>
    <row r="3425" spans="1:37" x14ac:dyDescent="0.2">
      <c r="A3425">
        <v>56471</v>
      </c>
      <c r="B3425" t="s">
        <v>37</v>
      </c>
      <c r="C3425" t="s">
        <v>38</v>
      </c>
      <c r="D3425" t="s">
        <v>674</v>
      </c>
      <c r="E3425" t="s">
        <v>40</v>
      </c>
      <c r="G3425" s="4">
        <v>43945.005196759259</v>
      </c>
      <c r="H3425" s="4">
        <v>43945.00587962963</v>
      </c>
      <c r="I3425" t="s">
        <v>2438</v>
      </c>
      <c r="J3425" s="5">
        <v>58.99999999999999999999999999999999999997</v>
      </c>
      <c r="K3425" t="s">
        <v>38</v>
      </c>
      <c r="M3425">
        <v>56472</v>
      </c>
      <c r="N3425" t="s">
        <v>705</v>
      </c>
      <c r="O3425" t="s">
        <v>706</v>
      </c>
      <c r="P3425" t="s">
        <v>38</v>
      </c>
      <c r="Q3425" t="s">
        <v>966</v>
      </c>
      <c r="R3425">
        <v>15.99999999999999999999999999999999999998</v>
      </c>
      <c r="S3425" t="s">
        <v>45</v>
      </c>
      <c r="T3425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5">
        <v>56473</v>
      </c>
      <c r="V3425" t="s">
        <v>38</v>
      </c>
      <c r="W3425" t="s">
        <v>966</v>
      </c>
      <c r="X3425">
        <v>15.99999999999999999999999999999999999998</v>
      </c>
      <c r="Y3425">
        <v>0</v>
      </c>
      <c r="Z3425" t="s">
        <v>46</v>
      </c>
      <c r="AA3425">
        <v>56483</v>
      </c>
      <c r="AB3425" t="s">
        <v>2582</v>
      </c>
      <c r="AC3425" t="s">
        <v>103</v>
      </c>
      <c r="AD3425" t="s">
        <v>38</v>
      </c>
      <c r="AE3425" t="s">
        <v>49</v>
      </c>
      <c r="AF3425" t="s">
        <v>50</v>
      </c>
      <c r="AG3425">
        <v>0</v>
      </c>
      <c r="AH3425">
        <v>0</v>
      </c>
      <c r="AI3425" t="s">
        <v>51</v>
      </c>
      <c r="AJ3425" t="s">
        <v>51</v>
      </c>
      <c r="AK3425" t="s">
        <v>51</v>
      </c>
    </row>
    <row r="3426" spans="1:37" x14ac:dyDescent="0.2">
      <c r="A3426">
        <v>56471</v>
      </c>
      <c r="B3426" t="s">
        <v>37</v>
      </c>
      <c r="C3426" t="s">
        <v>38</v>
      </c>
      <c r="D3426" t="s">
        <v>674</v>
      </c>
      <c r="E3426" t="s">
        <v>40</v>
      </c>
      <c r="G3426" s="4">
        <v>43945.005196759259</v>
      </c>
      <c r="H3426" s="4">
        <v>43945.00587962963</v>
      </c>
      <c r="I3426" t="s">
        <v>2438</v>
      </c>
      <c r="J3426" s="5">
        <v>58.99999999999999999999999999999999999997</v>
      </c>
      <c r="K3426" t="s">
        <v>38</v>
      </c>
      <c r="M3426">
        <v>56472</v>
      </c>
      <c r="N3426" t="s">
        <v>705</v>
      </c>
      <c r="O3426" t="s">
        <v>706</v>
      </c>
      <c r="P3426" t="s">
        <v>38</v>
      </c>
      <c r="Q3426" t="s">
        <v>966</v>
      </c>
      <c r="R3426">
        <v>15.99999999999999999999999999999999999998</v>
      </c>
      <c r="S3426" t="s">
        <v>45</v>
      </c>
      <c r="T3426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6">
        <v>56473</v>
      </c>
      <c r="V3426" t="s">
        <v>38</v>
      </c>
      <c r="W3426" t="s">
        <v>966</v>
      </c>
      <c r="X3426">
        <v>15.99999999999999999999999999999999999998</v>
      </c>
      <c r="Y3426">
        <v>0</v>
      </c>
      <c r="Z3426" t="s">
        <v>46</v>
      </c>
      <c r="AA3426">
        <v>56482</v>
      </c>
      <c r="AB3426" t="s">
        <v>2583</v>
      </c>
      <c r="AC3426" t="s">
        <v>103</v>
      </c>
      <c r="AD3426" t="s">
        <v>38</v>
      </c>
      <c r="AE3426" t="s">
        <v>49</v>
      </c>
      <c r="AF3426" t="s">
        <v>50</v>
      </c>
      <c r="AG3426">
        <v>0</v>
      </c>
      <c r="AH3426">
        <v>0</v>
      </c>
      <c r="AI3426" t="s">
        <v>51</v>
      </c>
      <c r="AJ3426" t="s">
        <v>51</v>
      </c>
      <c r="AK3426" t="s">
        <v>51</v>
      </c>
    </row>
    <row r="3427" spans="1:37" x14ac:dyDescent="0.2">
      <c r="A3427">
        <v>56471</v>
      </c>
      <c r="B3427" t="s">
        <v>37</v>
      </c>
      <c r="C3427" t="s">
        <v>38</v>
      </c>
      <c r="D3427" t="s">
        <v>674</v>
      </c>
      <c r="E3427" t="s">
        <v>40</v>
      </c>
      <c r="G3427" s="4">
        <v>43945.005196759259</v>
      </c>
      <c r="H3427" s="4">
        <v>43945.00587962963</v>
      </c>
      <c r="I3427" t="s">
        <v>2438</v>
      </c>
      <c r="J3427" s="5">
        <v>58.99999999999999999999999999999999999997</v>
      </c>
      <c r="K3427" t="s">
        <v>38</v>
      </c>
      <c r="M3427">
        <v>56472</v>
      </c>
      <c r="N3427" t="s">
        <v>705</v>
      </c>
      <c r="O3427" t="s">
        <v>706</v>
      </c>
      <c r="P3427" t="s">
        <v>38</v>
      </c>
      <c r="Q3427" t="s">
        <v>966</v>
      </c>
      <c r="R3427">
        <v>15.99999999999999999999999999999999999998</v>
      </c>
      <c r="S3427" t="s">
        <v>45</v>
      </c>
      <c r="T3427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7">
        <v>56473</v>
      </c>
      <c r="V3427" t="s">
        <v>38</v>
      </c>
      <c r="W3427" t="s">
        <v>966</v>
      </c>
      <c r="X3427">
        <v>15.99999999999999999999999999999999999998</v>
      </c>
      <c r="Y3427">
        <v>0</v>
      </c>
      <c r="Z3427" t="s">
        <v>46</v>
      </c>
      <c r="AA3427">
        <v>56481</v>
      </c>
      <c r="AB3427" t="s">
        <v>2584</v>
      </c>
      <c r="AC3427" t="s">
        <v>103</v>
      </c>
      <c r="AD3427" t="s">
        <v>38</v>
      </c>
      <c r="AE3427" t="s">
        <v>49</v>
      </c>
      <c r="AF3427" t="s">
        <v>50</v>
      </c>
      <c r="AG3427">
        <v>0</v>
      </c>
      <c r="AH3427">
        <v>0</v>
      </c>
      <c r="AI3427" t="s">
        <v>51</v>
      </c>
      <c r="AJ3427" t="s">
        <v>51</v>
      </c>
      <c r="AK3427" t="s">
        <v>51</v>
      </c>
    </row>
    <row r="3428" spans="1:37" x14ac:dyDescent="0.2">
      <c r="A3428">
        <v>56471</v>
      </c>
      <c r="B3428" t="s">
        <v>37</v>
      </c>
      <c r="C3428" t="s">
        <v>38</v>
      </c>
      <c r="D3428" t="s">
        <v>674</v>
      </c>
      <c r="E3428" t="s">
        <v>40</v>
      </c>
      <c r="G3428" s="4">
        <v>43945.005196759259</v>
      </c>
      <c r="H3428" s="4">
        <v>43945.00587962963</v>
      </c>
      <c r="I3428" t="s">
        <v>2438</v>
      </c>
      <c r="J3428" s="5">
        <v>58.99999999999999999999999999999999999997</v>
      </c>
      <c r="K3428" t="s">
        <v>38</v>
      </c>
      <c r="M3428">
        <v>56472</v>
      </c>
      <c r="N3428" t="s">
        <v>705</v>
      </c>
      <c r="O3428" t="s">
        <v>706</v>
      </c>
      <c r="P3428" t="s">
        <v>38</v>
      </c>
      <c r="Q3428" t="s">
        <v>966</v>
      </c>
      <c r="R3428">
        <v>15.99999999999999999999999999999999999998</v>
      </c>
      <c r="S3428" t="s">
        <v>45</v>
      </c>
      <c r="T3428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8">
        <v>56473</v>
      </c>
      <c r="V3428" t="s">
        <v>38</v>
      </c>
      <c r="W3428" t="s">
        <v>966</v>
      </c>
      <c r="X3428">
        <v>15.99999999999999999999999999999999999998</v>
      </c>
      <c r="Y3428">
        <v>0</v>
      </c>
      <c r="Z3428" t="s">
        <v>46</v>
      </c>
      <c r="AA3428">
        <v>56480</v>
      </c>
      <c r="AB3428" t="s">
        <v>2585</v>
      </c>
      <c r="AC3428" t="s">
        <v>103</v>
      </c>
      <c r="AD3428" t="s">
        <v>38</v>
      </c>
      <c r="AE3428" t="s">
        <v>49</v>
      </c>
      <c r="AF3428" t="s">
        <v>50</v>
      </c>
      <c r="AG3428">
        <v>0</v>
      </c>
      <c r="AH3428">
        <v>0</v>
      </c>
      <c r="AI3428" t="s">
        <v>51</v>
      </c>
      <c r="AJ3428" t="s">
        <v>51</v>
      </c>
      <c r="AK3428" t="s">
        <v>51</v>
      </c>
    </row>
    <row r="3429" spans="1:37" x14ac:dyDescent="0.2">
      <c r="A3429">
        <v>56471</v>
      </c>
      <c r="B3429" t="s">
        <v>37</v>
      </c>
      <c r="C3429" t="s">
        <v>38</v>
      </c>
      <c r="D3429" t="s">
        <v>674</v>
      </c>
      <c r="E3429" t="s">
        <v>40</v>
      </c>
      <c r="G3429" s="4">
        <v>43945.005196759259</v>
      </c>
      <c r="H3429" s="4">
        <v>43945.00587962963</v>
      </c>
      <c r="I3429" t="s">
        <v>2438</v>
      </c>
      <c r="J3429" s="5">
        <v>58.99999999999999999999999999999999999997</v>
      </c>
      <c r="K3429" t="s">
        <v>38</v>
      </c>
      <c r="M3429">
        <v>56472</v>
      </c>
      <c r="N3429" t="s">
        <v>705</v>
      </c>
      <c r="O3429" t="s">
        <v>706</v>
      </c>
      <c r="P3429" t="s">
        <v>38</v>
      </c>
      <c r="Q3429" t="s">
        <v>966</v>
      </c>
      <c r="R3429">
        <v>15.99999999999999999999999999999999999998</v>
      </c>
      <c r="S3429" t="s">
        <v>45</v>
      </c>
      <c r="T3429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29">
        <v>56473</v>
      </c>
      <c r="V3429" t="s">
        <v>38</v>
      </c>
      <c r="W3429" t="s">
        <v>966</v>
      </c>
      <c r="X3429">
        <v>15.99999999999999999999999999999999999998</v>
      </c>
      <c r="Y3429">
        <v>0</v>
      </c>
      <c r="Z3429" t="s">
        <v>46</v>
      </c>
      <c r="AA3429">
        <v>56479</v>
      </c>
      <c r="AB3429" t="s">
        <v>2586</v>
      </c>
      <c r="AC3429" t="s">
        <v>103</v>
      </c>
      <c r="AD3429" t="s">
        <v>38</v>
      </c>
      <c r="AE3429" t="s">
        <v>49</v>
      </c>
      <c r="AF3429" t="s">
        <v>50</v>
      </c>
      <c r="AG3429">
        <v>0</v>
      </c>
      <c r="AH3429">
        <v>0</v>
      </c>
      <c r="AI3429" t="s">
        <v>51</v>
      </c>
      <c r="AJ3429" t="s">
        <v>51</v>
      </c>
      <c r="AK3429" t="s">
        <v>51</v>
      </c>
    </row>
    <row r="3430" spans="1:37" x14ac:dyDescent="0.2">
      <c r="A3430">
        <v>56471</v>
      </c>
      <c r="B3430" t="s">
        <v>37</v>
      </c>
      <c r="C3430" t="s">
        <v>38</v>
      </c>
      <c r="D3430" t="s">
        <v>674</v>
      </c>
      <c r="E3430" t="s">
        <v>40</v>
      </c>
      <c r="G3430" s="4">
        <v>43945.005196759259</v>
      </c>
      <c r="H3430" s="4">
        <v>43945.00587962963</v>
      </c>
      <c r="I3430" t="s">
        <v>2438</v>
      </c>
      <c r="J3430" s="5">
        <v>58.99999999999999999999999999999999999997</v>
      </c>
      <c r="K3430" t="s">
        <v>38</v>
      </c>
      <c r="M3430">
        <v>56472</v>
      </c>
      <c r="N3430" t="s">
        <v>705</v>
      </c>
      <c r="O3430" t="s">
        <v>706</v>
      </c>
      <c r="P3430" t="s">
        <v>38</v>
      </c>
      <c r="Q3430" t="s">
        <v>966</v>
      </c>
      <c r="R3430">
        <v>15.99999999999999999999999999999999999998</v>
      </c>
      <c r="S3430" t="s">
        <v>45</v>
      </c>
      <c r="T3430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30">
        <v>56473</v>
      </c>
      <c r="V3430" t="s">
        <v>38</v>
      </c>
      <c r="W3430" t="s">
        <v>966</v>
      </c>
      <c r="X3430">
        <v>15.99999999999999999999999999999999999998</v>
      </c>
      <c r="Y3430">
        <v>0</v>
      </c>
      <c r="Z3430" t="s">
        <v>46</v>
      </c>
      <c r="AA3430">
        <v>56478</v>
      </c>
      <c r="AB3430" t="s">
        <v>2587</v>
      </c>
      <c r="AC3430" t="s">
        <v>103</v>
      </c>
      <c r="AD3430" t="s">
        <v>38</v>
      </c>
      <c r="AE3430" t="s">
        <v>49</v>
      </c>
      <c r="AF3430" t="s">
        <v>50</v>
      </c>
      <c r="AG3430">
        <v>0</v>
      </c>
      <c r="AH3430">
        <v>0</v>
      </c>
      <c r="AI3430" t="s">
        <v>51</v>
      </c>
      <c r="AJ3430" t="s">
        <v>51</v>
      </c>
      <c r="AK3430" t="s">
        <v>51</v>
      </c>
    </row>
    <row r="3431" spans="1:37" x14ac:dyDescent="0.2">
      <c r="A3431">
        <v>56471</v>
      </c>
      <c r="B3431" t="s">
        <v>37</v>
      </c>
      <c r="C3431" t="s">
        <v>38</v>
      </c>
      <c r="D3431" t="s">
        <v>674</v>
      </c>
      <c r="E3431" t="s">
        <v>40</v>
      </c>
      <c r="G3431" s="4">
        <v>43945.005196759259</v>
      </c>
      <c r="H3431" s="4">
        <v>43945.00587962963</v>
      </c>
      <c r="I3431" t="s">
        <v>2438</v>
      </c>
      <c r="J3431" s="5">
        <v>58.99999999999999999999999999999999999997</v>
      </c>
      <c r="K3431" t="s">
        <v>38</v>
      </c>
      <c r="M3431">
        <v>56472</v>
      </c>
      <c r="N3431" t="s">
        <v>705</v>
      </c>
      <c r="O3431" t="s">
        <v>706</v>
      </c>
      <c r="P3431" t="s">
        <v>38</v>
      </c>
      <c r="Q3431" t="s">
        <v>966</v>
      </c>
      <c r="R3431">
        <v>15.99999999999999999999999999999999999998</v>
      </c>
      <c r="S3431" t="s">
        <v>45</v>
      </c>
      <c r="T3431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31">
        <v>56473</v>
      </c>
      <c r="V3431" t="s">
        <v>38</v>
      </c>
      <c r="W3431" t="s">
        <v>966</v>
      </c>
      <c r="X3431">
        <v>15.99999999999999999999999999999999999998</v>
      </c>
      <c r="Y3431">
        <v>0</v>
      </c>
      <c r="Z3431" t="s">
        <v>46</v>
      </c>
      <c r="AA3431">
        <v>56477</v>
      </c>
      <c r="AB3431" t="s">
        <v>2588</v>
      </c>
      <c r="AC3431" t="s">
        <v>103</v>
      </c>
      <c r="AD3431" t="s">
        <v>38</v>
      </c>
      <c r="AE3431" t="s">
        <v>49</v>
      </c>
      <c r="AF3431" t="s">
        <v>50</v>
      </c>
      <c r="AG3431">
        <v>.9999999999999999999999999999999999999996</v>
      </c>
      <c r="AH3431">
        <v>0</v>
      </c>
      <c r="AI3431" t="s">
        <v>51</v>
      </c>
      <c r="AJ3431" t="s">
        <v>51</v>
      </c>
      <c r="AK3431" t="s">
        <v>51</v>
      </c>
    </row>
    <row r="3432" spans="1:37" x14ac:dyDescent="0.2">
      <c r="A3432">
        <v>56471</v>
      </c>
      <c r="B3432" t="s">
        <v>37</v>
      </c>
      <c r="C3432" t="s">
        <v>38</v>
      </c>
      <c r="D3432" t="s">
        <v>674</v>
      </c>
      <c r="E3432" t="s">
        <v>40</v>
      </c>
      <c r="G3432" s="4">
        <v>43945.005196759259</v>
      </c>
      <c r="H3432" s="4">
        <v>43945.00587962963</v>
      </c>
      <c r="I3432" t="s">
        <v>2438</v>
      </c>
      <c r="J3432" s="5">
        <v>58.99999999999999999999999999999999999997</v>
      </c>
      <c r="K3432" t="s">
        <v>38</v>
      </c>
      <c r="M3432">
        <v>56472</v>
      </c>
      <c r="N3432" t="s">
        <v>705</v>
      </c>
      <c r="O3432" t="s">
        <v>706</v>
      </c>
      <c r="P3432" t="s">
        <v>38</v>
      </c>
      <c r="Q3432" t="s">
        <v>966</v>
      </c>
      <c r="R3432">
        <v>15.99999999999999999999999999999999999998</v>
      </c>
      <c r="S3432" t="s">
        <v>45</v>
      </c>
      <c r="T3432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32">
        <v>56473</v>
      </c>
      <c r="V3432" t="s">
        <v>38</v>
      </c>
      <c r="W3432" t="s">
        <v>966</v>
      </c>
      <c r="X3432">
        <v>15.99999999999999999999999999999999999998</v>
      </c>
      <c r="Y3432">
        <v>0</v>
      </c>
      <c r="Z3432" t="s">
        <v>46</v>
      </c>
      <c r="AA3432">
        <v>56476</v>
      </c>
      <c r="AB3432" t="s">
        <v>2589</v>
      </c>
      <c r="AC3432" t="s">
        <v>103</v>
      </c>
      <c r="AD3432" t="s">
        <v>38</v>
      </c>
      <c r="AE3432" t="s">
        <v>49</v>
      </c>
      <c r="AF3432" t="s">
        <v>247</v>
      </c>
      <c r="AG3432">
        <v>7</v>
      </c>
      <c r="AH3432">
        <v>5</v>
      </c>
      <c r="AI3432" t="s">
        <v>51</v>
      </c>
      <c r="AJ3432" t="s">
        <v>51</v>
      </c>
      <c r="AK3432" t="s">
        <v>51</v>
      </c>
    </row>
    <row r="3433" spans="1:37" x14ac:dyDescent="0.2">
      <c r="A3433">
        <v>56471</v>
      </c>
      <c r="B3433" t="s">
        <v>37</v>
      </c>
      <c r="C3433" t="s">
        <v>38</v>
      </c>
      <c r="D3433" t="s">
        <v>674</v>
      </c>
      <c r="E3433" t="s">
        <v>40</v>
      </c>
      <c r="G3433" s="4">
        <v>43945.005196759259</v>
      </c>
      <c r="H3433" s="4">
        <v>43945.00587962963</v>
      </c>
      <c r="I3433" t="s">
        <v>2438</v>
      </c>
      <c r="J3433" s="5">
        <v>58.99999999999999999999999999999999999997</v>
      </c>
      <c r="K3433" t="s">
        <v>38</v>
      </c>
      <c r="M3433">
        <v>56472</v>
      </c>
      <c r="N3433" t="s">
        <v>705</v>
      </c>
      <c r="O3433" t="s">
        <v>706</v>
      </c>
      <c r="P3433" t="s">
        <v>38</v>
      </c>
      <c r="Q3433" t="s">
        <v>966</v>
      </c>
      <c r="R3433">
        <v>15.99999999999999999999999999999999999998</v>
      </c>
      <c r="S3433" t="s">
        <v>45</v>
      </c>
      <c r="T3433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33">
        <v>56473</v>
      </c>
      <c r="V3433" t="s">
        <v>38</v>
      </c>
      <c r="W3433" t="s">
        <v>966</v>
      </c>
      <c r="X3433">
        <v>15.99999999999999999999999999999999999998</v>
      </c>
      <c r="Y3433">
        <v>0</v>
      </c>
      <c r="Z3433" t="s">
        <v>46</v>
      </c>
      <c r="AA3433">
        <v>56475</v>
      </c>
      <c r="AB3433" t="s">
        <v>2590</v>
      </c>
      <c r="AC3433" t="s">
        <v>48</v>
      </c>
      <c r="AD3433" t="s">
        <v>38</v>
      </c>
      <c r="AE3433" t="s">
        <v>49</v>
      </c>
      <c r="AF3433" t="s">
        <v>50</v>
      </c>
      <c r="AG3433">
        <v>0</v>
      </c>
      <c r="AH3433">
        <v>0</v>
      </c>
      <c r="AI3433" t="s">
        <v>51</v>
      </c>
      <c r="AJ3433" t="s">
        <v>51</v>
      </c>
      <c r="AK3433" t="s">
        <v>51</v>
      </c>
    </row>
    <row r="3434" spans="1:37" x14ac:dyDescent="0.2">
      <c r="A3434">
        <v>56471</v>
      </c>
      <c r="B3434" t="s">
        <v>37</v>
      </c>
      <c r="C3434" t="s">
        <v>38</v>
      </c>
      <c r="D3434" t="s">
        <v>674</v>
      </c>
      <c r="E3434" t="s">
        <v>40</v>
      </c>
      <c r="G3434" s="4">
        <v>43945.005196759259</v>
      </c>
      <c r="H3434" s="4">
        <v>43945.00587962963</v>
      </c>
      <c r="I3434" t="s">
        <v>2438</v>
      </c>
      <c r="J3434" s="5">
        <v>58.99999999999999999999999999999999999997</v>
      </c>
      <c r="K3434" t="s">
        <v>38</v>
      </c>
      <c r="M3434">
        <v>56472</v>
      </c>
      <c r="N3434" t="s">
        <v>705</v>
      </c>
      <c r="O3434" t="s">
        <v>706</v>
      </c>
      <c r="P3434" t="s">
        <v>38</v>
      </c>
      <c r="Q3434" t="s">
        <v>966</v>
      </c>
      <c r="R3434">
        <v>15.99999999999999999999999999999999999998</v>
      </c>
      <c r="S3434" t="s">
        <v>45</v>
      </c>
      <c r="T3434" t="str" s="2">
        <f>=HYPERLINK("http://demo.enginatics.com:80/ecc/user/applications/log/56471.log","http://demo.enginatics.com:80/ecc/user/applications/log/56471.log")</f>
        <v>"http://demo.enginatics.com:80/ecc/user/applications/log/56471.log")</v>
      </c>
      <c r="U3434">
        <v>56473</v>
      </c>
      <c r="V3434" t="s">
        <v>38</v>
      </c>
      <c r="W3434" t="s">
        <v>966</v>
      </c>
      <c r="X3434">
        <v>15.99999999999999999999999999999999999998</v>
      </c>
      <c r="Y3434">
        <v>0</v>
      </c>
      <c r="Z3434" t="s">
        <v>46</v>
      </c>
      <c r="AA3434">
        <v>56474</v>
      </c>
      <c r="AB3434" t="s">
        <v>859</v>
      </c>
      <c r="AC3434" t="s">
        <v>56</v>
      </c>
      <c r="AD3434" t="s">
        <v>38</v>
      </c>
      <c r="AE3434" t="s">
        <v>49</v>
      </c>
      <c r="AF3434" t="s">
        <v>50</v>
      </c>
      <c r="AG3434">
        <v>0</v>
      </c>
      <c r="AH3434">
        <v>0</v>
      </c>
      <c r="AI3434" t="s">
        <v>51</v>
      </c>
      <c r="AJ3434" t="s">
        <v>51</v>
      </c>
      <c r="AK3434" t="s">
        <v>51</v>
      </c>
    </row>
  </sheetData>
  <autoFilter ref="A1:AK1"/>
  <pageMargins left="0.7" right="0.7" top="0.75" bottom="0.75" header="0.3" footer="0.3"/>
  <pageSetup paperSize="9" orientation="landscape" horizontalDpi="0" verticalDpi="0"/>
  <headerFooter>
    <oddHeader>&amp;CGenerated by Blitz Report™
ECC Admin - Data Load Tracking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baseColWidth="10" defaultRowHeight="12.75" x14ac:dyDescent="0.2"/>
  <cols>
    <col min="1" max="1" width="14.2838095" bestFit="1" customWidth="1"/>
    <col min="2" max="2" width="25.6038095" bestFit="1" customWidth="1"/>
  </cols>
  <sheetData>
    <row r="1" spans="1:2" x14ac:dyDescent="0.2">
      <c r="A1" s="1" t="s">
        <v>2591</v>
      </c>
      <c r="B1" t="s">
        <v>2592</v>
      </c>
    </row>
    <row r="2" spans="1:2" x14ac:dyDescent="0.2">
      <c r="A2" s="1" t="s">
        <v>2593</v>
      </c>
      <c r="B2" t="s">
        <v>2594</v>
      </c>
    </row>
    <row r="3" spans="1:2" x14ac:dyDescent="0.2">
      <c r="A3" s="1" t="s">
        <v>2595</v>
      </c>
      <c r="B3" s="4">
        <v>43997.818935185185</v>
      </c>
    </row>
    <row r="4" spans="1:2" x14ac:dyDescent="0.2">
      <c r="A4" s="1" t="s">
        <v>2596</v>
      </c>
      <c r="B4">
        <v>9663873</v>
      </c>
    </row>
    <row r="5" spans="1:2" x14ac:dyDescent="0.2">
      <c r="A5" s="1" t="s">
        <v>2597</v>
      </c>
      <c r="B5" t="s">
        <v>2598</v>
      </c>
    </row>
    <row r="7" spans="1:2" x14ac:dyDescent="0.2">
      <c r="A7" s="1" t="s">
        <v>2599</v>
      </c>
      <c r="B7" t="s">
        <v>2600</v>
      </c>
    </row>
    <row r="8" spans="1:2" x14ac:dyDescent="0.2">
      <c r="A8" s="1" t="s">
        <v>2601</v>
      </c>
      <c r="B8" t="s">
        <v>2602</v>
      </c>
    </row>
    <row r="9" spans="1:2" x14ac:dyDescent="0.2">
      <c r="A9" s="1" t="s">
        <v>2603</v>
      </c>
      <c r="B9" t="s">
        <v>2604</v>
      </c>
    </row>
    <row r="10" spans="1:2" x14ac:dyDescent="0.2">
      <c r="A10" s="1" t="s">
        <v>2605</v>
      </c>
      <c r="B10" t="s">
        <v>2604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ECC Admin - Data Load Trackin_1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2020-06-15T17:39:21Z</dcterms:created>
  <dcterms:modified xsi:type="dcterms:W3CDTF">2020-06-15T17:39:21Z</dcterms:modified>
</cp:coreProperties>
</file>